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9.xml" ContentType="application/vnd.openxmlformats-officedocument.drawing+xml"/>
  <Override PartName="/xl/drawings/drawing10.xml" ContentType="application/vnd.openxmlformats-officedocument.drawing+xml"/>
  <Override PartName="/xl/tables/table1.xml" ContentType="application/vnd.openxmlformats-officedocument.spreadsheetml.table+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tables/table2.xml" ContentType="application/vnd.openxmlformats-officedocument.spreadsheetml.table+xml"/>
  <Override PartName="/xl/drawings/drawing1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4\3 Werkdocumenten\tool_v2.7\Rapporten_2022\"/>
    </mc:Choice>
  </mc:AlternateContent>
  <xr:revisionPtr revIDLastSave="0" documentId="8_{7973869B-6BF9-424E-ABB3-F47416D82407}"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CAP template" sheetId="14" r:id="rId3"/>
    <sheet name="Inventaris 2022" sheetId="48" r:id="rId4"/>
    <sheet name="betrouwbaarheid inventaris" sheetId="58" r:id="rId5"/>
    <sheet name="Lokale energieproductie 2022"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vloot" sheetId="20" r:id="rId13"/>
    <sheet name="Eigen informatie GS &amp; warmtenet" sheetId="43"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61" r:id="rId24"/>
    <sheet name="Eigen gebouwen" sheetId="19" r:id="rId25"/>
    <sheet name="Eigen openbare verlichting" sheetId="49"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data!#REF!</definedName>
    <definedName name="aantalw2001_ander">data!#REF!</definedName>
    <definedName name="aantalw2001_elektriciteit">data!#REF!</definedName>
    <definedName name="aantalw2001_hout">data!#REF!</definedName>
    <definedName name="aantalw2001_niet_gespec">data!#REF!</definedName>
    <definedName name="aantalw2001_propaan">data!#REF!</definedName>
    <definedName name="aantalw2001_steenkool">data!#REF!</definedName>
    <definedName name="aantalw2001_stookolie">data!#REF!</definedName>
    <definedName name="aantalw2001_WP">data!#REF!</definedName>
    <definedName name="aantalWP_NB_ander">data!#REF!</definedName>
    <definedName name="aantalWP_NB_industrie">data!#REF!</definedName>
    <definedName name="AantalWP_NB_industrie_met_kantoor">data!#REF!</definedName>
    <definedName name="aantalWP_NB_kantoor">data!#REF!</definedName>
    <definedName name="aantalWP_NB_NIET_RESIDENTIEEL_EPN">data!#REF!</definedName>
    <definedName name="aantalWP_NB_school">data!#REF!</definedName>
    <definedName name="aantalWP_NB_wonen">data!#REF!</definedName>
    <definedName name="aantalWP_NB_wonen_met_kantoor">data!#REF!</definedName>
    <definedName name="aantalZB_NB_ander">data!#REF!</definedName>
    <definedName name="aantalZB_NB_ander_met_kantoor">data!#REF!</definedName>
    <definedName name="aantalZB_NB_industrie">data!#REF!</definedName>
    <definedName name="aantalZB_NB_industrie_met_kantoor">data!#REF!</definedName>
    <definedName name="aantalZB_NB_kantoor">data!#REF!</definedName>
    <definedName name="aantalZB_NB_NIET_RESIDENTIEEL_EPN">data!#REF!</definedName>
    <definedName name="aantalZB_NB_school">data!#REF!</definedName>
    <definedName name="aantalZB_NB_wonen">data!#REF!</definedName>
    <definedName name="aantalZB_NB_wonen_met_kantoor">data!#REF!</definedName>
    <definedName name="aantalZoogkoeien">data!$B$17</definedName>
    <definedName name="antalWP_NB_ander_met_kantoor">data!#REF!</definedName>
    <definedName name="bus_pct_elektrisch">data!$E$83</definedName>
    <definedName name="bus_pct_hybride">data!$D$83</definedName>
    <definedName name="EF_anderfossiel_CO2">'EF brandstof'!$I$4</definedName>
    <definedName name="EF_benzine_CO2">'EF brandstof'!$F$4</definedName>
    <definedName name="EF_biogas_CO2">'EF brandstof'!$J$4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data!#REF!</definedName>
    <definedName name="EigenZB">data!#REF!</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eigengeb_aardgas">data!$B$99</definedName>
    <definedName name="kWh_eigengeb_elektriciteit">data!$B$97</definedName>
    <definedName name="kWh_eigengeb_overigebiomassa">data!$B$102</definedName>
    <definedName name="kWh_eigengeb_stookolie">data!$B$101</definedName>
    <definedName name="kWh_eigengeb_vloeibaargas">data!$B$100</definedName>
    <definedName name="kWh_eigengeb_warmtekoude">data!$B$98</definedName>
    <definedName name="kWh_eigenov_elektriciteit">data!$B$107</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MWh_eigenverbruikPV_industrie">data!$B$122</definedName>
    <definedName name="MWh_eigenverbruikPV_landbouw">data!$B$123</definedName>
    <definedName name="MWh_eigenverbruikPV_residentieel">data!$B$121</definedName>
    <definedName name="MWh_eigenverbruikPV_tertiair">data!$B$124</definedName>
    <definedName name="MWh_eigenvloot_aardgas">data!$B$113</definedName>
    <definedName name="MWh_eigenvloot_benzine">data!$B$114</definedName>
    <definedName name="MWh_eigenvloot_diesel">data!$B$115</definedName>
    <definedName name="MWh_eigenvloot_elektriciteit">data!$B$112</definedName>
    <definedName name="MWh_eigenvloot_vloeibaargas">data!$B$116</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data!#REF!</definedName>
    <definedName name="WP_NHH_bestaande_bouw">data!#REF!</definedName>
    <definedName name="ZB_HH_bestaande_bouw">data!#REF!</definedName>
    <definedName name="ZB_NHH_bestaande_bouw">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6" i="22" l="1"/>
  <c r="B65" i="22"/>
  <c r="B64" i="22" l="1"/>
  <c r="F58" i="23" l="1"/>
  <c r="F57" i="23"/>
  <c r="F56" i="23"/>
  <c r="F61" i="23"/>
  <c r="F60" i="23"/>
  <c r="F59" i="23"/>
  <c r="F64" i="23"/>
  <c r="F63" i="23"/>
  <c r="F62" i="23"/>
  <c r="A64" i="23"/>
  <c r="A63" i="23"/>
  <c r="A62" i="23"/>
  <c r="A61" i="23"/>
  <c r="A60" i="23"/>
  <c r="A59" i="23"/>
  <c r="A56" i="23"/>
  <c r="A57" i="23"/>
  <c r="A58" i="23"/>
  <c r="E42" i="22" l="1"/>
  <c r="H5" i="17"/>
  <c r="H15" i="16"/>
  <c r="H14" i="16"/>
  <c r="H13" i="16"/>
  <c r="H12" i="16"/>
  <c r="H11" i="16"/>
  <c r="H10" i="16"/>
  <c r="H9" i="16"/>
  <c r="H8" i="16"/>
  <c r="H7" i="16"/>
  <c r="B18" i="17"/>
  <c r="B7" i="17"/>
  <c r="B17" i="16"/>
  <c r="B14" i="15"/>
  <c r="B7" i="13"/>
  <c r="H5" i="16" l="1"/>
  <c r="H19" i="16" s="1"/>
  <c r="H23" i="16" s="1"/>
  <c r="H4" i="20"/>
  <c r="G4" i="20"/>
  <c r="E4" i="20"/>
  <c r="D4" i="20"/>
  <c r="B4" i="20"/>
  <c r="B4" i="21" l="1"/>
  <c r="E73" i="14"/>
  <c r="F73" i="14"/>
  <c r="G73" i="14"/>
  <c r="H73" i="14"/>
  <c r="I73" i="14"/>
  <c r="J73" i="14"/>
  <c r="K73" i="14"/>
  <c r="L73" i="14"/>
  <c r="M73" i="14"/>
  <c r="N73" i="14"/>
  <c r="O73" i="14"/>
  <c r="P73" i="14"/>
  <c r="Q73" i="14"/>
  <c r="R73" i="14"/>
  <c r="E72" i="14"/>
  <c r="F72" i="14"/>
  <c r="G72" i="14"/>
  <c r="I72" i="14"/>
  <c r="J72" i="14"/>
  <c r="K72" i="14"/>
  <c r="L72" i="14"/>
  <c r="M72" i="14"/>
  <c r="N72" i="14"/>
  <c r="P72" i="14"/>
  <c r="Q72" i="14"/>
  <c r="R72" i="14"/>
  <c r="D27" i="14"/>
  <c r="E27" i="14"/>
  <c r="F27" i="14"/>
  <c r="G27" i="14"/>
  <c r="H27" i="14"/>
  <c r="I27" i="14"/>
  <c r="J27" i="14"/>
  <c r="K27" i="14"/>
  <c r="L27" i="14"/>
  <c r="M27" i="14"/>
  <c r="N27" i="14"/>
  <c r="O27" i="14"/>
  <c r="P27" i="14"/>
  <c r="Q27" i="14"/>
  <c r="R27" i="14"/>
  <c r="D26" i="14"/>
  <c r="E26" i="14"/>
  <c r="F26" i="14"/>
  <c r="G26" i="14"/>
  <c r="I26" i="14"/>
  <c r="J26" i="14"/>
  <c r="K26" i="14"/>
  <c r="L26" i="14"/>
  <c r="M26" i="14"/>
  <c r="N26" i="14"/>
  <c r="P26" i="14"/>
  <c r="Q26" i="14"/>
  <c r="R26" i="14"/>
  <c r="B45" i="14"/>
  <c r="B46" i="14"/>
  <c r="Q13" i="48"/>
  <c r="P13" i="48"/>
  <c r="O13" i="48"/>
  <c r="M13" i="48"/>
  <c r="L13" i="48"/>
  <c r="C14" i="48"/>
  <c r="B4" i="49"/>
  <c r="D4" i="19" l="1"/>
  <c r="O4" i="19" l="1"/>
  <c r="F4" i="19"/>
  <c r="E4" i="19"/>
  <c r="C4" i="19"/>
  <c r="B4" i="19"/>
  <c r="M17" i="18" l="1"/>
  <c r="L17" i="18"/>
  <c r="G17" i="18"/>
  <c r="F17" i="18"/>
  <c r="B18" i="18"/>
  <c r="M8" i="18"/>
  <c r="L8" i="18"/>
  <c r="G8" i="18"/>
  <c r="F8" i="18"/>
  <c r="B4" i="18"/>
  <c r="B6" i="18"/>
  <c r="B5" i="18" a="1"/>
  <c r="B5" i="18" s="1"/>
  <c r="M22" i="18"/>
  <c r="M12" i="18"/>
  <c r="E14" i="48" l="1"/>
  <c r="F14" i="48"/>
  <c r="G14" i="48"/>
  <c r="H14" i="48"/>
  <c r="I14" i="48"/>
  <c r="J14" i="48"/>
  <c r="K14" i="48"/>
  <c r="L14" i="48"/>
  <c r="M14" i="48"/>
  <c r="N14" i="48"/>
  <c r="O14" i="48"/>
  <c r="P14" i="48"/>
  <c r="Q14" i="48"/>
  <c r="C12" i="48"/>
  <c r="D12" i="48"/>
  <c r="E12" i="48"/>
  <c r="F12" i="48"/>
  <c r="G12" i="48"/>
  <c r="H12" i="48"/>
  <c r="I12" i="48"/>
  <c r="J12" i="48"/>
  <c r="K12" i="48"/>
  <c r="L12" i="48"/>
  <c r="M12" i="48"/>
  <c r="N12" i="48"/>
  <c r="O12" i="48"/>
  <c r="P12" i="48"/>
  <c r="Q12" i="48"/>
  <c r="C6" i="48"/>
  <c r="D6" i="48"/>
  <c r="E6" i="48"/>
  <c r="F6" i="48"/>
  <c r="G6" i="48"/>
  <c r="H6" i="48"/>
  <c r="I6" i="48"/>
  <c r="J6" i="48"/>
  <c r="K6" i="48"/>
  <c r="L6" i="48"/>
  <c r="M6" i="48"/>
  <c r="N6" i="48"/>
  <c r="O6" i="48"/>
  <c r="P6" i="48"/>
  <c r="Q6" i="48"/>
  <c r="O8" i="18"/>
  <c r="D57" i="14"/>
  <c r="E57" i="14"/>
  <c r="F57" i="14"/>
  <c r="G57" i="14"/>
  <c r="H57" i="14"/>
  <c r="I57" i="14"/>
  <c r="J57" i="14"/>
  <c r="K57" i="14"/>
  <c r="L57" i="14"/>
  <c r="M57" i="14"/>
  <c r="N57" i="14"/>
  <c r="O57" i="14"/>
  <c r="P57" i="14"/>
  <c r="Q57" i="14"/>
  <c r="R57" i="14"/>
  <c r="L56" i="22"/>
  <c r="D11" i="14" l="1"/>
  <c r="E11" i="14"/>
  <c r="F11" i="14"/>
  <c r="G11" i="14"/>
  <c r="H11" i="14"/>
  <c r="I11" i="14"/>
  <c r="J11" i="14"/>
  <c r="K11" i="14"/>
  <c r="L11" i="14"/>
  <c r="M11" i="14"/>
  <c r="N11" i="14"/>
  <c r="O11" i="14"/>
  <c r="P11" i="14"/>
  <c r="Q11" i="14"/>
  <c r="R11" i="14"/>
  <c r="L29" i="20" l="1"/>
  <c r="M103" i="14"/>
  <c r="N103" i="14"/>
  <c r="N8" i="59" s="1"/>
  <c r="M114" i="14"/>
  <c r="N114" i="14"/>
  <c r="L10" i="18"/>
  <c r="L116" i="14"/>
  <c r="L19" i="59" s="1"/>
  <c r="K22" i="18"/>
  <c r="L22" i="18"/>
  <c r="I12" i="18"/>
  <c r="K12" i="18"/>
  <c r="L12" i="18"/>
  <c r="K18" i="18"/>
  <c r="L115" i="14" s="1"/>
  <c r="L18" i="59" s="1"/>
  <c r="O20" i="18"/>
  <c r="O10" i="18"/>
  <c r="M71" i="14"/>
  <c r="B6" i="6"/>
  <c r="L9" i="48"/>
  <c r="L8" i="48"/>
  <c r="O85" i="14"/>
  <c r="Q85" i="14"/>
  <c r="R85" i="14"/>
  <c r="M77" i="14"/>
  <c r="M76" i="14" s="1"/>
  <c r="N77" i="14"/>
  <c r="N76" i="14" s="1"/>
  <c r="P77" i="14"/>
  <c r="P76" i="14" s="1"/>
  <c r="Q77" i="14"/>
  <c r="Q76" i="14" s="1"/>
  <c r="R77" i="14"/>
  <c r="R76" i="14" s="1"/>
  <c r="M69" i="14"/>
  <c r="M68" i="14" s="1"/>
  <c r="O69" i="14"/>
  <c r="O68" i="14" s="1"/>
  <c r="P69" i="14"/>
  <c r="P68" i="14" s="1"/>
  <c r="Q69" i="14"/>
  <c r="Q68" i="14" s="1"/>
  <c r="R69" i="14"/>
  <c r="R68" i="14" s="1"/>
  <c r="M63" i="14"/>
  <c r="M31" i="14"/>
  <c r="M30" i="14" s="1"/>
  <c r="N31" i="14"/>
  <c r="N30" i="14" s="1"/>
  <c r="P31" i="14"/>
  <c r="P30" i="14" s="1"/>
  <c r="Q31" i="14"/>
  <c r="Q30" i="14" s="1"/>
  <c r="R31" i="14"/>
  <c r="R30" i="14" s="1"/>
  <c r="O23" i="14"/>
  <c r="O22" i="14" s="1"/>
  <c r="P23" i="14"/>
  <c r="P22" i="14" s="1"/>
  <c r="Q23" i="14"/>
  <c r="Q22" i="14" s="1"/>
  <c r="R23" i="14"/>
  <c r="R22" i="14" s="1"/>
  <c r="L16" i="22"/>
  <c r="L11" i="17"/>
  <c r="L21" i="16"/>
  <c r="K104" i="14" l="1"/>
  <c r="K9" i="59" s="1"/>
  <c r="M104" i="14"/>
  <c r="M9" i="59" s="1"/>
  <c r="L104" i="14"/>
  <c r="L9" i="59" s="1"/>
  <c r="M8" i="59"/>
  <c r="M83" i="14"/>
  <c r="R71" i="14"/>
  <c r="R83" i="14" s="1"/>
  <c r="Q71" i="14"/>
  <c r="Q83" i="14" s="1"/>
  <c r="J25" i="14"/>
  <c r="K25" i="14"/>
  <c r="Q25" i="14"/>
  <c r="Q37" i="14" s="1"/>
  <c r="N25" i="14"/>
  <c r="M25" i="14"/>
  <c r="I25" i="14"/>
  <c r="G25" i="14"/>
  <c r="E25" i="14"/>
  <c r="F25" i="14"/>
  <c r="R25" i="14"/>
  <c r="R37" i="14" s="1"/>
  <c r="P25" i="14"/>
  <c r="P37" i="14" s="1"/>
  <c r="L25" i="14"/>
  <c r="D25" i="14"/>
  <c r="L19" i="15"/>
  <c r="L11" i="13"/>
  <c r="L17" i="48" s="1"/>
  <c r="L8" i="19"/>
  <c r="M23" i="14"/>
  <c r="M22" i="14" s="1"/>
  <c r="M17" i="14"/>
  <c r="N24" i="22"/>
  <c r="O16" i="22"/>
  <c r="O56" i="22"/>
  <c r="L10" i="48"/>
  <c r="L26" i="48" l="1"/>
  <c r="L28" i="48"/>
  <c r="L29" i="48"/>
  <c r="L30" i="48"/>
  <c r="L24" i="48"/>
  <c r="L32" i="48"/>
  <c r="L31" i="48"/>
  <c r="L27" i="48"/>
  <c r="M105" i="14"/>
  <c r="M10" i="14"/>
  <c r="M9" i="14" s="1"/>
  <c r="L11" i="48"/>
  <c r="M56" i="14"/>
  <c r="M55" i="14" s="1"/>
  <c r="M61" i="14"/>
  <c r="M59" i="14" s="1"/>
  <c r="M15" i="14"/>
  <c r="M13" i="14" s="1"/>
  <c r="L5" i="48"/>
  <c r="L23" i="48" s="1"/>
  <c r="M37" i="14"/>
  <c r="P71" i="14" l="1"/>
  <c r="P83" i="14" s="1"/>
  <c r="O15" i="15" l="1"/>
  <c r="F15" i="15"/>
  <c r="E15" i="15"/>
  <c r="D15" i="15"/>
  <c r="C15" i="15"/>
  <c r="B15" i="15"/>
  <c r="N4" i="48" l="1"/>
  <c r="G4" i="48"/>
  <c r="I4" i="48"/>
  <c r="X30" i="18"/>
  <c r="E6" i="13" s="1"/>
  <c r="W30" i="18"/>
  <c r="X32" i="18"/>
  <c r="E13" i="15" s="1"/>
  <c r="W32" i="18"/>
  <c r="V32" i="18"/>
  <c r="U32" i="18"/>
  <c r="T32" i="18"/>
  <c r="S32" i="18"/>
  <c r="F13" i="15" s="1"/>
  <c r="R32" i="18"/>
  <c r="Q32" i="18"/>
  <c r="P32" i="18"/>
  <c r="D13" i="15" s="1"/>
  <c r="O32" i="18"/>
  <c r="C13" i="15" s="1"/>
  <c r="N32" i="18"/>
  <c r="B13" i="15" s="1"/>
  <c r="M32" i="18"/>
  <c r="V30" i="18"/>
  <c r="U30" i="18"/>
  <c r="M6" i="13" s="1"/>
  <c r="M9" i="13" s="1"/>
  <c r="M13" i="13" s="1"/>
  <c r="T30" i="18"/>
  <c r="S30" i="18"/>
  <c r="F6" i="13" s="1"/>
  <c r="R30" i="18"/>
  <c r="O6" i="13" s="1"/>
  <c r="Q30" i="18"/>
  <c r="L6" i="13" s="1"/>
  <c r="L9" i="13" s="1"/>
  <c r="P30" i="18"/>
  <c r="D6" i="13" s="1"/>
  <c r="O30" i="18"/>
  <c r="C6" i="13" s="1"/>
  <c r="N30" i="18"/>
  <c r="M30" i="18"/>
  <c r="AC25" i="5"/>
  <c r="Z25" i="5"/>
  <c r="Y25" i="5"/>
  <c r="X29" i="18"/>
  <c r="X33" i="18"/>
  <c r="E6" i="17" s="1"/>
  <c r="X31" i="18"/>
  <c r="E16" i="16" s="1"/>
  <c r="W25" i="5"/>
  <c r="A34" i="23"/>
  <c r="A35" i="23"/>
  <c r="A36" i="23"/>
  <c r="A37" i="23"/>
  <c r="A38" i="23"/>
  <c r="A39" i="23"/>
  <c r="A40" i="23"/>
  <c r="A41" i="23"/>
  <c r="A42" i="23"/>
  <c r="A43" i="23"/>
  <c r="A44" i="23"/>
  <c r="A45" i="23"/>
  <c r="A46" i="23"/>
  <c r="A47" i="23"/>
  <c r="A48" i="23"/>
  <c r="A49" i="23"/>
  <c r="A50" i="23"/>
  <c r="A51" i="23"/>
  <c r="A52" i="23"/>
  <c r="A53" i="23"/>
  <c r="A54" i="23"/>
  <c r="A55" i="23"/>
  <c r="N25" i="22"/>
  <c r="D5" i="17"/>
  <c r="D15" i="16"/>
  <c r="D14" i="16"/>
  <c r="D13" i="16"/>
  <c r="D12" i="16"/>
  <c r="D11" i="16"/>
  <c r="D10" i="16"/>
  <c r="D9" i="16"/>
  <c r="D8" i="16"/>
  <c r="D7" i="16"/>
  <c r="D6" i="16"/>
  <c r="D12" i="15"/>
  <c r="D11" i="15"/>
  <c r="D10" i="15"/>
  <c r="D9" i="15"/>
  <c r="D8" i="15"/>
  <c r="D7" i="15"/>
  <c r="D6" i="15"/>
  <c r="D5" i="13"/>
  <c r="E78" i="22"/>
  <c r="X25" i="5"/>
  <c r="V25" i="5"/>
  <c r="T25" i="5"/>
  <c r="U25" i="5"/>
  <c r="S25" i="5"/>
  <c r="R25" i="5"/>
  <c r="H25" i="5"/>
  <c r="I25" i="5"/>
  <c r="J25" i="5"/>
  <c r="K25" i="5"/>
  <c r="L25" i="5"/>
  <c r="M25" i="5"/>
  <c r="N25" i="5"/>
  <c r="O25" i="5"/>
  <c r="P25" i="5"/>
  <c r="Q25" i="5"/>
  <c r="G25" i="5"/>
  <c r="F25" i="5"/>
  <c r="D25" i="5"/>
  <c r="E25" i="5"/>
  <c r="C25" i="5"/>
  <c r="O5" i="59"/>
  <c r="O6" i="59"/>
  <c r="O7" i="59"/>
  <c r="O4" i="59"/>
  <c r="M31" i="18"/>
  <c r="E40" i="14"/>
  <c r="E86" i="14" s="1"/>
  <c r="C40" i="14"/>
  <c r="B14" i="48" s="1"/>
  <c r="B5" i="17"/>
  <c r="B9" i="17" s="1"/>
  <c r="B7" i="48" s="1"/>
  <c r="B102" i="14"/>
  <c r="B7" i="59" s="1"/>
  <c r="B26" i="17"/>
  <c r="C26" i="17" s="1"/>
  <c r="B7" i="6"/>
  <c r="A31" i="23"/>
  <c r="A32" i="23"/>
  <c r="A33" i="23"/>
  <c r="A6" i="23"/>
  <c r="A5" i="23"/>
  <c r="A2"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C73" i="22"/>
  <c r="N6" i="19"/>
  <c r="O10" i="14" s="1"/>
  <c r="O9" i="14" s="1"/>
  <c r="Q56" i="14"/>
  <c r="Q55" i="14" s="1"/>
  <c r="R10" i="14"/>
  <c r="R9" i="14" s="1"/>
  <c r="B28" i="17"/>
  <c r="C28" i="17" s="1"/>
  <c r="B27" i="17"/>
  <c r="C27" i="17" s="1"/>
  <c r="L23" i="14"/>
  <c r="L22" i="14" s="1"/>
  <c r="K23" i="14"/>
  <c r="K22" i="14" s="1"/>
  <c r="J23" i="14"/>
  <c r="J22" i="14" s="1"/>
  <c r="G23" i="14"/>
  <c r="G22" i="14" s="1"/>
  <c r="D23" i="14"/>
  <c r="D22" i="14" s="1"/>
  <c r="K13" i="48"/>
  <c r="J13" i="48"/>
  <c r="I13" i="48"/>
  <c r="F13" i="48"/>
  <c r="C13" i="48"/>
  <c r="P117" i="14"/>
  <c r="P105" i="14"/>
  <c r="R87" i="14"/>
  <c r="Q87" i="14"/>
  <c r="L85" i="14"/>
  <c r="L87" i="14" s="1"/>
  <c r="J85" i="14"/>
  <c r="J87" i="14" s="1"/>
  <c r="I85" i="14"/>
  <c r="I87" i="14" s="1"/>
  <c r="H85" i="14"/>
  <c r="H87" i="14" s="1"/>
  <c r="R39" i="14"/>
  <c r="R41" i="14" s="1"/>
  <c r="Q39" i="14"/>
  <c r="Q41" i="14" s="1"/>
  <c r="O39" i="14"/>
  <c r="O41" i="14" s="1"/>
  <c r="L39" i="14"/>
  <c r="L41" i="14" s="1"/>
  <c r="J39" i="14"/>
  <c r="J41" i="14" s="1"/>
  <c r="I39" i="14"/>
  <c r="I41" i="14" s="1"/>
  <c r="H39" i="14"/>
  <c r="H41" i="14" s="1"/>
  <c r="E5" i="17"/>
  <c r="B34" i="17"/>
  <c r="B29" i="17" s="1"/>
  <c r="C29" i="17" s="1"/>
  <c r="B6" i="16"/>
  <c r="W33" i="18"/>
  <c r="V33" i="18"/>
  <c r="U33" i="18"/>
  <c r="T33" i="18"/>
  <c r="S33" i="18"/>
  <c r="F6" i="17" s="1"/>
  <c r="R33" i="18"/>
  <c r="Q33" i="18"/>
  <c r="P33" i="18"/>
  <c r="D6" i="17" s="1"/>
  <c r="O33" i="18"/>
  <c r="C6" i="17" s="1"/>
  <c r="N33" i="18"/>
  <c r="M33" i="18"/>
  <c r="W31" i="18"/>
  <c r="V31" i="18"/>
  <c r="U31" i="18"/>
  <c r="T31" i="18"/>
  <c r="S31" i="18"/>
  <c r="F16" i="16" s="1"/>
  <c r="R31" i="18"/>
  <c r="Q31" i="18"/>
  <c r="P31" i="18"/>
  <c r="O31" i="18"/>
  <c r="C16" i="16" s="1"/>
  <c r="N31" i="18"/>
  <c r="B16" i="16" s="1"/>
  <c r="W29" i="18"/>
  <c r="V29" i="18"/>
  <c r="U29" i="18"/>
  <c r="T29" i="18"/>
  <c r="S29" i="18"/>
  <c r="R29" i="18"/>
  <c r="Q29" i="18"/>
  <c r="P29" i="18"/>
  <c r="O29" i="18"/>
  <c r="N29" i="18"/>
  <c r="B8" i="18" s="1"/>
  <c r="M29" i="18"/>
  <c r="J22" i="18"/>
  <c r="I22" i="18"/>
  <c r="H22" i="18"/>
  <c r="G22" i="18"/>
  <c r="F22" i="18"/>
  <c r="E22" i="18"/>
  <c r="D22" i="18"/>
  <c r="C22" i="18"/>
  <c r="N116" i="14"/>
  <c r="M116" i="14"/>
  <c r="H116" i="14"/>
  <c r="G116" i="14"/>
  <c r="M18" i="18"/>
  <c r="N115" i="14" s="1"/>
  <c r="L18" i="18"/>
  <c r="M115" i="14" s="1"/>
  <c r="J18" i="18"/>
  <c r="I18" i="18"/>
  <c r="J115" i="14" s="1"/>
  <c r="H18" i="18"/>
  <c r="I115" i="14" s="1"/>
  <c r="G18" i="18"/>
  <c r="H115" i="14" s="1"/>
  <c r="H18" i="59" s="1"/>
  <c r="F18" i="18"/>
  <c r="G115" i="14" s="1"/>
  <c r="G18" i="59" s="1"/>
  <c r="E18" i="18"/>
  <c r="F115" i="14" s="1"/>
  <c r="F18" i="59" s="1"/>
  <c r="D18" i="18"/>
  <c r="E115" i="14" s="1"/>
  <c r="E18" i="59" s="1"/>
  <c r="C18" i="18"/>
  <c r="D115" i="14" s="1"/>
  <c r="J12" i="18"/>
  <c r="H12" i="18"/>
  <c r="G12" i="18"/>
  <c r="F12" i="18"/>
  <c r="E12" i="18"/>
  <c r="D12" i="18"/>
  <c r="C12" i="18"/>
  <c r="G10" i="18"/>
  <c r="F10" i="18"/>
  <c r="B99" i="14"/>
  <c r="A78" i="22"/>
  <c r="A77" i="22"/>
  <c r="A76" i="22"/>
  <c r="A75" i="22"/>
  <c r="A74" i="22"/>
  <c r="B67" i="22"/>
  <c r="N56" i="22"/>
  <c r="M56" i="22"/>
  <c r="K56" i="22"/>
  <c r="J56" i="22"/>
  <c r="I56" i="22"/>
  <c r="H56" i="22"/>
  <c r="G56" i="22"/>
  <c r="F56" i="22"/>
  <c r="E56" i="22"/>
  <c r="D56" i="22"/>
  <c r="M10" i="48"/>
  <c r="J10" i="48"/>
  <c r="E10" i="48"/>
  <c r="C10" i="48"/>
  <c r="N16" i="22"/>
  <c r="M16" i="22"/>
  <c r="K16" i="22"/>
  <c r="J16" i="22"/>
  <c r="I16" i="22"/>
  <c r="H16" i="22"/>
  <c r="G16" i="22"/>
  <c r="F16" i="22"/>
  <c r="E16" i="22"/>
  <c r="D16" i="22"/>
  <c r="O11" i="17"/>
  <c r="N11" i="17"/>
  <c r="O87" i="14"/>
  <c r="M11" i="17"/>
  <c r="K11" i="17"/>
  <c r="J11" i="17"/>
  <c r="I11" i="17"/>
  <c r="H11" i="17"/>
  <c r="G11" i="17"/>
  <c r="F11" i="17"/>
  <c r="E11" i="17"/>
  <c r="D11" i="17"/>
  <c r="C5" i="17"/>
  <c r="C39" i="14"/>
  <c r="C41" i="14" s="1"/>
  <c r="Q19" i="16"/>
  <c r="B38" i="16"/>
  <c r="C38" i="16" s="1"/>
  <c r="F15" i="16" s="1"/>
  <c r="B37" i="16"/>
  <c r="C37" i="16" s="1"/>
  <c r="B36" i="16"/>
  <c r="B13" i="16" s="1"/>
  <c r="B35" i="16"/>
  <c r="C35" i="16" s="1"/>
  <c r="O12" i="16" s="1"/>
  <c r="B12" i="16"/>
  <c r="B34" i="16"/>
  <c r="C34" i="16" s="1"/>
  <c r="J11" i="16" s="1"/>
  <c r="B33" i="16"/>
  <c r="C33" i="16" s="1"/>
  <c r="B32" i="16"/>
  <c r="C32" i="16" s="1"/>
  <c r="B31" i="16"/>
  <c r="C31" i="16" s="1"/>
  <c r="O8" i="16" s="1"/>
  <c r="B30" i="16"/>
  <c r="C30" i="16"/>
  <c r="E7" i="16" s="1"/>
  <c r="O21" i="16"/>
  <c r="N21" i="16"/>
  <c r="O63" i="14" s="1"/>
  <c r="M21" i="16"/>
  <c r="K21" i="16"/>
  <c r="J21" i="16"/>
  <c r="I21" i="16"/>
  <c r="H21" i="16"/>
  <c r="G21" i="16"/>
  <c r="F21" i="16"/>
  <c r="E21" i="16"/>
  <c r="D21" i="16"/>
  <c r="C5" i="16"/>
  <c r="B33" i="15"/>
  <c r="C33" i="15" s="1"/>
  <c r="H12" i="15" s="1"/>
  <c r="B32" i="15"/>
  <c r="C32" i="15" s="1"/>
  <c r="H11" i="15" s="1"/>
  <c r="B31" i="15"/>
  <c r="B10" i="15" s="1"/>
  <c r="C31" i="15"/>
  <c r="B30" i="15"/>
  <c r="C30" i="15"/>
  <c r="B29" i="15"/>
  <c r="C29" i="15" s="1"/>
  <c r="B28" i="15"/>
  <c r="C28" i="15" s="1"/>
  <c r="H7" i="15" s="1"/>
  <c r="B27" i="15"/>
  <c r="C27" i="15" s="1"/>
  <c r="H6" i="15" s="1"/>
  <c r="O19" i="15"/>
  <c r="N19" i="15"/>
  <c r="M19" i="15"/>
  <c r="K19" i="15"/>
  <c r="J19" i="15"/>
  <c r="I19" i="15"/>
  <c r="H19" i="15"/>
  <c r="G19" i="15"/>
  <c r="F19" i="15"/>
  <c r="E19" i="15"/>
  <c r="D19" i="15"/>
  <c r="Q17" i="15"/>
  <c r="C5" i="15"/>
  <c r="B28" i="13"/>
  <c r="B32" i="13" s="1"/>
  <c r="B27" i="13"/>
  <c r="C35" i="13" s="1"/>
  <c r="O11" i="13"/>
  <c r="O17" i="48" s="1"/>
  <c r="N11" i="13"/>
  <c r="N17" i="48" s="1"/>
  <c r="M11" i="13"/>
  <c r="M17" i="48" s="1"/>
  <c r="K11" i="13"/>
  <c r="K17" i="48" s="1"/>
  <c r="J11" i="13"/>
  <c r="J17" i="48" s="1"/>
  <c r="I11" i="13"/>
  <c r="I17" i="48" s="1"/>
  <c r="H11" i="13"/>
  <c r="H17" i="48" s="1"/>
  <c r="G11" i="13"/>
  <c r="G17" i="48" s="1"/>
  <c r="F11" i="13"/>
  <c r="F17" i="48" s="1"/>
  <c r="E11" i="13"/>
  <c r="E17" i="48" s="1"/>
  <c r="D11" i="13"/>
  <c r="D17" i="48" s="1"/>
  <c r="C5" i="13"/>
  <c r="B5" i="13"/>
  <c r="B5" i="9"/>
  <c r="B20" i="6"/>
  <c r="B19" i="6"/>
  <c r="C91" i="14"/>
  <c r="B5" i="6"/>
  <c r="O29" i="20"/>
  <c r="N29" i="20"/>
  <c r="M29" i="20"/>
  <c r="K29" i="20"/>
  <c r="J29" i="20"/>
  <c r="I29" i="20"/>
  <c r="H29" i="20"/>
  <c r="G29" i="20"/>
  <c r="F29" i="20"/>
  <c r="E29" i="20"/>
  <c r="D29" i="20"/>
  <c r="H26" i="20"/>
  <c r="H27" i="20" s="1"/>
  <c r="H13" i="48" s="1"/>
  <c r="G26" i="20"/>
  <c r="G27" i="20" s="1"/>
  <c r="G12" i="22" s="1"/>
  <c r="E26" i="20"/>
  <c r="E27" i="20" s="1"/>
  <c r="D26" i="20"/>
  <c r="D27" i="20" s="1"/>
  <c r="B26" i="20"/>
  <c r="B27" i="20" s="1"/>
  <c r="B6" i="49"/>
  <c r="C11" i="14" s="1"/>
  <c r="S11" i="14" s="1"/>
  <c r="O8" i="19"/>
  <c r="N8" i="19"/>
  <c r="M8" i="19"/>
  <c r="K8" i="19"/>
  <c r="J8" i="19"/>
  <c r="I8" i="19"/>
  <c r="F8" i="19"/>
  <c r="E8" i="19"/>
  <c r="D8" i="19"/>
  <c r="O6" i="19"/>
  <c r="P10" i="14" s="1"/>
  <c r="P9" i="14" s="1"/>
  <c r="N10" i="14"/>
  <c r="N9" i="14" s="1"/>
  <c r="K6" i="19"/>
  <c r="L10" i="14" s="1"/>
  <c r="L9" i="14" s="1"/>
  <c r="K10" i="14"/>
  <c r="K9" i="14" s="1"/>
  <c r="I11" i="48"/>
  <c r="F6" i="19"/>
  <c r="E6" i="19"/>
  <c r="E11" i="48" s="1"/>
  <c r="D6" i="19"/>
  <c r="E10" i="14" s="1"/>
  <c r="E9" i="14" s="1"/>
  <c r="C6" i="19"/>
  <c r="B6" i="19"/>
  <c r="B11" i="48" s="1"/>
  <c r="Q17" i="48"/>
  <c r="P17" i="48"/>
  <c r="H11" i="48"/>
  <c r="G11" i="48"/>
  <c r="Q9" i="48"/>
  <c r="P9" i="48"/>
  <c r="O9" i="48"/>
  <c r="M9" i="48"/>
  <c r="M27" i="48" s="1"/>
  <c r="K9" i="48"/>
  <c r="K27" i="48" s="1"/>
  <c r="J9" i="48"/>
  <c r="I9" i="48"/>
  <c r="F9" i="48"/>
  <c r="C9" i="48"/>
  <c r="N8" i="48"/>
  <c r="K8" i="48"/>
  <c r="I8" i="48"/>
  <c r="H8" i="48"/>
  <c r="G8" i="48"/>
  <c r="Q7" i="48"/>
  <c r="P7" i="48"/>
  <c r="N7" i="48"/>
  <c r="K7" i="48"/>
  <c r="I7" i="48"/>
  <c r="H7" i="48"/>
  <c r="G7" i="48"/>
  <c r="N17" i="59"/>
  <c r="M17" i="59"/>
  <c r="H114" i="14"/>
  <c r="H17" i="59" s="1"/>
  <c r="G114" i="14"/>
  <c r="G17" i="59" s="1"/>
  <c r="H103" i="14"/>
  <c r="H8" i="59" s="1"/>
  <c r="G103" i="14"/>
  <c r="G8" i="59" s="1"/>
  <c r="L77" i="14"/>
  <c r="L76" i="14" s="1"/>
  <c r="K77" i="14"/>
  <c r="K76" i="14" s="1"/>
  <c r="J77" i="14"/>
  <c r="J76" i="14" s="1"/>
  <c r="G77" i="14"/>
  <c r="G76" i="14" s="1"/>
  <c r="D77" i="14"/>
  <c r="D76" i="14" s="1"/>
  <c r="L69" i="14"/>
  <c r="L68" i="14" s="1"/>
  <c r="K69" i="14"/>
  <c r="K68" i="14" s="1"/>
  <c r="J69" i="14"/>
  <c r="J68" i="14" s="1"/>
  <c r="G69" i="14"/>
  <c r="G68" i="14" s="1"/>
  <c r="D69" i="14"/>
  <c r="D68" i="14" s="1"/>
  <c r="L63" i="14"/>
  <c r="J63" i="14"/>
  <c r="I63" i="14"/>
  <c r="H63" i="14"/>
  <c r="L62" i="14"/>
  <c r="J62" i="14"/>
  <c r="I62" i="14"/>
  <c r="H62" i="14"/>
  <c r="I56" i="14"/>
  <c r="I55" i="14" s="1"/>
  <c r="H56" i="14"/>
  <c r="H55" i="14" s="1"/>
  <c r="L31" i="14"/>
  <c r="L30" i="14" s="1"/>
  <c r="K31" i="14"/>
  <c r="K30" i="14" s="1"/>
  <c r="J31" i="14"/>
  <c r="J30" i="14" s="1"/>
  <c r="G31" i="14"/>
  <c r="G30" i="14" s="1"/>
  <c r="D31" i="14"/>
  <c r="D30" i="14" s="1"/>
  <c r="O17" i="14"/>
  <c r="L17" i="14"/>
  <c r="J17" i="14"/>
  <c r="I17" i="14"/>
  <c r="H17" i="14"/>
  <c r="I10" i="14"/>
  <c r="I9" i="14" s="1"/>
  <c r="H10" i="14"/>
  <c r="H9" i="14" s="1"/>
  <c r="A7" i="31"/>
  <c r="A6" i="31"/>
  <c r="B7" i="15"/>
  <c r="P19" i="16"/>
  <c r="B11" i="15"/>
  <c r="H104" i="14"/>
  <c r="H9" i="59" s="1"/>
  <c r="O11" i="48"/>
  <c r="C78" i="22"/>
  <c r="P17" i="15"/>
  <c r="B101" i="14"/>
  <c r="B6" i="59" s="1"/>
  <c r="B100" i="14"/>
  <c r="B5" i="59" s="1"/>
  <c r="B15" i="16"/>
  <c r="B7" i="16"/>
  <c r="B8" i="16"/>
  <c r="B9" i="15"/>
  <c r="P11" i="48"/>
  <c r="Q10" i="14"/>
  <c r="Q9" i="14" s="1"/>
  <c r="E10" i="15" l="1"/>
  <c r="H10" i="15"/>
  <c r="L13" i="13"/>
  <c r="M62" i="14" s="1"/>
  <c r="M66" i="14" s="1"/>
  <c r="L4" i="48"/>
  <c r="L22" i="48" s="1"/>
  <c r="M16" i="14"/>
  <c r="M20" i="14" s="1"/>
  <c r="C36" i="16"/>
  <c r="E13" i="16" s="1"/>
  <c r="O115" i="14"/>
  <c r="O18" i="59" s="1"/>
  <c r="C40" i="18"/>
  <c r="B40" i="18"/>
  <c r="O13" i="15"/>
  <c r="F8" i="15"/>
  <c r="H8" i="15"/>
  <c r="H5" i="15" s="1"/>
  <c r="H17" i="15" s="1"/>
  <c r="J9" i="15"/>
  <c r="H9" i="15"/>
  <c r="D16" i="16"/>
  <c r="B6" i="13"/>
  <c r="B9" i="13" s="1"/>
  <c r="B4" i="48" s="1"/>
  <c r="O16" i="16"/>
  <c r="O6" i="17"/>
  <c r="B51" i="22"/>
  <c r="C26" i="14" s="1"/>
  <c r="G11" i="22"/>
  <c r="B10" i="22"/>
  <c r="G8" i="22"/>
  <c r="H9" i="22"/>
  <c r="B11" i="22"/>
  <c r="E7" i="22"/>
  <c r="N9" i="22"/>
  <c r="D8" i="22"/>
  <c r="G9" i="22"/>
  <c r="G10" i="22"/>
  <c r="B52" i="22"/>
  <c r="C27" i="14" s="1"/>
  <c r="E10" i="22"/>
  <c r="D10" i="22"/>
  <c r="N10" i="22"/>
  <c r="N11" i="22"/>
  <c r="H7" i="22"/>
  <c r="D7" i="22"/>
  <c r="E8" i="22"/>
  <c r="G7" i="22"/>
  <c r="H11" i="22"/>
  <c r="B8" i="22"/>
  <c r="E9" i="22"/>
  <c r="N8" i="22"/>
  <c r="H6" i="22"/>
  <c r="D11" i="22"/>
  <c r="D9" i="22"/>
  <c r="B6" i="22"/>
  <c r="G6" i="22"/>
  <c r="N6" i="22"/>
  <c r="D6" i="22"/>
  <c r="E6" i="22"/>
  <c r="H8" i="22"/>
  <c r="B7" i="22"/>
  <c r="E11" i="22"/>
  <c r="N7" i="22"/>
  <c r="H10" i="22"/>
  <c r="B9" i="22"/>
  <c r="B10" i="18"/>
  <c r="F5" i="17"/>
  <c r="B11" i="16"/>
  <c r="O9" i="15"/>
  <c r="N27" i="20"/>
  <c r="N13" i="48" s="1"/>
  <c r="N31" i="48" s="1"/>
  <c r="F13" i="16"/>
  <c r="O27" i="48"/>
  <c r="F31" i="48"/>
  <c r="O29" i="48"/>
  <c r="Q27" i="48"/>
  <c r="E29" i="48"/>
  <c r="J27" i="48"/>
  <c r="P25" i="48"/>
  <c r="P24" i="48"/>
  <c r="P28" i="48"/>
  <c r="P30" i="48"/>
  <c r="P32" i="48"/>
  <c r="P29" i="48"/>
  <c r="P31" i="48"/>
  <c r="G30" i="48"/>
  <c r="G24" i="48"/>
  <c r="G32" i="48"/>
  <c r="G25" i="48"/>
  <c r="G26" i="48"/>
  <c r="G29" i="48"/>
  <c r="Q25" i="48"/>
  <c r="Q24" i="48"/>
  <c r="Q28" i="48"/>
  <c r="Q29" i="48"/>
  <c r="Q30" i="48"/>
  <c r="Q32" i="48"/>
  <c r="Q31" i="48"/>
  <c r="H31" i="48"/>
  <c r="H32" i="48"/>
  <c r="H25" i="48"/>
  <c r="H24" i="48"/>
  <c r="H29" i="48"/>
  <c r="H28" i="48"/>
  <c r="H30" i="48"/>
  <c r="H26" i="48"/>
  <c r="J24" i="48"/>
  <c r="J30" i="48"/>
  <c r="J28" i="48"/>
  <c r="J32" i="48"/>
  <c r="J29" i="48"/>
  <c r="P27" i="48"/>
  <c r="K25" i="48"/>
  <c r="K24" i="48"/>
  <c r="K26" i="48"/>
  <c r="K28" i="48"/>
  <c r="K30" i="48"/>
  <c r="K32" i="48"/>
  <c r="I31" i="48"/>
  <c r="D30" i="48"/>
  <c r="D32" i="48"/>
  <c r="D24" i="48"/>
  <c r="D28" i="48"/>
  <c r="M28" i="48"/>
  <c r="M29" i="48"/>
  <c r="M31" i="48"/>
  <c r="M32" i="48"/>
  <c r="M30" i="48"/>
  <c r="M24" i="48"/>
  <c r="J31" i="48"/>
  <c r="I22" i="48"/>
  <c r="I28" i="48"/>
  <c r="I29" i="48"/>
  <c r="I25" i="48"/>
  <c r="I24" i="48"/>
  <c r="I26" i="48"/>
  <c r="I30" i="48"/>
  <c r="I32" i="48"/>
  <c r="F27" i="48"/>
  <c r="E28" i="48"/>
  <c r="E30" i="48"/>
  <c r="E24" i="48"/>
  <c r="E32" i="48"/>
  <c r="N26" i="48"/>
  <c r="N30" i="48"/>
  <c r="N32" i="48"/>
  <c r="N24" i="48"/>
  <c r="N25" i="48"/>
  <c r="K31" i="48"/>
  <c r="G22" i="48"/>
  <c r="I27" i="48"/>
  <c r="F32" i="48"/>
  <c r="F24" i="48"/>
  <c r="F28" i="48"/>
  <c r="F30" i="48"/>
  <c r="O32" i="48"/>
  <c r="O30" i="48"/>
  <c r="O28" i="48"/>
  <c r="O24" i="48"/>
  <c r="O31" i="48"/>
  <c r="N22" i="48"/>
  <c r="D43" i="18"/>
  <c r="E43" i="18"/>
  <c r="E8" i="18" s="1"/>
  <c r="F103" i="14" s="1"/>
  <c r="C43" i="18"/>
  <c r="K8" i="18" s="1"/>
  <c r="G43" i="18"/>
  <c r="N18" i="18"/>
  <c r="B43" i="18"/>
  <c r="B17" i="18"/>
  <c r="B20" i="18" s="1"/>
  <c r="H44" i="18"/>
  <c r="B12" i="48"/>
  <c r="R12" i="48" s="1"/>
  <c r="S27" i="14"/>
  <c r="O10" i="19"/>
  <c r="P56" i="14" s="1"/>
  <c r="P55" i="14" s="1"/>
  <c r="C10" i="14"/>
  <c r="C9" i="14" s="1"/>
  <c r="M117" i="14"/>
  <c r="M10" i="18"/>
  <c r="N104" i="14"/>
  <c r="N9" i="59" s="1"/>
  <c r="N10" i="59" s="1"/>
  <c r="D18" i="59"/>
  <c r="N56" i="14"/>
  <c r="N55" i="14" s="1"/>
  <c r="J11" i="48"/>
  <c r="J16" i="14"/>
  <c r="F71" i="14"/>
  <c r="E23" i="14"/>
  <c r="E22" i="14" s="1"/>
  <c r="D13" i="48"/>
  <c r="D31" i="48" s="1"/>
  <c r="D12" i="22"/>
  <c r="E12" i="22"/>
  <c r="E31" i="20"/>
  <c r="F69" i="14" s="1"/>
  <c r="F68" i="14" s="1"/>
  <c r="F23" i="14"/>
  <c r="F22" i="14" s="1"/>
  <c r="E13" i="48"/>
  <c r="E31" i="48" s="1"/>
  <c r="B13" i="48"/>
  <c r="B12" i="22"/>
  <c r="C23" i="14"/>
  <c r="C22" i="14" s="1"/>
  <c r="D31" i="20"/>
  <c r="E69" i="14" s="1"/>
  <c r="E68" i="14" s="1"/>
  <c r="M19" i="59"/>
  <c r="N19" i="59"/>
  <c r="K115" i="14"/>
  <c r="B115" i="14" s="1"/>
  <c r="B18" i="59" s="1"/>
  <c r="F20" i="18"/>
  <c r="I18" i="59"/>
  <c r="C19" i="16"/>
  <c r="C8" i="48" s="1"/>
  <c r="F43" i="18"/>
  <c r="G20" i="18"/>
  <c r="M10" i="59"/>
  <c r="D9" i="13"/>
  <c r="D4" i="48" s="1"/>
  <c r="D22" i="48" s="1"/>
  <c r="G104" i="14"/>
  <c r="G105" i="14" s="1"/>
  <c r="M20" i="18"/>
  <c r="D37" i="14"/>
  <c r="G37" i="14"/>
  <c r="J37" i="14"/>
  <c r="K37" i="14"/>
  <c r="L37" i="14"/>
  <c r="G51" i="22"/>
  <c r="N51" i="22"/>
  <c r="G31" i="20"/>
  <c r="H69" i="14" s="1"/>
  <c r="H68" i="14" s="1"/>
  <c r="I10" i="48"/>
  <c r="Q10" i="48"/>
  <c r="O10" i="48"/>
  <c r="D10" i="48"/>
  <c r="K10" i="48"/>
  <c r="F10" i="48"/>
  <c r="G13" i="48"/>
  <c r="G31" i="48" s="1"/>
  <c r="P10" i="48"/>
  <c r="H10" i="48"/>
  <c r="E9" i="16"/>
  <c r="F9" i="16"/>
  <c r="O9" i="16"/>
  <c r="J9" i="16"/>
  <c r="O11" i="16"/>
  <c r="O15" i="16"/>
  <c r="J15" i="16"/>
  <c r="O7" i="16"/>
  <c r="D5" i="16"/>
  <c r="D19" i="16" s="1"/>
  <c r="E17" i="14" s="1"/>
  <c r="F7" i="16"/>
  <c r="B9" i="16"/>
  <c r="E15" i="16"/>
  <c r="F7" i="15"/>
  <c r="E7" i="15"/>
  <c r="B8" i="15"/>
  <c r="F9" i="15"/>
  <c r="E9" i="15"/>
  <c r="D5" i="15"/>
  <c r="D17" i="15" s="1"/>
  <c r="B33" i="13"/>
  <c r="E5" i="13" s="1"/>
  <c r="E9" i="13" s="1"/>
  <c r="E4" i="48" s="1"/>
  <c r="E22" i="48" s="1"/>
  <c r="B34" i="13"/>
  <c r="B38" i="13"/>
  <c r="B36" i="13"/>
  <c r="C36" i="13" s="1"/>
  <c r="B37" i="13"/>
  <c r="F5" i="13" s="1"/>
  <c r="F9" i="13" s="1"/>
  <c r="B35" i="13"/>
  <c r="B6" i="9"/>
  <c r="B8" i="9" s="1"/>
  <c r="B6" i="48" s="1"/>
  <c r="R6" i="48" s="1"/>
  <c r="R24" i="48" s="1"/>
  <c r="H105" i="14"/>
  <c r="D14" i="48"/>
  <c r="R14" i="48" s="1"/>
  <c r="S40" i="14"/>
  <c r="R56" i="14"/>
  <c r="R55" i="14" s="1"/>
  <c r="D11" i="48"/>
  <c r="D29" i="48" s="1"/>
  <c r="D10" i="19"/>
  <c r="E56" i="14" s="1"/>
  <c r="E55" i="14" s="1"/>
  <c r="Q11" i="48"/>
  <c r="M11" i="48"/>
  <c r="P4" i="48"/>
  <c r="P22" i="48" s="1"/>
  <c r="Q16" i="14"/>
  <c r="Q62" i="14"/>
  <c r="C9" i="13"/>
  <c r="C4" i="48" s="1"/>
  <c r="O12" i="15"/>
  <c r="F12" i="15"/>
  <c r="J12" i="15"/>
  <c r="E12" i="15"/>
  <c r="R61" i="14"/>
  <c r="R59" i="14" s="1"/>
  <c r="R15" i="14"/>
  <c r="R13" i="14" s="1"/>
  <c r="Q5" i="48"/>
  <c r="Q23" i="48" s="1"/>
  <c r="P5" i="48"/>
  <c r="P23" i="48" s="1"/>
  <c r="Q61" i="14"/>
  <c r="Q59" i="14" s="1"/>
  <c r="Q15" i="14"/>
  <c r="Q13" i="14" s="1"/>
  <c r="E6" i="15"/>
  <c r="O6" i="15"/>
  <c r="F6" i="15"/>
  <c r="J6" i="15"/>
  <c r="F11" i="15"/>
  <c r="O11" i="15"/>
  <c r="J11" i="15"/>
  <c r="E11" i="15"/>
  <c r="O7" i="15"/>
  <c r="B12" i="15"/>
  <c r="O8" i="15"/>
  <c r="F10" i="15"/>
  <c r="J7" i="15"/>
  <c r="B6" i="15"/>
  <c r="O10" i="15"/>
  <c r="J10" i="15"/>
  <c r="J10" i="16"/>
  <c r="O10" i="16"/>
  <c r="F10" i="16"/>
  <c r="E10" i="16"/>
  <c r="Q8" i="48"/>
  <c r="Q26" i="48" s="1"/>
  <c r="R17" i="14"/>
  <c r="R63" i="14"/>
  <c r="P8" i="48"/>
  <c r="P26" i="48" s="1"/>
  <c r="Q63" i="14"/>
  <c r="Q17" i="14"/>
  <c r="J14" i="16"/>
  <c r="F14" i="16"/>
  <c r="O14" i="16"/>
  <c r="E14" i="16"/>
  <c r="B14" i="16"/>
  <c r="F11" i="16"/>
  <c r="O13" i="16"/>
  <c r="B10" i="16"/>
  <c r="J13" i="16"/>
  <c r="J7" i="16"/>
  <c r="H31" i="20"/>
  <c r="I69" i="14" s="1"/>
  <c r="I68" i="14" s="1"/>
  <c r="I23" i="14"/>
  <c r="I22" i="14" s="1"/>
  <c r="H23" i="14"/>
  <c r="H22" i="14" s="1"/>
  <c r="H12" i="22"/>
  <c r="C11" i="48"/>
  <c r="F11" i="48"/>
  <c r="F29" i="48" s="1"/>
  <c r="J10" i="14"/>
  <c r="J9" i="14" s="1"/>
  <c r="D10" i="14"/>
  <c r="D9" i="14" s="1"/>
  <c r="G10" i="14"/>
  <c r="G9" i="14" s="1"/>
  <c r="F10" i="19"/>
  <c r="G56" i="14" s="1"/>
  <c r="G55" i="14" s="1"/>
  <c r="J61" i="14"/>
  <c r="J59" i="14" s="1"/>
  <c r="J56" i="14"/>
  <c r="J55" i="14" s="1"/>
  <c r="G5" i="48"/>
  <c r="G23" i="48" s="1"/>
  <c r="H61" i="14"/>
  <c r="H59" i="14" s="1"/>
  <c r="H66" i="14" s="1"/>
  <c r="H15" i="14"/>
  <c r="H13" i="14" s="1"/>
  <c r="L56" i="14"/>
  <c r="L55" i="14" s="1"/>
  <c r="N11" i="48"/>
  <c r="N29" i="48" s="1"/>
  <c r="C17" i="15"/>
  <c r="C5" i="48" s="1"/>
  <c r="E10" i="19"/>
  <c r="F56" i="14" s="1"/>
  <c r="F55" i="14" s="1"/>
  <c r="K11" i="48"/>
  <c r="K29" i="48" s="1"/>
  <c r="K56" i="14"/>
  <c r="K55" i="14" s="1"/>
  <c r="N10" i="19"/>
  <c r="O56" i="14" s="1"/>
  <c r="O55" i="14" s="1"/>
  <c r="F10" i="14"/>
  <c r="F9" i="14" s="1"/>
  <c r="H16" i="14"/>
  <c r="N16" i="14"/>
  <c r="N62" i="14"/>
  <c r="M4" i="48"/>
  <c r="M22" i="48" s="1"/>
  <c r="K4" i="48"/>
  <c r="K22" i="48" s="1"/>
  <c r="L16" i="14"/>
  <c r="R62" i="14"/>
  <c r="R16" i="14"/>
  <c r="Q4" i="48"/>
  <c r="Q22" i="48" s="1"/>
  <c r="I16" i="14"/>
  <c r="H4" i="48"/>
  <c r="H22" i="48" s="1"/>
  <c r="O16" i="14"/>
  <c r="O62" i="14"/>
  <c r="E9" i="17"/>
  <c r="F39" i="14" s="1"/>
  <c r="F41" i="14" s="1"/>
  <c r="D9" i="17"/>
  <c r="D7" i="48" s="1"/>
  <c r="D25" i="48" s="1"/>
  <c r="O5" i="17"/>
  <c r="O9" i="17" s="1"/>
  <c r="P39" i="14" s="1"/>
  <c r="P41" i="14" s="1"/>
  <c r="M7" i="48"/>
  <c r="M25" i="48" s="1"/>
  <c r="M8" i="48"/>
  <c r="M26" i="48" s="1"/>
  <c r="C9" i="17"/>
  <c r="C7" i="48" s="1"/>
  <c r="H43" i="18"/>
  <c r="J8" i="18" s="1"/>
  <c r="H10" i="59"/>
  <c r="J43" i="18"/>
  <c r="D8" i="18" s="1"/>
  <c r="E103" i="14"/>
  <c r="B4" i="59"/>
  <c r="G19" i="59"/>
  <c r="G20" i="59" s="1"/>
  <c r="G117" i="14"/>
  <c r="H19" i="59"/>
  <c r="H20" i="59" s="1"/>
  <c r="H117" i="14"/>
  <c r="B44" i="18"/>
  <c r="C17" i="18" s="1"/>
  <c r="E44" i="18"/>
  <c r="E17" i="18" s="1"/>
  <c r="D44" i="18"/>
  <c r="F44" i="18"/>
  <c r="C44" i="18"/>
  <c r="J18" i="59"/>
  <c r="M18" i="59"/>
  <c r="I43" i="18"/>
  <c r="H8" i="18" s="1"/>
  <c r="J5" i="17"/>
  <c r="J9" i="17" s="1"/>
  <c r="K39" i="14" s="1"/>
  <c r="K41" i="14" s="1"/>
  <c r="E11" i="16"/>
  <c r="E12" i="16"/>
  <c r="F8" i="16"/>
  <c r="F12" i="16"/>
  <c r="J8" i="16"/>
  <c r="E8" i="16"/>
  <c r="J12" i="16"/>
  <c r="J8" i="15"/>
  <c r="E8" i="15"/>
  <c r="M5" i="48"/>
  <c r="M23" i="48" s="1"/>
  <c r="H21" i="15" l="1"/>
  <c r="I61" i="14" s="1"/>
  <c r="I59" i="14" s="1"/>
  <c r="I66" i="14" s="1"/>
  <c r="H5" i="48"/>
  <c r="H23" i="48" s="1"/>
  <c r="I15" i="14"/>
  <c r="I13" i="14" s="1"/>
  <c r="N12" i="22"/>
  <c r="B5" i="22"/>
  <c r="B14" i="22" s="1"/>
  <c r="G5" i="22"/>
  <c r="G14" i="22" s="1"/>
  <c r="E5" i="22"/>
  <c r="H5" i="22"/>
  <c r="H14" i="22" s="1"/>
  <c r="I31" i="14" s="1"/>
  <c r="I30" i="14" s="1"/>
  <c r="I37" i="14" s="1"/>
  <c r="D5" i="22"/>
  <c r="D14" i="22" s="1"/>
  <c r="N5" i="22"/>
  <c r="B50" i="22"/>
  <c r="B54" i="22" s="1"/>
  <c r="B10" i="48" s="1"/>
  <c r="N23" i="14"/>
  <c r="N22" i="14" s="1"/>
  <c r="N37" i="14" s="1"/>
  <c r="O26" i="14"/>
  <c r="O25" i="14" s="1"/>
  <c r="O72" i="14"/>
  <c r="O71" i="14" s="1"/>
  <c r="H26" i="14"/>
  <c r="H72" i="14"/>
  <c r="H71" i="14" s="1"/>
  <c r="N31" i="20"/>
  <c r="N69" i="14" s="1"/>
  <c r="N68" i="14" s="1"/>
  <c r="N83" i="14" s="1"/>
  <c r="I8" i="18"/>
  <c r="J103" i="14" s="1"/>
  <c r="J8" i="59" s="1"/>
  <c r="F9" i="17"/>
  <c r="G39" i="14" s="1"/>
  <c r="G41" i="14" s="1"/>
  <c r="D17" i="14"/>
  <c r="E31" i="14"/>
  <c r="E30" i="14" s="1"/>
  <c r="E37" i="14" s="1"/>
  <c r="J5" i="16"/>
  <c r="J19" i="16" s="1"/>
  <c r="J23" i="16" s="1"/>
  <c r="K63" i="14" s="1"/>
  <c r="J5" i="15"/>
  <c r="J17" i="15" s="1"/>
  <c r="K15" i="14" s="1"/>
  <c r="K13" i="14" s="1"/>
  <c r="O5" i="15"/>
  <c r="O17" i="15" s="1"/>
  <c r="O21" i="15" s="1"/>
  <c r="P61" i="14" s="1"/>
  <c r="P59" i="14" s="1"/>
  <c r="O5" i="13"/>
  <c r="O9" i="13" s="1"/>
  <c r="J5" i="13"/>
  <c r="J9" i="13" s="1"/>
  <c r="J17" i="18"/>
  <c r="K114" i="14" s="1"/>
  <c r="M85" i="14"/>
  <c r="M87" i="14" s="1"/>
  <c r="M88" i="14" s="1"/>
  <c r="M39" i="14"/>
  <c r="M41" i="14" s="1"/>
  <c r="M42" i="14" s="1"/>
  <c r="L7" i="48"/>
  <c r="J44" i="18"/>
  <c r="D17" i="18" s="1"/>
  <c r="E114" i="14" s="1"/>
  <c r="I44" i="18"/>
  <c r="J10" i="18"/>
  <c r="K103" i="14"/>
  <c r="K8" i="59" s="1"/>
  <c r="K10" i="18"/>
  <c r="L103" i="14"/>
  <c r="G44" i="18"/>
  <c r="I17" i="18" s="1"/>
  <c r="J114" i="14" s="1"/>
  <c r="K17" i="18"/>
  <c r="K20" i="18" s="1"/>
  <c r="C8" i="18"/>
  <c r="N8" i="18" s="1"/>
  <c r="N50" i="22"/>
  <c r="N54" i="22" s="1"/>
  <c r="N58" i="22" s="1"/>
  <c r="C25" i="14"/>
  <c r="G50" i="22"/>
  <c r="G54" i="22" s="1"/>
  <c r="G10" i="48" s="1"/>
  <c r="G28" i="48" s="1"/>
  <c r="N105" i="14"/>
  <c r="C115" i="14"/>
  <c r="C18" i="59" s="1"/>
  <c r="L71" i="14"/>
  <c r="L83" i="14" s="1"/>
  <c r="N71" i="14"/>
  <c r="J71" i="14"/>
  <c r="J83" i="14" s="1"/>
  <c r="I71" i="14"/>
  <c r="K71" i="14"/>
  <c r="K83" i="14" s="1"/>
  <c r="G71" i="14"/>
  <c r="G83" i="14" s="1"/>
  <c r="E71" i="14"/>
  <c r="M20" i="59"/>
  <c r="K18" i="59"/>
  <c r="N117" i="14"/>
  <c r="N18" i="59"/>
  <c r="N20" i="59" s="1"/>
  <c r="D5" i="48"/>
  <c r="D23" i="48" s="1"/>
  <c r="E15" i="14"/>
  <c r="E13" i="14" s="1"/>
  <c r="D13" i="13"/>
  <c r="E62" i="14" s="1"/>
  <c r="E16" i="14"/>
  <c r="I20" i="14"/>
  <c r="Q66" i="14"/>
  <c r="Q88" i="14" s="1"/>
  <c r="J66" i="14"/>
  <c r="R66" i="14"/>
  <c r="R88" i="14" s="1"/>
  <c r="G9" i="59"/>
  <c r="G10" i="59" s="1"/>
  <c r="R20" i="14"/>
  <c r="R42" i="14" s="1"/>
  <c r="H20" i="14"/>
  <c r="Q20" i="14"/>
  <c r="Q42" i="14" s="1"/>
  <c r="S9" i="14"/>
  <c r="S22" i="14"/>
  <c r="O5" i="16"/>
  <c r="O19" i="16" s="1"/>
  <c r="F5" i="15"/>
  <c r="B5" i="15"/>
  <c r="J15" i="14"/>
  <c r="J13" i="14" s="1"/>
  <c r="J20" i="14" s="1"/>
  <c r="J42" i="14" s="1"/>
  <c r="I5" i="48"/>
  <c r="S23" i="14"/>
  <c r="S10" i="14"/>
  <c r="F4" i="48"/>
  <c r="F22" i="48" s="1"/>
  <c r="G16" i="14"/>
  <c r="C16" i="14"/>
  <c r="F16" i="14"/>
  <c r="E13" i="13"/>
  <c r="F62" i="14" s="1"/>
  <c r="F13" i="13"/>
  <c r="G62" i="14" s="1"/>
  <c r="D16" i="14"/>
  <c r="E5" i="15"/>
  <c r="E17" i="15" s="1"/>
  <c r="E5" i="48" s="1"/>
  <c r="E23" i="48" s="1"/>
  <c r="N17" i="14"/>
  <c r="D23" i="16"/>
  <c r="E63" i="14" s="1"/>
  <c r="P33" i="48"/>
  <c r="D8" i="48"/>
  <c r="D26" i="48" s="1"/>
  <c r="P15" i="48"/>
  <c r="B5" i="16"/>
  <c r="B19" i="16" s="1"/>
  <c r="R13" i="48"/>
  <c r="G9" i="48"/>
  <c r="G18" i="22"/>
  <c r="H77" i="14" s="1"/>
  <c r="H76" i="14" s="1"/>
  <c r="H31" i="14"/>
  <c r="H30" i="14" s="1"/>
  <c r="D15" i="14"/>
  <c r="D13" i="14" s="1"/>
  <c r="R11" i="48"/>
  <c r="D21" i="15"/>
  <c r="E61" i="14" s="1"/>
  <c r="E59" i="14" s="1"/>
  <c r="O15" i="14"/>
  <c r="O13" i="14" s="1"/>
  <c r="O20" i="14" s="1"/>
  <c r="O61" i="14"/>
  <c r="O59" i="14" s="1"/>
  <c r="O66" i="14" s="1"/>
  <c r="N5" i="48"/>
  <c r="N23" i="48" s="1"/>
  <c r="L61" i="14"/>
  <c r="K5" i="48"/>
  <c r="K23" i="48" s="1"/>
  <c r="L15" i="14"/>
  <c r="Q33" i="48"/>
  <c r="Q15" i="48"/>
  <c r="D13" i="17"/>
  <c r="E85" i="14" s="1"/>
  <c r="E87" i="14" s="1"/>
  <c r="E13" i="17"/>
  <c r="F85" i="14" s="1"/>
  <c r="F87" i="14" s="1"/>
  <c r="E7" i="48"/>
  <c r="E25" i="48" s="1"/>
  <c r="E39" i="14"/>
  <c r="E41" i="14" s="1"/>
  <c r="N39" i="14"/>
  <c r="N41" i="14" s="1"/>
  <c r="O13" i="17"/>
  <c r="O7" i="48"/>
  <c r="O25" i="48" s="1"/>
  <c r="D39" i="14"/>
  <c r="D41" i="14" s="1"/>
  <c r="N63" i="14"/>
  <c r="F116" i="14"/>
  <c r="F19" i="59" s="1"/>
  <c r="E116" i="14"/>
  <c r="E19" i="59" s="1"/>
  <c r="I116" i="14"/>
  <c r="F114" i="14"/>
  <c r="F8" i="59"/>
  <c r="I103" i="14"/>
  <c r="D114" i="14"/>
  <c r="E8" i="59"/>
  <c r="J7" i="48"/>
  <c r="J25" i="48" s="1"/>
  <c r="J13" i="17"/>
  <c r="K85" i="14" s="1"/>
  <c r="K87" i="14" s="1"/>
  <c r="F5" i="16"/>
  <c r="F19" i="16" s="1"/>
  <c r="E5" i="16"/>
  <c r="E19" i="16" s="1"/>
  <c r="N15" i="14"/>
  <c r="N13" i="14" s="1"/>
  <c r="N61" i="14"/>
  <c r="N59" i="14" s="1"/>
  <c r="C15" i="48"/>
  <c r="M33" i="48"/>
  <c r="M15" i="48"/>
  <c r="D103" i="14" l="1"/>
  <c r="E14" i="22"/>
  <c r="E18" i="22" s="1"/>
  <c r="B17" i="15"/>
  <c r="B5" i="48" s="1"/>
  <c r="N14" i="22"/>
  <c r="N18" i="22" s="1"/>
  <c r="O77" i="14" s="1"/>
  <c r="O76" i="14" s="1"/>
  <c r="O83" i="14" s="1"/>
  <c r="O88" i="14" s="1"/>
  <c r="F5" i="48"/>
  <c r="F23" i="48" s="1"/>
  <c r="F17" i="15"/>
  <c r="O13" i="13"/>
  <c r="P62" i="14" s="1"/>
  <c r="F77" i="14"/>
  <c r="F76" i="14" s="1"/>
  <c r="F83" i="14" s="1"/>
  <c r="F31" i="14"/>
  <c r="F30" i="14" s="1"/>
  <c r="F37" i="14" s="1"/>
  <c r="G58" i="22"/>
  <c r="D9" i="48"/>
  <c r="D27" i="48" s="1"/>
  <c r="D33" i="48" s="1"/>
  <c r="D18" i="22"/>
  <c r="E77" i="14" s="1"/>
  <c r="E76" i="14" s="1"/>
  <c r="E83" i="14" s="1"/>
  <c r="H83" i="14"/>
  <c r="H88" i="14" s="1"/>
  <c r="N10" i="48"/>
  <c r="N28" i="48" s="1"/>
  <c r="F7" i="48"/>
  <c r="F25" i="48" s="1"/>
  <c r="F13" i="17"/>
  <c r="G85" i="14" s="1"/>
  <c r="G87" i="14" s="1"/>
  <c r="E66" i="14"/>
  <c r="I23" i="48"/>
  <c r="I33" i="48" s="1"/>
  <c r="H9" i="48"/>
  <c r="H27" i="48" s="1"/>
  <c r="H33" i="48" s="1"/>
  <c r="H18" i="22"/>
  <c r="I77" i="14" s="1"/>
  <c r="I76" i="14" s="1"/>
  <c r="I83" i="14" s="1"/>
  <c r="I88" i="14" s="1"/>
  <c r="B9" i="48"/>
  <c r="J8" i="48"/>
  <c r="J26" i="48" s="1"/>
  <c r="K17" i="14"/>
  <c r="C31" i="14"/>
  <c r="C30" i="14" s="1"/>
  <c r="C37" i="14" s="1"/>
  <c r="P16" i="14"/>
  <c r="O4" i="48"/>
  <c r="O22" i="48" s="1"/>
  <c r="J13" i="13"/>
  <c r="K62" i="14" s="1"/>
  <c r="J4" i="48"/>
  <c r="J22" i="48" s="1"/>
  <c r="K16" i="14"/>
  <c r="D20" i="14"/>
  <c r="D42" i="14" s="1"/>
  <c r="B21" i="6" s="1"/>
  <c r="B23" i="6" s="1"/>
  <c r="C21" i="16" s="1"/>
  <c r="C23" i="16" s="1"/>
  <c r="D63" i="14" s="1"/>
  <c r="H17" i="18"/>
  <c r="N17" i="18" s="1"/>
  <c r="P17" i="14"/>
  <c r="O23" i="16"/>
  <c r="P63" i="14" s="1"/>
  <c r="L114" i="14"/>
  <c r="L25" i="48"/>
  <c r="L33" i="48" s="1"/>
  <c r="L15" i="48"/>
  <c r="M90" i="14"/>
  <c r="O103" i="14"/>
  <c r="D8" i="59"/>
  <c r="L8" i="59"/>
  <c r="L10" i="59" s="1"/>
  <c r="L105" i="14"/>
  <c r="E20" i="14"/>
  <c r="E42" i="14" s="1"/>
  <c r="H25" i="14"/>
  <c r="H37" i="14" s="1"/>
  <c r="H42" i="14" s="1"/>
  <c r="S26" i="14"/>
  <c r="G15" i="48"/>
  <c r="G27" i="48"/>
  <c r="G33" i="48" s="1"/>
  <c r="I8" i="59"/>
  <c r="B103" i="14"/>
  <c r="B8" i="59" s="1"/>
  <c r="C103" i="14"/>
  <c r="I104" i="14"/>
  <c r="I9" i="59" s="1"/>
  <c r="H10" i="18"/>
  <c r="I10" i="18"/>
  <c r="J104" i="14"/>
  <c r="N10" i="18"/>
  <c r="C20" i="18"/>
  <c r="J88" i="14"/>
  <c r="J90" i="14" s="1"/>
  <c r="N20" i="14"/>
  <c r="N42" i="14" s="1"/>
  <c r="I19" i="59"/>
  <c r="O8" i="48"/>
  <c r="O26" i="48" s="1"/>
  <c r="G15" i="14"/>
  <c r="G13" i="14" s="1"/>
  <c r="F21" i="15"/>
  <c r="G61" i="14" s="1"/>
  <c r="G59" i="14" s="1"/>
  <c r="P85" i="14"/>
  <c r="P87" i="14" s="1"/>
  <c r="N85" i="14"/>
  <c r="N87" i="14" s="1"/>
  <c r="N66" i="14"/>
  <c r="L59" i="14"/>
  <c r="L66" i="14" s="1"/>
  <c r="L88" i="14" s="1"/>
  <c r="S41" i="14"/>
  <c r="I15" i="48"/>
  <c r="L13" i="14"/>
  <c r="L20" i="14" s="1"/>
  <c r="L42" i="14" s="1"/>
  <c r="C15" i="14"/>
  <c r="C13" i="14" s="1"/>
  <c r="O5" i="48"/>
  <c r="O23" i="48" s="1"/>
  <c r="Q90" i="14"/>
  <c r="R90" i="14"/>
  <c r="P15" i="14"/>
  <c r="J21" i="15"/>
  <c r="K61" i="14" s="1"/>
  <c r="J5" i="48"/>
  <c r="J23" i="48" s="1"/>
  <c r="C17" i="14"/>
  <c r="B8" i="48"/>
  <c r="I42" i="14"/>
  <c r="K33" i="48"/>
  <c r="K15" i="48"/>
  <c r="S39" i="14"/>
  <c r="F15" i="14"/>
  <c r="F13" i="14" s="1"/>
  <c r="E21" i="15"/>
  <c r="F61" i="14" s="1"/>
  <c r="F59" i="14" s="1"/>
  <c r="D20" i="18"/>
  <c r="D116" i="14"/>
  <c r="E117" i="14"/>
  <c r="E17" i="59"/>
  <c r="E20" i="59" s="1"/>
  <c r="J17" i="59"/>
  <c r="H20" i="18"/>
  <c r="D17" i="59"/>
  <c r="F104" i="14"/>
  <c r="E10" i="18"/>
  <c r="C10" i="18"/>
  <c r="D104" i="14"/>
  <c r="F17" i="59"/>
  <c r="F20" i="59" s="1"/>
  <c r="F117" i="14"/>
  <c r="E20" i="18"/>
  <c r="E104" i="14"/>
  <c r="D10" i="18"/>
  <c r="F17" i="14"/>
  <c r="E23" i="16"/>
  <c r="F63" i="14" s="1"/>
  <c r="E8" i="48"/>
  <c r="E26" i="48" s="1"/>
  <c r="F23" i="16"/>
  <c r="G63" i="14" s="1"/>
  <c r="G17" i="14"/>
  <c r="F8" i="48"/>
  <c r="F26" i="48" s="1"/>
  <c r="O31" i="14" l="1"/>
  <c r="O30" i="14" s="1"/>
  <c r="O37" i="14" s="1"/>
  <c r="O42" i="14" s="1"/>
  <c r="N9" i="48"/>
  <c r="N27" i="48" s="1"/>
  <c r="P66" i="14"/>
  <c r="N33" i="48"/>
  <c r="E9" i="48"/>
  <c r="E27" i="48" s="1"/>
  <c r="E33" i="48" s="1"/>
  <c r="S25" i="14"/>
  <c r="D15" i="48"/>
  <c r="N15" i="48"/>
  <c r="R10" i="48"/>
  <c r="H15" i="48"/>
  <c r="E88" i="14"/>
  <c r="E90" i="14" s="1"/>
  <c r="O9" i="59"/>
  <c r="R7" i="48"/>
  <c r="B15" i="48"/>
  <c r="R4" i="48"/>
  <c r="S16" i="14"/>
  <c r="K20" i="14"/>
  <c r="K42" i="14" s="1"/>
  <c r="L17" i="59"/>
  <c r="L20" i="59" s="1"/>
  <c r="L117" i="14"/>
  <c r="I10" i="59"/>
  <c r="I114" i="14"/>
  <c r="S30" i="14"/>
  <c r="N20" i="18"/>
  <c r="I105" i="14"/>
  <c r="J9" i="59"/>
  <c r="J10" i="59" s="1"/>
  <c r="J105" i="14"/>
  <c r="D117" i="14"/>
  <c r="S37" i="14"/>
  <c r="K116" i="14"/>
  <c r="K117" i="14" s="1"/>
  <c r="O33" i="48"/>
  <c r="J20" i="18"/>
  <c r="N88" i="14"/>
  <c r="N90" i="14" s="1"/>
  <c r="P88" i="14"/>
  <c r="I90" i="14"/>
  <c r="F66" i="14"/>
  <c r="F88" i="14" s="1"/>
  <c r="H90" i="14"/>
  <c r="K59" i="14"/>
  <c r="K66" i="14" s="1"/>
  <c r="K88" i="14" s="1"/>
  <c r="L90" i="14"/>
  <c r="G66" i="14"/>
  <c r="G88" i="14" s="1"/>
  <c r="O15" i="48"/>
  <c r="R5" i="48"/>
  <c r="C20" i="14"/>
  <c r="C42" i="14" s="1"/>
  <c r="B3" i="6" s="1"/>
  <c r="F20" i="14"/>
  <c r="F42" i="14" s="1"/>
  <c r="P13" i="14"/>
  <c r="P20" i="14" s="1"/>
  <c r="P42" i="14" s="1"/>
  <c r="G20" i="14"/>
  <c r="G42" i="14" s="1"/>
  <c r="S31" i="14"/>
  <c r="J15" i="48"/>
  <c r="S15" i="14"/>
  <c r="J33" i="48"/>
  <c r="O90" i="14"/>
  <c r="C11" i="17"/>
  <c r="C13" i="17" s="1"/>
  <c r="D85" i="14" s="1"/>
  <c r="D87" i="14" s="1"/>
  <c r="C19" i="15"/>
  <c r="C21" i="15" s="1"/>
  <c r="D61" i="14" s="1"/>
  <c r="D59" i="14" s="1"/>
  <c r="C56" i="22"/>
  <c r="C16" i="22"/>
  <c r="C11" i="13"/>
  <c r="C17" i="48" s="1"/>
  <c r="C8" i="19"/>
  <c r="C10" i="19" s="1"/>
  <c r="D56" i="14" s="1"/>
  <c r="D55" i="14" s="1"/>
  <c r="C29" i="20"/>
  <c r="C22" i="59"/>
  <c r="J116" i="14"/>
  <c r="I20" i="18"/>
  <c r="K17" i="59"/>
  <c r="F9" i="59"/>
  <c r="F10" i="59" s="1"/>
  <c r="F105" i="14"/>
  <c r="C8" i="59"/>
  <c r="O8" i="59"/>
  <c r="D105" i="14"/>
  <c r="D9" i="59"/>
  <c r="D10" i="59" s="1"/>
  <c r="O19" i="59"/>
  <c r="D19" i="59"/>
  <c r="D20" i="59" s="1"/>
  <c r="E9" i="59"/>
  <c r="E10" i="59" s="1"/>
  <c r="E105" i="14"/>
  <c r="F33" i="48"/>
  <c r="F15" i="48"/>
  <c r="R8" i="48"/>
  <c r="S17" i="14"/>
  <c r="E15" i="48"/>
  <c r="R9" i="48" l="1"/>
  <c r="O105" i="14"/>
  <c r="B10" i="6" s="1"/>
  <c r="K90" i="14"/>
  <c r="D72" i="14"/>
  <c r="D73" i="14"/>
  <c r="C19" i="59"/>
  <c r="B114" i="14"/>
  <c r="B17" i="59" s="1"/>
  <c r="O114" i="14"/>
  <c r="O17" i="59" s="1"/>
  <c r="O20" i="59" s="1"/>
  <c r="I17" i="59"/>
  <c r="I20" i="59" s="1"/>
  <c r="C114" i="14"/>
  <c r="C17" i="59" s="1"/>
  <c r="I117" i="14"/>
  <c r="C26" i="48"/>
  <c r="C23" i="48"/>
  <c r="C27" i="48"/>
  <c r="C24" i="48"/>
  <c r="C25" i="48"/>
  <c r="C28" i="48"/>
  <c r="C29" i="48"/>
  <c r="C30" i="48"/>
  <c r="C31" i="48"/>
  <c r="C22" i="48"/>
  <c r="C32" i="48"/>
  <c r="S20" i="14"/>
  <c r="S42" i="14" s="1"/>
  <c r="P90" i="14"/>
  <c r="K19" i="59"/>
  <c r="K20" i="59" s="1"/>
  <c r="B19" i="59"/>
  <c r="J117" i="14"/>
  <c r="C9" i="59"/>
  <c r="C10" i="59" s="1"/>
  <c r="K105" i="14"/>
  <c r="G90" i="14"/>
  <c r="R15" i="48"/>
  <c r="S13" i="14"/>
  <c r="F90" i="14"/>
  <c r="C13" i="13"/>
  <c r="D62" i="14" s="1"/>
  <c r="D66" i="14" s="1"/>
  <c r="J19" i="59"/>
  <c r="J20" i="59" s="1"/>
  <c r="K10" i="59"/>
  <c r="O10" i="59"/>
  <c r="O117" i="14" l="1"/>
  <c r="B18" i="6" s="1"/>
  <c r="B20" i="59"/>
  <c r="B117" i="14"/>
  <c r="C105" i="14"/>
  <c r="D71" i="14"/>
  <c r="C117" i="14"/>
  <c r="C20" i="59"/>
  <c r="C33" i="48"/>
  <c r="B9" i="59"/>
  <c r="B10" i="59" s="1"/>
  <c r="B105" i="14"/>
  <c r="B4" i="6" l="1"/>
  <c r="D83" i="14"/>
  <c r="D88" i="14" s="1"/>
  <c r="D90" i="14" s="1"/>
  <c r="B13" i="6" l="1"/>
  <c r="B56" i="22" s="1"/>
  <c r="C73" i="14" l="1"/>
  <c r="S73" i="14" s="1"/>
  <c r="C72" i="14"/>
  <c r="S72" i="14" s="1"/>
  <c r="B16" i="22"/>
  <c r="B21" i="16"/>
  <c r="B23" i="16" s="1"/>
  <c r="C63" i="14" s="1"/>
  <c r="S63" i="14" s="1"/>
  <c r="B8" i="49"/>
  <c r="B10" i="49" s="1"/>
  <c r="C57" i="14" s="1"/>
  <c r="S57" i="14" s="1"/>
  <c r="B11" i="13"/>
  <c r="B17" i="48" s="1"/>
  <c r="B22" i="48" s="1"/>
  <c r="R22" i="48" s="1"/>
  <c r="B10" i="9"/>
  <c r="B12" i="9" s="1"/>
  <c r="B11" i="17"/>
  <c r="B13" i="17" s="1"/>
  <c r="C85" i="14" s="1"/>
  <c r="S85" i="14" s="1"/>
  <c r="C86" i="14"/>
  <c r="S86" i="14" s="1"/>
  <c r="C12" i="59"/>
  <c r="B58" i="22"/>
  <c r="B8" i="19"/>
  <c r="B10" i="19" s="1"/>
  <c r="C56" i="14" s="1"/>
  <c r="S56" i="14" s="1"/>
  <c r="B29" i="20"/>
  <c r="B31" i="20" s="1"/>
  <c r="C69" i="14" s="1"/>
  <c r="C68" i="14" s="1"/>
  <c r="S68" i="14" s="1"/>
  <c r="B19" i="15"/>
  <c r="B21" i="15" s="1"/>
  <c r="B18" i="22" l="1"/>
  <c r="C77" i="14" s="1"/>
  <c r="B13" i="13"/>
  <c r="C62" i="14" s="1"/>
  <c r="S62" i="14" s="1"/>
  <c r="B28" i="48"/>
  <c r="R28" i="48" s="1"/>
  <c r="B24" i="48"/>
  <c r="C61" i="14"/>
  <c r="S61" i="14" s="1"/>
  <c r="B31" i="48"/>
  <c r="R31" i="48" s="1"/>
  <c r="B26" i="48"/>
  <c r="R26" i="48" s="1"/>
  <c r="B30" i="48"/>
  <c r="R30" i="48" s="1"/>
  <c r="B29" i="48"/>
  <c r="R29" i="48" s="1"/>
  <c r="B25" i="48"/>
  <c r="R25" i="48" s="1"/>
  <c r="B27" i="48"/>
  <c r="R27" i="48" s="1"/>
  <c r="B23" i="48"/>
  <c r="R23" i="48" s="1"/>
  <c r="B32" i="48"/>
  <c r="R32" i="48" s="1"/>
  <c r="C87" i="14"/>
  <c r="S87" i="14"/>
  <c r="C55" i="14"/>
  <c r="S55" i="14" s="1"/>
  <c r="C71" i="14"/>
  <c r="S71" i="14" s="1"/>
  <c r="S69" i="14"/>
  <c r="S77" i="14" l="1"/>
  <c r="C76" i="14"/>
  <c r="S76" i="14" s="1"/>
  <c r="C59" i="14"/>
  <c r="S59" i="14" s="1"/>
  <c r="B33" i="48"/>
  <c r="R33" i="48"/>
  <c r="C83" i="14" l="1"/>
  <c r="S83" i="14" s="1"/>
  <c r="C66" i="14"/>
  <c r="C88" i="14" l="1"/>
  <c r="C90" i="14" s="1"/>
  <c r="S66" i="14"/>
  <c r="S88"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Erika Meynaerts</author>
  </authors>
  <commentList>
    <comment ref="A9" authorId="0" shapeId="0" xr:uid="{573B773B-10A6-4DA8-A386-92ADB774F8D2}">
      <text>
        <r>
          <rPr>
            <b/>
            <sz val="9"/>
            <color indexed="81"/>
            <rFont val="Tahoma"/>
            <family val="2"/>
          </rPr>
          <t>Erika Meynaerts:</t>
        </r>
        <r>
          <rPr>
            <sz val="9"/>
            <color indexed="81"/>
            <rFont val="Tahoma"/>
            <family val="2"/>
          </rPr>
          <t xml:space="preserve">
Sinds 2018 worden er geen doorrekeningen meer met PROMOVIA gedaan op lokaal niveau. In afwachting van een nieuwe gegevensbron, worden de voertuigkilometers constant verondersteld vanaf het inventarisjaar 2016. Indien een gemeente dit wenst, kan ze zelf een inschatting maken van de voertuigkilometers per wegtype en voertuigtechnologie voor de jaren 2017 ev. op basis van de evolutie in voertuigkilometers in Vlaanderen t.o.v. 2016.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tc={0957C89F-3B6E-4BE0-822C-73E80CCB9DBE}</author>
    <author>tc={A05A632A-AA62-4BD2-A146-629C550D5839}</author>
  </authors>
  <commentList>
    <comment ref="A4" authorId="0" shapeId="0" xr:uid="{0957C89F-3B6E-4BE0-822C-73E80CCB9DBE}">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aangekocht werd van buiten het grondgebied van de gemeente 
</t>
      </text>
    </comment>
    <comment ref="A5" authorId="1" shapeId="0" xr:uid="{A05A632A-AA62-4BD2-A146-629C550D5839}">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opgewekt werd binnen het grondgebied van de gemeente maar verkocht aan derden buiten de administratieve grenzen van de gemeente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A0B8A01D-B66A-4B2E-885D-BD27D5EC3D02}">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M5" authorId="1" shapeId="0" xr:uid="{00000000-0006-0000-1C00-000005000000}">
      <text>
        <r>
          <rPr>
            <b/>
            <sz val="9"/>
            <color indexed="81"/>
            <rFont val="Tahoma"/>
            <family val="2"/>
          </rPr>
          <t>Aernouts Kristien:</t>
        </r>
        <r>
          <rPr>
            <sz val="9"/>
            <color indexed="81"/>
            <rFont val="Tahoma"/>
            <family val="2"/>
          </rPr>
          <t xml:space="preserve">
idem biomassa</t>
        </r>
      </text>
    </comment>
    <comment ref="O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<sst xmlns="http://schemas.openxmlformats.org/spreadsheetml/2006/main" count="3026" uniqueCount="783">
  <si>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</si>
  <si>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</si>
  <si>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</si>
  <si>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</si>
  <si>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</si>
  <si>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</si>
  <si>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</si>
  <si>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</si>
  <si>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</si>
  <si>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</si>
  <si>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</si>
  <si>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</si>
  <si>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</si>
  <si>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</si>
  <si>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</si>
  <si>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</si>
  <si>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</si>
  <si>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</si>
  <si>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</si>
  <si>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</si>
  <si>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</si>
  <si>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</si>
  <si>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</si>
  <si>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</si>
  <si>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</si>
  <si>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</si>
  <si>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</si>
  <si>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</si>
  <si>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</si>
  <si>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</si>
  <si>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</si>
  <si>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</si>
  <si>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</si>
  <si>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</si>
  <si>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</si>
  <si>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</si>
  <si>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</si>
  <si>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</si>
  <si>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</si>
  <si>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</si>
  <si>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</si>
  <si>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</si>
  <si>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</si>
  <si>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</si>
  <si>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</si>
  <si>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</si>
  <si>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</si>
  <si>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</si>
  <si>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</si>
  <si>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</si>
  <si>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</si>
  <si>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</si>
  <si>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</si>
  <si>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</si>
  <si>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</si>
  <si>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</si>
  <si>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</si>
  <si>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</si>
  <si>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</si>
  <si>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</si>
  <si>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</si>
  <si>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</si>
  <si>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</si>
  <si>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</si>
  <si>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</si>
  <si>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</si>
  <si>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</si>
  <si>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</si>
  <si>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</si>
  <si>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aardgas</t>
  </si>
  <si>
    <t>butaan-propaan</t>
  </si>
  <si>
    <t>elektriciteit</t>
  </si>
  <si>
    <t>hout</t>
  </si>
  <si>
    <t>steenkool</t>
  </si>
  <si>
    <t>stookolie</t>
  </si>
  <si>
    <t>warmtepomp</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</si>
  <si>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</si>
  <si>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</si>
  <si>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</si>
  <si>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</si>
  <si>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</si>
  <si>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</si>
  <si>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</si>
  <si>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</si>
  <si>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</si>
  <si>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</si>
  <si>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</si>
  <si>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</si>
  <si>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</si>
  <si>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</si>
  <si>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</si>
  <si>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</si>
  <si>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</si>
  <si>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</si>
  <si>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</si>
  <si>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</si>
  <si>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</si>
  <si>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</si>
  <si>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</si>
  <si>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</si>
  <si>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</si>
  <si>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</si>
  <si>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</si>
  <si>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</si>
  <si>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</si>
  <si>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</si>
  <si>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</si>
  <si>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</si>
  <si>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</si>
  <si>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</si>
  <si>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</si>
  <si>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</si>
  <si>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</si>
  <si>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</si>
  <si>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</si>
  <si>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</si>
  <si>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</si>
  <si>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</si>
  <si>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</si>
  <si>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</si>
  <si>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</si>
  <si>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</si>
  <si>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</si>
  <si>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</si>
  <si>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</si>
  <si>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</si>
  <si>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</si>
  <si>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</si>
  <si>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</si>
  <si>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</si>
  <si>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</si>
  <si>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</si>
  <si>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</si>
  <si>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</si>
  <si>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</si>
  <si>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</si>
  <si>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</si>
  <si>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</si>
  <si>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</si>
  <si>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</si>
  <si>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</si>
  <si>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</si>
  <si>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</si>
  <si>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</si>
  <si>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</si>
  <si>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</si>
  <si>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</si>
  <si>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</si>
  <si>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</si>
  <si>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</si>
  <si>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</si>
  <si>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</si>
  <si>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</si>
  <si>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</si>
  <si>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</si>
  <si>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</si>
  <si>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</si>
  <si>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</si>
  <si>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</si>
  <si>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</si>
  <si>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</si>
  <si>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</si>
  <si>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</si>
  <si>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</si>
  <si>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</si>
  <si>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</si>
  <si>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</si>
  <si>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</si>
  <si>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</si>
  <si>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</si>
  <si>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</si>
  <si>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</si>
  <si>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</si>
  <si>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</si>
  <si>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</si>
  <si>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</si>
  <si>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</si>
  <si>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</si>
  <si>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</si>
  <si>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</si>
  <si>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</si>
  <si>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</si>
  <si>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</si>
  <si>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</si>
  <si>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</si>
  <si>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</si>
  <si>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</si>
  <si>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</si>
  <si>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</si>
  <si>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</si>
  <si>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</si>
  <si>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</si>
  <si>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</si>
  <si>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</si>
  <si>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</si>
  <si>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A. Finaal energieverbruik</t>
  </si>
  <si>
    <t>Categorie</t>
  </si>
  <si>
    <t>Gemeentelijke gebouwen en installaties/voorzieningen</t>
  </si>
  <si>
    <t>Tertiaire (niet-gemeentelijke) gebouwen en installaties/voorzieningen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</si>
  <si>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</si>
  <si>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</si>
  <si>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</si>
  <si>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</si>
  <si>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</si>
  <si>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</si>
  <si>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</si>
  <si>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</si>
  <si>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</si>
  <si>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</si>
  <si>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</si>
  <si>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</si>
  <si>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</si>
  <si>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</si>
  <si>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</si>
  <si>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</si>
  <si>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</si>
  <si>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</si>
  <si>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</si>
  <si>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</si>
  <si>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</si>
  <si>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</si>
  <si>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</si>
  <si>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</si>
  <si>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</si>
  <si>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</si>
  <si>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</si>
  <si>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t xml:space="preserve">Andere hernieuw-bare energie </t>
  </si>
  <si>
    <t>Stadsverwarmingsinstallatie(s)</t>
  </si>
  <si>
    <t>tertiaire sector totaal</t>
  </si>
  <si>
    <t>REST tertiair</t>
  </si>
  <si>
    <t>TOTAAL tertiaire sector  (MWh)</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</si>
  <si>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</si>
  <si>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</si>
  <si>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</si>
  <si>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</si>
  <si>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</si>
  <si>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</si>
  <si>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</si>
  <si>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</si>
  <si>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</si>
  <si>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</si>
  <si>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</si>
  <si>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</si>
  <si>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</si>
  <si>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</si>
  <si>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</si>
  <si>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</si>
  <si>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</si>
  <si>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</si>
  <si>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</si>
  <si>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</si>
  <si>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</si>
  <si>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</si>
  <si>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</si>
  <si>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</si>
  <si>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</si>
  <si>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</si>
  <si>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</si>
  <si>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</si>
  <si>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</si>
  <si>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</si>
  <si>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</si>
  <si>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</si>
  <si>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</si>
  <si>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</si>
  <si>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</si>
  <si>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</si>
  <si>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</si>
  <si>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</si>
  <si>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</si>
  <si>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</si>
  <si>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</si>
  <si>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</si>
  <si>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</si>
  <si>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</si>
  <si>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</si>
  <si>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</si>
  <si>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</si>
  <si>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</si>
  <si>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</si>
  <si>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</si>
  <si>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</si>
  <si>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</si>
  <si>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</si>
  <si>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</si>
  <si>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</si>
  <si>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</si>
  <si>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</si>
  <si>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</si>
  <si>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</si>
  <si>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</si>
  <si>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</si>
  <si>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</si>
  <si>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</si>
  <si>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</si>
  <si>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</si>
  <si>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</si>
  <si>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</si>
  <si>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</si>
  <si>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</si>
  <si>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</si>
  <si>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</si>
  <si>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</si>
  <si>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</si>
  <si>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</si>
  <si>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</si>
  <si>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</si>
  <si>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</si>
  <si>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</si>
  <si>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</si>
  <si>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</si>
  <si>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</si>
  <si>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</si>
  <si>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</si>
  <si>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</si>
  <si>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</si>
  <si>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</si>
  <si>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</si>
  <si>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</si>
  <si>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</si>
  <si>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</si>
  <si>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</si>
  <si>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</si>
  <si>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</si>
  <si>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</si>
  <si>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</si>
  <si>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</si>
  <si>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</si>
  <si>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</si>
  <si>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Beschrijving sheets INPUT--&gt;</t>
  </si>
  <si>
    <t>Beschrijving sheets OUTPUT--&gt;</t>
  </si>
  <si>
    <t>energieverbruik van eigen organisatie, i.e. vloot</t>
  </si>
  <si>
    <t>Eigen gebouw/installatie</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</si>
  <si>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</si>
  <si>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</si>
  <si>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</si>
  <si>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</si>
  <si>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</si>
  <si>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</si>
  <si>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</si>
  <si>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</si>
  <si>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</si>
  <si>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BRONNEN--&gt;</t>
  </si>
  <si>
    <t>Referentie</t>
  </si>
  <si>
    <t>Weblink</t>
  </si>
  <si>
    <t>Contactpersoon</t>
  </si>
  <si>
    <t>Telefoon</t>
  </si>
  <si>
    <t>E-mail</t>
  </si>
  <si>
    <t>Titel publicatie/beschrijving dataset</t>
  </si>
  <si>
    <t>Auteur(s)/dataleverancier(s)</t>
  </si>
  <si>
    <t>Jaar publicatie/aanlevering dataset</t>
  </si>
  <si>
    <t>Vlaams Milieumaatschappij</t>
  </si>
  <si>
    <t>Inge Van Vynckt</t>
  </si>
  <si>
    <t>053 / 72 65 13</t>
  </si>
  <si>
    <t>i.vanvynckt@vmm.be</t>
  </si>
  <si>
    <t>IPCC</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</si>
  <si>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</si>
  <si>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</si>
  <si>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</si>
  <si>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</si>
  <si>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</si>
  <si>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</si>
  <si>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</si>
  <si>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</si>
  <si>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</si>
  <si>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</si>
  <si>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</si>
  <si>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</si>
  <si>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</si>
  <si>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</si>
  <si>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</si>
  <si>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</si>
  <si>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</si>
  <si>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</si>
  <si>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</si>
  <si>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</si>
  <si>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</si>
  <si>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</si>
  <si>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</si>
  <si>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</si>
  <si>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</si>
  <si>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</si>
  <si>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</si>
  <si>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</si>
  <si>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</si>
  <si>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</si>
  <si>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</si>
  <si>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</si>
  <si>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</si>
  <si>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</si>
  <si>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</si>
  <si>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</si>
  <si>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</si>
  <si>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t>deze sheets worden default voorzien van gegevens uit de INPUT en DATA sheets en vereisen geen input van de gebruiker</t>
  </si>
  <si>
    <t>TOTAAL (MWh) (excl. eigen OV)</t>
  </si>
  <si>
    <t>inschatting hoofdverwarming en bijverwarming</t>
  </si>
  <si>
    <t xml:space="preserve">gemiddelde verbruiken </t>
  </si>
  <si>
    <t>1. Berekening emissiefactor elektriciteit</t>
  </si>
  <si>
    <t>2. Berekening emissiefactor warmte</t>
  </si>
  <si>
    <t>1. Verdeelsleutel andere energiedragers</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</si>
  <si>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</si>
  <si>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</si>
  <si>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</si>
  <si>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</si>
  <si>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</si>
  <si>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</si>
  <si>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</si>
  <si>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</si>
  <si>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</si>
  <si>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</si>
  <si>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</si>
  <si>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</si>
  <si>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</si>
  <si>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</si>
  <si>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</si>
  <si>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</si>
  <si>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</si>
  <si>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</si>
  <si>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</si>
  <si>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</si>
  <si>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</si>
  <si>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</si>
  <si>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</si>
  <si>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</si>
  <si>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</si>
  <si>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</si>
  <si>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</si>
  <si>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TOTAAL eigen vloot (MWh)</t>
  </si>
  <si>
    <t>vloeibaar gas</t>
  </si>
  <si>
    <t>bruinkool</t>
  </si>
  <si>
    <t xml:space="preserve">afval </t>
  </si>
  <si>
    <t>plantaardige olie</t>
  </si>
  <si>
    <t xml:space="preserve">andere biomassa </t>
  </si>
  <si>
    <t xml:space="preserve">andere hernieuwbare energie </t>
  </si>
  <si>
    <t>andere</t>
  </si>
  <si>
    <t>aardgas (MWh)</t>
  </si>
  <si>
    <t>aankoop groene elektriciteit</t>
  </si>
  <si>
    <t xml:space="preserve">openbare verlichting </t>
  </si>
  <si>
    <t xml:space="preserve">correctie voor eigen openbare verlichting </t>
  </si>
  <si>
    <t xml:space="preserve">huishoudens </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</si>
  <si>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</si>
  <si>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</si>
  <si>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</si>
  <si>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</si>
  <si>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</si>
  <si>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</si>
  <si>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</si>
  <si>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</si>
  <si>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</si>
  <si>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</si>
  <si>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</si>
  <si>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</si>
  <si>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</si>
  <si>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</si>
  <si>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</si>
  <si>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</si>
  <si>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</si>
  <si>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</si>
  <si>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</si>
  <si>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</si>
  <si>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</si>
  <si>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</si>
  <si>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</si>
  <si>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</si>
  <si>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</si>
  <si>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</si>
  <si>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</si>
  <si>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</si>
  <si>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</si>
  <si>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</si>
  <si>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</si>
  <si>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</si>
  <si>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</si>
  <si>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</si>
  <si>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Eigen openbare verlichting</t>
  </si>
  <si>
    <t>correctie voor aandeel biobrandstof</t>
  </si>
  <si>
    <t xml:space="preserve">sheet wordt als waarden gekopieerd in de maatregelen tool </t>
  </si>
  <si>
    <t>emissiefactoren</t>
  </si>
  <si>
    <t>sheet wordt gekopieerd als waarden in tool maatregelen</t>
  </si>
  <si>
    <t>http://aps.vlaanderen.be/lokaal/burgemeestersconvenant/burgemeestersconvenant.htm</t>
  </si>
  <si>
    <t xml:space="preserve">versie </t>
  </si>
  <si>
    <t>datum</t>
  </si>
  <si>
    <t>locatie</t>
  </si>
  <si>
    <t>wijziging</t>
  </si>
  <si>
    <t>correctie lokale energieproductie (PV)</t>
  </si>
  <si>
    <t>verhouding ha cultuurgrond gemeente/Vlaanderen (%)</t>
  </si>
  <si>
    <t>cultuurgrond (ha)</t>
  </si>
  <si>
    <t>Totale N2O emissies bodem (direct + indirect) en ha cultuurgrond in Vlaanderen</t>
  </si>
  <si>
    <t>Mestbank</t>
  </si>
  <si>
    <t>VLM</t>
  </si>
  <si>
    <t>gemeentestatistieken gegevens mestbank</t>
  </si>
  <si>
    <t>Landbouw, bosbouw, visserij</t>
  </si>
  <si>
    <t>industrie (niet-ETS)</t>
  </si>
  <si>
    <t>niet-ETS</t>
  </si>
  <si>
    <t>ETS</t>
  </si>
  <si>
    <t>Bedrijven</t>
  </si>
  <si>
    <t xml:space="preserve">Bedrijven </t>
  </si>
  <si>
    <t>waarvan hernieuwbaar</t>
  </si>
  <si>
    <t>Emissies CO2 / CO2-eq [t]</t>
  </si>
  <si>
    <t>fossiele brandstoffen</t>
  </si>
  <si>
    <t>hernieuwbare brandstoffen</t>
  </si>
  <si>
    <t>E85</t>
  </si>
  <si>
    <t xml:space="preserve">Tool Ondersteuning Burgemeestersconvenant - Deel 1: Emission Inventory </t>
  </si>
  <si>
    <t>landbouw (excl. zeevisserij)</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</si>
  <si>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</si>
  <si>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</si>
  <si>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</si>
  <si>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</si>
  <si>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</si>
  <si>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</si>
  <si>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</si>
  <si>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</si>
  <si>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</si>
  <si>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</si>
  <si>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</si>
  <si>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</si>
  <si>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</si>
  <si>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</si>
  <si>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</si>
  <si>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</si>
  <si>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</si>
  <si>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</si>
  <si>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</si>
  <si>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Wilfrid Degroot</t>
  </si>
  <si>
    <t>015 / 408 791</t>
  </si>
  <si>
    <t xml:space="preserve">053 / 72 66 55 </t>
  </si>
  <si>
    <t>Caroline De Bosscher</t>
  </si>
  <si>
    <t xml:space="preserve">c.debosscher@vmm.be </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</si>
  <si>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</si>
  <si>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</si>
  <si>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</si>
  <si>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</si>
  <si>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</si>
  <si>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</si>
  <si>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</si>
  <si>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</si>
  <si>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Gebouwen, installaties/voorzieningen niet toegekend</t>
  </si>
  <si>
    <t>Overige niet toegekend</t>
  </si>
  <si>
    <t>Subtotaal overige</t>
  </si>
  <si>
    <t>Vervoer niet toegekend</t>
  </si>
  <si>
    <t>Geothermische energie</t>
  </si>
  <si>
    <t>waarvan niet-hernieuwbaar</t>
  </si>
  <si>
    <t>BETROUWBAARHEID</t>
  </si>
  <si>
    <t>geen informatie beschikbaar</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</si>
  <si>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</si>
  <si>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</si>
  <si>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</si>
  <si>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</si>
  <si>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</si>
  <si>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</si>
  <si>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</si>
  <si>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</si>
  <si>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</si>
  <si>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</si>
  <si>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</si>
  <si>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</si>
  <si>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</si>
  <si>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</si>
  <si>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</si>
  <si>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</si>
  <si>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</si>
  <si>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</si>
  <si>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</si>
  <si>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</si>
  <si>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</si>
  <si>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</si>
  <si>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</si>
  <si>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</si>
  <si>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</si>
  <si>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</si>
  <si>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</si>
  <si>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</si>
  <si>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</si>
  <si>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</si>
  <si>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emissies warmteproductie op het grondgebied van de gemeente; gecorrigeerd voor import/export van warmte</t>
  </si>
  <si>
    <t>Paarden &amp; pony's  (&lt; 200kg)</t>
  </si>
  <si>
    <t>Fluvius</t>
  </si>
  <si>
    <t>Rita Van Dievoort</t>
  </si>
  <si>
    <t>Rita.VanDievoort@vlm.be</t>
  </si>
  <si>
    <t>Konijnen</t>
  </si>
  <si>
    <t>Nertsen</t>
  </si>
  <si>
    <t xml:space="preserve">EF N2O en CH4 per dier </t>
  </si>
  <si>
    <t>EF N2O_CH4 landbouw'!A1</t>
  </si>
  <si>
    <t>ha_N2O bodem landbouw'!A1</t>
  </si>
  <si>
    <t>ha cultuurgrond en N2O emissies bodem Vlaanderen</t>
  </si>
  <si>
    <t>Vermogen windturbines per gemeente en per jaar</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</si>
  <si>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</si>
  <si>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</si>
  <si>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</si>
  <si>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</si>
  <si>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</si>
  <si>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</si>
  <si>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Fuel Cell H2</t>
  </si>
  <si>
    <t>H2</t>
  </si>
  <si>
    <t>Diesel Hybrid PHEV</t>
  </si>
  <si>
    <t>Petrol Hybrid PHEV</t>
  </si>
  <si>
    <t>Petrol Hybrid CS</t>
  </si>
  <si>
    <t>Diesel hybride</t>
  </si>
  <si>
    <t>ECF transport '!A1</t>
  </si>
  <si>
    <t>transport!B65</t>
  </si>
  <si>
    <t>transport!A21</t>
  </si>
  <si>
    <t>transport!A28</t>
  </si>
  <si>
    <t>VEKA</t>
  </si>
  <si>
    <t>Energiebalans Vlaanderen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</si>
  <si>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</si>
  <si>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</si>
  <si>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</si>
  <si>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</si>
  <si>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</si>
  <si>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</si>
  <si>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</si>
  <si>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</si>
  <si>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</si>
  <si>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</si>
  <si>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https://www.vlm.be/nl/themas/waterkwaliteit/Mestbank/Achtergrond/cijfers-en-studies/gemeentestatistieken_mestbank/Paginas/default.aspx</t>
  </si>
  <si>
    <t>https://www.fluvius.be/nl/thema/open-data/verbruiksgegevens-per-sector?app-refresh=1652793226341</t>
  </si>
  <si>
    <t>Statistiek Vlaanderen</t>
  </si>
  <si>
    <t>Vooruitzichten private huishoudens</t>
  </si>
  <si>
    <t>vloeibaar gas (MWh)</t>
  </si>
  <si>
    <t>zowel warmteleveringen uit productie eigen grondgebied als buiten het grondgebied (geïmporteerde warmteproductie)!</t>
  </si>
  <si>
    <t>input voor maatregelen tool</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</si>
  <si>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</si>
  <si>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</si>
  <si>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</si>
  <si>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herschaling Vlaamse productie op basis van het aandeel van het totaal gemeentespecifiek vermogen in totaal vermogen Vlaanderen</t>
  </si>
  <si>
    <t>correctie voor lokale energieproductie  (WKK en niet-WKK))</t>
  </si>
  <si>
    <t>correctie voor lokale energieproductie  (WKK en niet-WKK)</t>
  </si>
  <si>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</si>
  <si>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wilfrid.degroot@delijn.be</t>
  </si>
  <si>
    <t/>
  </si>
  <si>
    <t>Energiebalans Vlaanderen voor sector huishoudens, tertiair, industrie (niet-ETS) en landbouw</t>
  </si>
  <si>
    <t>verdeling energiedragers Vlaanderen 2021</t>
  </si>
  <si>
    <t>https://www.vlaanderen.be/veka/energie-en-klimaatbeleid-in-cijfers/vlaamse-energiebalans</t>
  </si>
  <si>
    <t>correctie lokale energieproductie (micro-WKK)</t>
  </si>
  <si>
    <t>waarvan totaal huishoudens</t>
  </si>
  <si>
    <t xml:space="preserve">afnamecijfers uit de sheet "data" voor eigen gebouwen </t>
  </si>
  <si>
    <t>afnamecijfers uit de sheet "data" voor eigen openbare verlichting</t>
  </si>
  <si>
    <t>NE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</si>
  <si>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</si>
  <si>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</si>
  <si>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cf. elektriciteit</t>
  </si>
  <si>
    <t>huishoudens!A18</t>
  </si>
  <si>
    <t>verdeling energiedragers huishoudens (Vlaanderen) en gemiddeld energieverbruik per huishouden, per jaar, per energiedrager (Vlaanderen)</t>
  </si>
  <si>
    <t>Institutionele gebouwen</t>
  </si>
  <si>
    <t>Residentiële gebouwen</t>
  </si>
  <si>
    <t>Weg</t>
  </si>
  <si>
    <t>Spoor</t>
  </si>
  <si>
    <t>Lokale waterwegen</t>
  </si>
  <si>
    <t>Lokale luchtvaart</t>
  </si>
  <si>
    <t>Hernieuwbare elektriciteit [MWh]</t>
  </si>
  <si>
    <t>Verkoop van gecertificeerde groene stroom</t>
  </si>
  <si>
    <t>Aankoop van gecertificeerde groene stroom</t>
  </si>
  <si>
    <t>Biogas</t>
  </si>
  <si>
    <t>verkochte groene stroom (MWh)</t>
  </si>
  <si>
    <t>verkoop groene elektriciteit</t>
  </si>
  <si>
    <t xml:space="preserve">CO2 emissies gecertificeerde groene stroom </t>
  </si>
  <si>
    <t>CO2/CO2eq Emissiefactor [t/MWh]</t>
  </si>
  <si>
    <t>Hernieuwbare bronnen</t>
  </si>
  <si>
    <t>Fossiele bronnen</t>
  </si>
  <si>
    <t xml:space="preserve">Andere hernieuwbare </t>
  </si>
  <si>
    <t>biogas</t>
  </si>
  <si>
    <t>aankoop/verkoop groene stroom door lokale overheid en/of andere lokale actoren!</t>
  </si>
  <si>
    <t>SEAP template met inventaris voor 2021</t>
  </si>
  <si>
    <t>Lokale energieproductie 2021</t>
  </si>
  <si>
    <t>SECAP template'!A1</t>
  </si>
  <si>
    <t>Inventaris 2021'!A1</t>
  </si>
  <si>
    <t>informatie over aankoop en verkoop groene stroom, afvalverbranding met energierecuperatie; stadsverwarming,  warmteleveringen uit warmtenetten per sector, CO2-emissies geïmporteerde en geëxporteerde warmte</t>
  </si>
  <si>
    <t>NO</t>
  </si>
  <si>
    <t>IE</t>
  </si>
  <si>
    <t xml:space="preserve">NO </t>
  </si>
  <si>
    <t xml:space="preserve">NE </t>
  </si>
  <si>
    <t xml:space="preserve">IE </t>
  </si>
  <si>
    <t>inschatting productie en brandstofverbruik voor lokale eenheden; informatie over stadsverwarming en afvalverbranding gekoppeld aan warmtenet komt uit sheet "eigen informatie GS &amp; warmtenet"</t>
  </si>
  <si>
    <t>not occuring</t>
  </si>
  <si>
    <t>included elsewhere</t>
  </si>
  <si>
    <t>not estimated</t>
  </si>
  <si>
    <t>C</t>
  </si>
  <si>
    <t>confidential</t>
  </si>
  <si>
    <t>Betekenis afkortingen</t>
  </si>
  <si>
    <t>cf. overige biomassa</t>
  </si>
  <si>
    <t>cijfers op basis van rapportage over afnamepunten (elektriciteit/gas) en energieverbruiken (overige energiedragers) door lokale besturen aan Fluvius; voor Baarle-Hertog is een deel van de data afkomstig van Nederlands netbeheerder Enexis.</t>
  </si>
  <si>
    <t>energieproductie WKK, installatiespecifieke gegevens geaggregeerd per sector en gemeente</t>
  </si>
  <si>
    <t>energieverbruik WKK, installatiespecifieke gegevens geaggregeerd per sector en gemeente</t>
  </si>
  <si>
    <t>berekend op basis van nationale emissiefactor elektriciteit vastgelegd door JRC; gecorrigeerd voor elektriciteitsproductie op het grondgebied van de gemeenten, de aankoop en verkoop van groene stroom</t>
  </si>
  <si>
    <t>werkelijke productiecijfers voor installaties waarvoor de eigenaar toestemming gegeven heeft om deze te delen; C of confidentieel= geen toestemming verkregen om productiecijfers te delen</t>
  </si>
  <si>
    <t>3. Warmtenetten (enkel warmte): enkel invullen voor niet-WKK installaties gekoppeld aan een warmtenet</t>
  </si>
  <si>
    <t>2. Warmtenetten: enkel invullen voor WKK-installaties gekoppeld aan een warmtenet</t>
  </si>
  <si>
    <t>kWh</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</si>
  <si>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</si>
  <si>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</si>
  <si>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</si>
  <si>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</si>
  <si>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</si>
  <si>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voor ingave in SECAP (WKK)</t>
  </si>
  <si>
    <t>Lokaal geproduceerde warmte WKK; lokale productie is gebaseerd op installatiespecifieke gegevens, geaggregeerd per sector en gemeente (excl. niet-ETS, installaties met brandstofinput &gt; 20 Mwe); excl. warmte geleverd door warmtenet, tenzij door gemeente zelf in tool ingegeven</t>
  </si>
  <si>
    <t>LET OP: het gerapporteerde aantal huishoudens per type verwarming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</si>
  <si>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vloeibaar gas en gemiddeld verbruik van vloeibaar gas per huishouden; aantal huishoudens op vloeibaar gas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</si>
  <si>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stookolie en gemiddeld verbruik van stookolie per huishouden; aantal huishoudens op stookolie wordt in 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</si>
  <si>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steenkool en gemiddeld verbruik van steenkool per huishouden; aantal huishoudens op steenkool wordt ingeschat op basis van het totaal aantal huishoudens, aantal afnemers voor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</si>
  <si>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hout en gemiddeld verbruik van hout per huishouden; aantal huishoudens op hout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</si>
  <si>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2022.
</t>
  </si>
  <si>
    <r>
      <t>sheet met resultaten inventaris voor</t>
    </r>
    <r>
      <rPr>
        <b/>
        <sz val="11"/>
        <color rgb="FF009999"/>
        <rFont val="Calibri"/>
        <family val="2"/>
        <scheme val="minor"/>
      </rPr>
      <t xml:space="preserve"> 2022</t>
    </r>
    <r>
      <rPr>
        <sz val="11"/>
        <color theme="1"/>
        <rFont val="Calibri"/>
        <family val="2"/>
        <scheme val="minor"/>
      </rPr>
      <t>, weergegeven in SEAP template</t>
    </r>
  </si>
  <si>
    <t>Bron: CH4 vee-model (VMM, maart 2024)</t>
  </si>
  <si>
    <t>Bron: N2O-model (VMM, maart 2024)</t>
  </si>
  <si>
    <t>VMM (maart 2024)</t>
  </si>
  <si>
    <t>Mestbank (2024)</t>
  </si>
  <si>
    <t>maart 2024</t>
  </si>
  <si>
    <t xml:space="preserve">emissiefactoren niet-energiegerelateerde emissies CH4 en N2O voor 2022 uit rekenmodellen VMM </t>
  </si>
  <si>
    <t>januari 2024</t>
  </si>
  <si>
    <t>2022_01</t>
  </si>
  <si>
    <t>versie: 2022_01</t>
  </si>
  <si>
    <t xml:space="preserve">De hoeveelheid gecertificeerde groene stroom (met garanties van oorsprong) die aangekocht werd van buiten het grondgebied van de gemeente en de hoeveelheid gecertificeerde groene stroom (met garanties van oorsprong) die opgewekt werd binnen het grondgebied van de gemeente maar verkocht aan derden buiten de administratieve grenzen van de gemeente, wordt automatisch meegenomen in de berekening van de lokale emissiefactor voor elektriciteit (3.2.5). </t>
  </si>
  <si>
    <t>1. Aankoop en verkoop gecertificeerde groene stroom:</t>
  </si>
  <si>
    <t xml:space="preserve">hoeveelheid gecertificeerde groene stroom (met garanties van oorsprong) die aangekocht werd van buiten grondgebied gemeente en hoeveelheid gecertificeerde groene stroom (met garanties van oorsprong) die opgewekt werd binnen grondgebied gemeente maar verkocht aan derden buiten administratieve grenzen van gemeente
</t>
  </si>
  <si>
    <t>Gegevens Lokaal Energie- en Klimaatpact</t>
  </si>
  <si>
    <t>door gemeente zelf in te geven in de tool, vertrekkende van de gegevens die aangeleverd werden in kader van Lokaal Energie- en Klimaatpact</t>
  </si>
  <si>
    <t>oktober 2023</t>
  </si>
  <si>
    <t>Energiebalans Vlaanderen 1990 - 2022</t>
  </si>
  <si>
    <t>Vermogen PV per gemeente en per jaar (vermogensklasse &lt;= 10 kWP residentieel en niet-residentieel, &gt; 10 kWp)</t>
  </si>
  <si>
    <t>april 2024</t>
  </si>
  <si>
    <t>Energiebalans Vlaanderen (oktober 2023)</t>
  </si>
  <si>
    <t>aantal huishoudens 2022</t>
  </si>
  <si>
    <t>aantal afnemers aardgas 2022</t>
  </si>
  <si>
    <t>aantallen 2022 voor hoofdverwarming</t>
  </si>
  <si>
    <t>aantallen 2022 voor bijverwarming</t>
  </si>
  <si>
    <t>MWh hoofdverw/hh (2022)</t>
  </si>
  <si>
    <t>MWh bijverwarming/hh (2022)</t>
  </si>
  <si>
    <t xml:space="preserve">Benzine </t>
  </si>
  <si>
    <t xml:space="preserve">Diesel </t>
  </si>
  <si>
    <t>Eigen verbruik PV &lt;= 10 kW</t>
  </si>
  <si>
    <t>Residentieel</t>
  </si>
  <si>
    <t>Industrie</t>
  </si>
  <si>
    <t>Tertiair</t>
  </si>
  <si>
    <t xml:space="preserve">Verbruik aardgas en elektriciteit per gemeete en NACE-code </t>
  </si>
  <si>
    <t xml:space="preserve">Energiebalans Vlaanderen (oktober 2023) </t>
  </si>
  <si>
    <t xml:space="preserve">Energiebalans Vlaanderen (oktober 2023) 
</t>
  </si>
  <si>
    <t>bruto-afname elektriciteit landbouw (excl. zeevisserij)</t>
  </si>
  <si>
    <t>E Balans VL '!Z26</t>
  </si>
  <si>
    <t>mei 2024</t>
  </si>
  <si>
    <t>Vermogen en productie per waterkrachtcentrale (voor installaties waarvan eigenaar toestemming heeft gegeven!)</t>
  </si>
  <si>
    <t>Margot Van Cauter</t>
  </si>
  <si>
    <t>02/553 08 36</t>
  </si>
  <si>
    <t>margot.vancauter@vlaanderen.be</t>
  </si>
  <si>
    <t>energieverbruik en energieproductie WKK en niet-WKK , installatiespecifieke gegevens geaggregeerd per type, sector en gemeente</t>
  </si>
  <si>
    <t>WKK &amp; niet-WKK</t>
  </si>
  <si>
    <t>Verbruik aangeleverd door netbeheerders, vermeerderd met lokaal geproduceerde elektriciteit WKK/motoren en productie PV &lt;= 10 kWp; lokale productie is gebaseerd op installatiespecifieke gegevens, geaggregeerd per sector en gemeente (excl. niet-ETS, installaties met brandstofinput &gt; 20 Mwe)</t>
  </si>
  <si>
    <t>Verbruik aangeleverd door netbeheerders en vermeerderd met productie PV &lt;= 10 kWp</t>
  </si>
  <si>
    <t>Verbruik aangeleverd door netbeheerders, vermeerderd met lokaal geproduceerde elektriciteit WKK/motoren en productie PV &lt;= 10 kWp;lokale productie is gebaseerd op installatiespecifieke gegevens, geaggregeerd per sector en gemeente (excl. niet-ETS, installaties met brandstofinput &gt; 20 Mwe)</t>
  </si>
  <si>
    <t>energieproductie WKK (en niet-WKK), installatiespecifieke gegevens geaggregeerd per sector en gemeente</t>
  </si>
  <si>
    <t>cf. warmtekrachtkoppeling</t>
  </si>
  <si>
    <t>energieverbruik WKK (en niet-WKK), installatiespecifieke gegevens geaggregeerd per sector en gemeente</t>
  </si>
  <si>
    <t xml:space="preserve">aanpassing rekenblad lokale energieproductie voor geaggregeerde rapportering WKK en niet-WKK </t>
  </si>
  <si>
    <t>correctie lokale productie PV &lt;= 10 kWp toegevoegd in sector rekenbladen tertiair, industrie en landbouw</t>
  </si>
  <si>
    <t>lokale energieproductie'!A1</t>
  </si>
  <si>
    <t>VMM 2024, COPERT 5.7</t>
  </si>
  <si>
    <t xml:space="preserve">tabblad transport: '% Biobrandstoffen' obv doorrekening COPERT 5.7 door VMM (2024) </t>
  </si>
  <si>
    <t>voorjaar 2024</t>
  </si>
  <si>
    <t>COPERT 5.7 doorrekening voor wegtransport voor 2022</t>
  </si>
  <si>
    <t>https://www.vlaanderen.be/statistiek-vlaanderen/bevolking/huishoudensvooruitzichten-aantal-en-groei</t>
  </si>
  <si>
    <t>Bron: VMM 2024, COPERT 5.7</t>
  </si>
  <si>
    <t>tabblad transport: 'Verdeelsleutel voertuigkm over voertuigtechnologie' o.b.v. doorrekening COPERT 5.7 door VMM (2024)</t>
  </si>
  <si>
    <t>tabblad ECF transport: ECF o.b.v. doorrekening COPERT 5.7 door VMM (2024)</t>
  </si>
  <si>
    <t>Microsoft Word - Global-Warming-Potential-Values.docx (ghgprotocol.org)</t>
  </si>
  <si>
    <t>IPCC Fifth Assessment Report (AR5)</t>
  </si>
  <si>
    <t>Bron: IPCC (Fifth Assessment Report, 2014)</t>
  </si>
  <si>
    <t>Verbruik aangeleverd door netbeheerders, vermeerderd met lokaal geproduceerde elektriciteit WKK/motoren enproductie PV &lt; =10 kWp; herschaling productie PV in Vlaanderen a rato van het geïnstalleerd vermogen</t>
  </si>
  <si>
    <t>informatie over eigen vloot zelf invullen, vertrekkende van de gegevens die aangeleverd werden in kader van Lokaal Energie- en Klimaatpact</t>
  </si>
  <si>
    <t>afnamecijfers uit de sheet "data" worden, indien relevant, gecorrigeerd voor de verbruiken van de eigen openbare verlichting uit sheet "eigen openbare verlichting"</t>
  </si>
  <si>
    <t xml:space="preserve">overzichtlokale productie eenheden met onderscheid tussen WKK’s en andere (enkel groene stroom) installaties (geaggregeerd gerapporteerd). Ook wind, water, PV en gegevens rond stadsverwarming en afvalverbranding met energierecuperatie. </t>
  </si>
  <si>
    <t>inschatting verbruik andere energiedragers dan elektriciteit en aardgas op basis van verdeelsleutels en Energiebalans Vlaanderen (sheet "E Balans VL"); verbruiken worden, indien relevant gecorrigeerd voor lokale productie van ele en warmte (sheet "lokale energieproductie") en verbruik eigen gebouwen (sheet "eigen gebouwen")</t>
  </si>
  <si>
    <t>Diesel Hybrid CS</t>
  </si>
  <si>
    <t>De Lijn (2024)</t>
  </si>
  <si>
    <t>tabblad ECF transport: toevoegen CNG, elektrische en H2 ECF voor zware voertuigen</t>
  </si>
  <si>
    <t>tabblad transport: toevoegen cijfers hybride bussen De Lijn o.b.v. cijfers De Lijn (2024)</t>
  </si>
  <si>
    <t>bus- en tramkilometers per provincie en verdeling hybride/diesel</t>
  </si>
  <si>
    <t>Elektrisch</t>
  </si>
  <si>
    <t>tabblad transport: toevoegen cijfers en berekening voor elektrische bussen De Lijn o.b.v. cijfers De Lijn (2024)</t>
  </si>
  <si>
    <t>transport!B66</t>
  </si>
  <si>
    <t>% hybride</t>
  </si>
  <si>
    <t>% elektrisch</t>
  </si>
  <si>
    <t>33016</t>
  </si>
  <si>
    <t>MESEN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</si>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</sst>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_(* \(#,##0\);_(* &quot;-&quot;_);_(@_)"/>
    <numFmt numFmtId="43" formatCode="_(* #,##0.00_);_(* \(#,##0.00\);_(* &quot;-&quot;??_);_(@_)"/>
    <numFmt numFmtId="164" formatCode="_-&quot;£&quot;* #,##0_-;\-&quot;£&quot;* #,##0_-;_-&quot;£&quot;* &quot;-&quot;_-;_-@_-"/>
    <numFmt numFmtId="165" formatCode="_-&quot;£&quot;* #,##0.00_-;\-&quot;£&quot;* #,##0.00_-;_-&quot;£&quot;* &quot;-&quot;??_-;_-@_-"/>
    <numFmt numFmtId="166" formatCode="_-* #,##0.00\ _€_-;\-* #,##0.00\ _€_-;_-* &quot;-&quot;??\ _€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_-* #,##0.0000\ [$€]_-;\-* #,##0.0000\ [$€]_-;_-* &quot;-&quot;??\ [$€]_-;_-@_-"/>
    <numFmt numFmtId="177" formatCode="#,##0.00_ ;\-#,##0.00\ "/>
    <numFmt numFmtId="178" formatCode="0.0%"/>
    <numFmt numFmtId="179" formatCode="_-* #,##0_-;\-* #,##0_-;_-* &quot;-&quot;??_-;_-@_-"/>
    <numFmt numFmtId="180" formatCode="#,##0.00000"/>
  </numFmts>
  <fonts count="131">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b/>
      <u val="singleAccounting"/>
      <sz val="11"/>
      <color theme="1"/>
      <name val="Calibri"/>
      <family val="2"/>
      <scheme val="minor"/>
    </font>
    <font>
      <u/>
      <sz val="11"/>
      <name val="Calibri"/>
      <family val="2"/>
    </font>
    <font>
      <b/>
      <i/>
      <sz val="11"/>
      <color rgb="FFFF0000"/>
      <name val="Calibri"/>
      <family val="2"/>
      <scheme val="minor"/>
    </font>
  </fonts>
  <fills count="6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
      <patternFill patternType="solid">
        <fgColor rgb="FFFFFF66"/>
        <bgColor indexed="64"/>
      </patternFill>
    </fill>
    <fill>
      <patternFill patternType="solid">
        <fgColor indexed="41"/>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ck">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medium">
        <color indexed="64"/>
      </bottom>
      <diagonal/>
    </border>
    <border>
      <left style="thin">
        <color theme="0" tint="-0.24994659260841701"/>
      </left>
      <right/>
      <top/>
      <bottom style="thin">
        <color theme="0" tint="-0.24994659260841701"/>
      </bottom>
      <diagonal/>
    </border>
    <border>
      <left/>
      <right style="thin">
        <color auto="1"/>
      </right>
      <top style="thin">
        <color rgb="FF009999"/>
      </top>
      <bottom/>
      <diagonal/>
    </border>
    <border>
      <left style="thin">
        <color indexed="48"/>
      </left>
      <right style="thin">
        <color indexed="48"/>
      </right>
      <top style="thin">
        <color indexed="48"/>
      </top>
      <bottom style="thin">
        <color indexed="48"/>
      </bottom>
      <diagonal/>
    </border>
  </borders>
  <cellStyleXfs count="20740">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6"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4" fontId="33" fillId="0" borderId="0" applyFont="0" applyFill="0" applyBorder="0" applyAlignment="0" applyProtection="0"/>
    <xf numFmtId="165"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4"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99" fillId="0" borderId="0"/>
    <xf numFmtId="0" fontId="2" fillId="0" borderId="0" applyNumberFormat="0" applyFill="0" applyBorder="0" applyAlignment="0" applyProtection="0"/>
    <xf numFmtId="0" fontId="100" fillId="0" borderId="169" applyNumberFormat="0" applyFill="0" applyAlignment="0" applyProtection="0"/>
    <xf numFmtId="0" fontId="101" fillId="25" borderId="0" applyNumberFormat="0" applyBorder="0" applyAlignment="0" applyProtection="0"/>
    <xf numFmtId="0" fontId="99" fillId="26" borderId="0" applyNumberFormat="0" applyBorder="0" applyAlignment="0" applyProtection="0"/>
    <xf numFmtId="9" fontId="99"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1" fillId="0" borderId="169" applyNumberFormat="0" applyFill="0" applyAlignment="0" applyProtection="0"/>
    <xf numFmtId="0" fontId="112" fillId="30" borderId="0" applyNumberFormat="0" applyBorder="0" applyAlignment="0" applyProtection="0"/>
    <xf numFmtId="0" fontId="113" fillId="31" borderId="0" applyNumberFormat="0" applyBorder="0" applyAlignment="0" applyProtection="0"/>
    <xf numFmtId="0" fontId="114" fillId="32" borderId="184" applyNumberFormat="0" applyAlignment="0" applyProtection="0"/>
    <xf numFmtId="0" fontId="115" fillId="33" borderId="185" applyNumberFormat="0" applyAlignment="0" applyProtection="0"/>
    <xf numFmtId="0" fontId="116" fillId="33" borderId="184" applyNumberFormat="0" applyAlignment="0" applyProtection="0"/>
    <xf numFmtId="0" fontId="117" fillId="0" borderId="186" applyNumberFormat="0" applyFill="0" applyAlignment="0" applyProtection="0"/>
    <xf numFmtId="0" fontId="40" fillId="34" borderId="187" applyNumberFormat="0" applyAlignment="0" applyProtection="0"/>
    <xf numFmtId="0" fontId="6" fillId="0" borderId="0" applyNumberFormat="0" applyFill="0" applyBorder="0" applyAlignment="0" applyProtection="0"/>
    <xf numFmtId="0" fontId="5" fillId="35" borderId="188" applyNumberFormat="0" applyFont="0" applyAlignment="0" applyProtection="0"/>
    <xf numFmtId="0" fontId="118" fillId="0" borderId="0" applyNumberFormat="0" applyFill="0" applyBorder="0" applyAlignment="0" applyProtection="0"/>
    <xf numFmtId="0" fontId="7" fillId="0" borderId="189" applyNumberFormat="0" applyFill="0" applyAlignment="0" applyProtection="0"/>
    <xf numFmtId="0" fontId="47" fillId="36" borderId="0" applyNumberFormat="0" applyBorder="0" applyAlignment="0" applyProtection="0"/>
    <xf numFmtId="0" fontId="5" fillId="26" borderId="0" applyNumberFormat="0" applyBorder="0" applyAlignment="0" applyProtection="0"/>
    <xf numFmtId="0" fontId="5" fillId="37" borderId="0" applyNumberFormat="0" applyBorder="0" applyAlignment="0" applyProtection="0"/>
    <xf numFmtId="0" fontId="47"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47"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47" fillId="47"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47" fillId="51"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47" fillId="55"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168" fontId="17" fillId="0" borderId="173">
      <alignment vertical="center"/>
    </xf>
    <xf numFmtId="168" fontId="17" fillId="0" borderId="173">
      <alignment vertical="center"/>
    </xf>
    <xf numFmtId="168" fontId="17" fillId="0" borderId="173">
      <alignment vertical="center"/>
    </xf>
    <xf numFmtId="171" fontId="24" fillId="8" borderId="173">
      <alignment horizontal="right" vertical="center"/>
    </xf>
    <xf numFmtId="171" fontId="24" fillId="8" borderId="173">
      <alignment horizontal="right" vertical="center"/>
    </xf>
    <xf numFmtId="171" fontId="24" fillId="8" borderId="173">
      <alignment horizontal="right" vertical="center"/>
    </xf>
    <xf numFmtId="171" fontId="1" fillId="9" borderId="173">
      <alignment horizontal="right" vertical="center"/>
    </xf>
    <xf numFmtId="171" fontId="1" fillId="9" borderId="173">
      <alignment horizontal="right" vertical="center"/>
    </xf>
    <xf numFmtId="171" fontId="1" fillId="9" borderId="173">
      <alignment horizontal="right" vertical="center"/>
    </xf>
    <xf numFmtId="4" fontId="27" fillId="0" borderId="173" applyFill="0" applyBorder="0" applyProtection="0">
      <alignment horizontal="right" vertical="center"/>
    </xf>
    <xf numFmtId="170" fontId="35" fillId="1" borderId="190" applyNumberFormat="0" applyProtection="0">
      <alignment horizontal="left" vertical="top"/>
    </xf>
    <xf numFmtId="170" fontId="5" fillId="0" borderId="0"/>
    <xf numFmtId="0" fontId="119" fillId="25" borderId="0" applyNumberFormat="0" applyBorder="0" applyAlignment="0" applyProtection="0"/>
    <xf numFmtId="0" fontId="47" fillId="38" borderId="0" applyNumberFormat="0" applyBorder="0" applyAlignment="0" applyProtection="0"/>
    <xf numFmtId="0" fontId="47" fillId="42" borderId="0" applyNumberFormat="0" applyBorder="0" applyAlignment="0" applyProtection="0"/>
    <xf numFmtId="0" fontId="47" fillId="46" borderId="0" applyNumberFormat="0" applyBorder="0" applyAlignment="0" applyProtection="0"/>
    <xf numFmtId="0" fontId="47" fillId="50" borderId="0" applyNumberFormat="0" applyBorder="0" applyAlignment="0" applyProtection="0"/>
    <xf numFmtId="0" fontId="47" fillId="54" borderId="0" applyNumberFormat="0" applyBorder="0" applyAlignment="0" applyProtection="0"/>
    <xf numFmtId="0" fontId="47" fillId="58"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99" fillId="0" borderId="0"/>
    <xf numFmtId="171" fontId="1" fillId="9" borderId="173">
      <alignment horizontal="right" vertical="center"/>
    </xf>
    <xf numFmtId="171" fontId="1" fillId="9" borderId="173">
      <alignment horizontal="right" vertical="center"/>
    </xf>
    <xf numFmtId="171" fontId="1" fillId="9" borderId="173">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191" applyNumberFormat="0" applyFont="0" applyFill="0" applyBorder="0" applyProtection="0">
      <alignment horizontal="left" vertical="center" indent="2"/>
    </xf>
    <xf numFmtId="49" fontId="27" fillId="0" borderId="192"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59" borderId="191"/>
    <xf numFmtId="0" fontId="10" fillId="0" borderId="0"/>
    <xf numFmtId="0" fontId="10" fillId="0" borderId="0"/>
    <xf numFmtId="0" fontId="5" fillId="0" borderId="0"/>
    <xf numFmtId="4" fontId="27" fillId="0" borderId="191" applyFill="0" applyBorder="0" applyProtection="0">
      <alignment horizontal="right" vertical="center"/>
    </xf>
    <xf numFmtId="49" fontId="120" fillId="0" borderId="191" applyNumberFormat="0" applyFill="0" applyBorder="0" applyProtection="0">
      <alignment horizontal="left" vertical="center"/>
    </xf>
    <xf numFmtId="0" fontId="27" fillId="0" borderId="191" applyNumberFormat="0" applyFill="0" applyAlignment="0" applyProtection="0"/>
    <xf numFmtId="0" fontId="122" fillId="60" borderId="0" applyNumberFormat="0" applyFont="0" applyBorder="0" applyAlignment="0" applyProtection="0"/>
    <xf numFmtId="4" fontId="10" fillId="0" borderId="0"/>
    <xf numFmtId="175" fontId="27" fillId="61" borderId="191"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68" fontId="17" fillId="0" borderId="193">
      <alignmen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1" fontId="24" fillId="8" borderId="193">
      <alignment horizontal="right" vertical="center"/>
    </xf>
    <xf numFmtId="168" fontId="17" fillId="0" borderId="193">
      <alignmen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171" fontId="24" fillId="8" borderId="193">
      <alignment horizontal="right" vertical="center"/>
    </xf>
    <xf numFmtId="171" fontId="24" fillId="8"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43" fontId="5" fillId="0" borderId="0" applyFont="0" applyFill="0" applyBorder="0" applyAlignment="0" applyProtection="0"/>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68" fontId="17" fillId="0" borderId="193">
      <alignment vertical="center"/>
    </xf>
    <xf numFmtId="168" fontId="17" fillId="0" borderId="193">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3"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3">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0" fontId="27" fillId="0" borderId="193" applyNumberFormat="0" applyFill="0" applyAlignment="0" applyProtection="0"/>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171" fontId="1" fillId="9"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70" fontId="35" fillId="1" borderId="190" applyNumberFormat="0" applyProtection="0">
      <alignment horizontal="left" vertical="top"/>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0" fontId="27" fillId="0" borderId="191" applyNumberFormat="0" applyFill="0" applyAlignment="0" applyProtection="0"/>
    <xf numFmtId="171" fontId="1" fillId="9" borderId="191">
      <alignment horizontal="right" vertical="center"/>
    </xf>
    <xf numFmtId="49" fontId="120" fillId="0" borderId="191" applyNumberFormat="0" applyFill="0" applyBorder="0" applyProtection="0">
      <alignment horizontal="left" vertical="center"/>
    </xf>
    <xf numFmtId="171" fontId="24" fillId="8" borderId="191">
      <alignment horizontal="right" vertical="center"/>
    </xf>
    <xf numFmtId="4" fontId="27" fillId="0" borderId="191" applyFill="0" applyBorder="0" applyProtection="0">
      <alignment horizontal="right" vertical="center"/>
    </xf>
    <xf numFmtId="171" fontId="24" fillId="8" borderId="191">
      <alignment horizontal="right" vertical="center"/>
    </xf>
    <xf numFmtId="168" fontId="17" fillId="0" borderId="191">
      <alignment vertical="center"/>
    </xf>
    <xf numFmtId="0" fontId="27" fillId="0" borderId="191" applyNumberFormat="0" applyFill="0" applyAlignment="0" applyProtection="0"/>
    <xf numFmtId="175" fontId="27" fillId="61" borderId="191" applyNumberFormat="0" applyFont="0" applyBorder="0" applyAlignment="0" applyProtection="0">
      <alignment horizontal="right" vertical="center"/>
    </xf>
    <xf numFmtId="168" fontId="17" fillId="0" borderId="191">
      <alignment vertical="center"/>
    </xf>
    <xf numFmtId="168" fontId="17" fillId="0" borderId="191">
      <alignment vertical="center"/>
    </xf>
    <xf numFmtId="170" fontId="35" fillId="1" borderId="190" applyNumberFormat="0" applyProtection="0">
      <alignment horizontal="left" vertical="top"/>
    </xf>
    <xf numFmtId="168" fontId="17" fillId="0" borderId="191">
      <alignment vertical="center"/>
    </xf>
    <xf numFmtId="171" fontId="24" fillId="8" borderId="191">
      <alignment horizontal="right" vertical="center"/>
    </xf>
    <xf numFmtId="175" fontId="27" fillId="61" borderId="191" applyNumberFormat="0" applyFont="0" applyBorder="0" applyAlignment="0" applyProtection="0">
      <alignment horizontal="right" vertical="center"/>
    </xf>
    <xf numFmtId="171" fontId="1" fillId="9" borderId="191">
      <alignment horizontal="right" vertical="center"/>
    </xf>
    <xf numFmtId="171" fontId="1" fillId="9" borderId="191">
      <alignment horizontal="right" vertical="center"/>
    </xf>
    <xf numFmtId="168" fontId="17" fillId="0" borderId="191">
      <alignmen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0" fontId="35" fillId="1" borderId="190" applyNumberFormat="0" applyProtection="0">
      <alignment horizontal="left" vertical="top"/>
    </xf>
    <xf numFmtId="49" fontId="120" fillId="0" borderId="191" applyNumberFormat="0" applyFill="0" applyBorder="0" applyProtection="0">
      <alignment horizontal="left" vertical="center"/>
    </xf>
    <xf numFmtId="168" fontId="17" fillId="0" borderId="191">
      <alignmen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68" fontId="17" fillId="0" borderId="191">
      <alignmen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175" fontId="27" fillId="61" borderId="191" applyNumberFormat="0" applyFont="0" applyBorder="0" applyAlignment="0" applyProtection="0">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27" fillId="0" borderId="191" applyNumberFormat="0" applyFill="0" applyAlignment="0" applyProtection="0"/>
    <xf numFmtId="168" fontId="17" fillId="0" borderId="191">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191">
      <alignment vertical="center"/>
    </xf>
    <xf numFmtId="49" fontId="120" fillId="0" borderId="191" applyNumberFormat="0" applyFill="0" applyBorder="0" applyProtection="0">
      <alignment horizontal="left" vertical="center"/>
    </xf>
    <xf numFmtId="171" fontId="24" fillId="8" borderId="191">
      <alignment horizontal="right" vertical="center"/>
    </xf>
    <xf numFmtId="171" fontId="24" fillId="8" borderId="191">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4" fontId="27" fillId="0" borderId="191" applyFill="0" applyBorder="0" applyProtection="0">
      <alignment horizontal="right" vertical="center"/>
    </xf>
    <xf numFmtId="168" fontId="17" fillId="0" borderId="191">
      <alignment vertical="center"/>
    </xf>
    <xf numFmtId="170" fontId="35" fillId="1" borderId="23"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3">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3">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3">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0"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0" applyNumberFormat="0" applyProtection="0">
      <alignment horizontal="left" vertical="top"/>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0" fontId="27" fillId="0" borderId="193" applyNumberFormat="0" applyFill="0" applyAlignment="0" applyProtection="0"/>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0" fontId="27" fillId="0" borderId="193" applyNumberFormat="0" applyFill="0" applyAlignment="0" applyProtection="0"/>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5" fontId="27" fillId="61" borderId="193" applyNumberFormat="0" applyFont="0" applyBorder="0" applyAlignment="0" applyProtection="0">
      <alignment horizontal="right" vertical="center"/>
    </xf>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0" fontId="5" fillId="0" borderId="0"/>
    <xf numFmtId="168" fontId="17" fillId="0" borderId="193">
      <alignment vertical="center"/>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3">
      <alignmen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68" fontId="17" fillId="0" borderId="193">
      <alignment vertical="center"/>
    </xf>
    <xf numFmtId="0" fontId="27" fillId="0" borderId="193"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0" fontId="27" fillId="0" borderId="193" applyNumberFormat="0" applyFill="0" applyAlignment="0" applyProtection="0"/>
    <xf numFmtId="171" fontId="1" fillId="9" borderId="193">
      <alignment horizontal="right" vertical="center"/>
    </xf>
    <xf numFmtId="171" fontId="1" fillId="9" borderId="193">
      <alignment horizontal="right" vertical="center"/>
    </xf>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3" fontId="5" fillId="0" borderId="0" applyFont="0" applyFill="0" applyBorder="0" applyAlignment="0" applyProtection="0"/>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68" fontId="17" fillId="0" borderId="196">
      <alignment vertical="center"/>
    </xf>
    <xf numFmtId="171" fontId="1" fillId="9" borderId="196">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6" applyFill="0" applyBorder="0" applyProtection="0">
      <alignment horizontal="right" vertical="center"/>
    </xf>
    <xf numFmtId="171" fontId="1" fillId="9" borderId="194">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0" fontId="27" fillId="0" borderId="194" applyNumberFormat="0" applyFill="0" applyAlignment="0" applyProtection="0"/>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71" fontId="1" fillId="9" borderId="196">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6">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6">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6">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0" fontId="27" fillId="0" borderId="194" applyNumberFormat="0" applyFill="0" applyAlignment="0" applyProtection="0"/>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5" fillId="0" borderId="0"/>
    <xf numFmtId="0" fontId="1" fillId="0" borderId="0"/>
    <xf numFmtId="0" fontId="123" fillId="0" borderId="0"/>
    <xf numFmtId="0" fontId="124" fillId="62" borderId="197">
      <alignment horizontal="center"/>
    </xf>
    <xf numFmtId="0" fontId="125" fillId="63" borderId="197"/>
    <xf numFmtId="0" fontId="125" fillId="64" borderId="197"/>
    <xf numFmtId="0" fontId="99" fillId="0" borderId="0"/>
    <xf numFmtId="0" fontId="124" fillId="62" borderId="197">
      <alignment horizontal="center"/>
    </xf>
    <xf numFmtId="0" fontId="125" fillId="63" borderId="197"/>
    <xf numFmtId="0" fontId="125" fillId="64" borderId="197"/>
    <xf numFmtId="0" fontId="5" fillId="0" borderId="0"/>
    <xf numFmtId="0" fontId="99" fillId="0" borderId="0"/>
    <xf numFmtId="9" fontId="99" fillId="0" borderId="0" applyFont="0" applyFill="0" applyBorder="0" applyAlignment="0" applyProtection="0"/>
    <xf numFmtId="0" fontId="5" fillId="0" borderId="0"/>
    <xf numFmtId="0" fontId="5" fillId="0" borderId="0"/>
    <xf numFmtId="0" fontId="123" fillId="0" borderId="0"/>
    <xf numFmtId="171" fontId="24" fillId="8" borderId="198">
      <alignment horizontal="right" vertical="center"/>
    </xf>
    <xf numFmtId="0" fontId="123" fillId="0" borderId="0"/>
    <xf numFmtId="0" fontId="123" fillId="0" borderId="0"/>
    <xf numFmtId="0" fontId="123" fillId="0" borderId="0"/>
    <xf numFmtId="0" fontId="5" fillId="0" borderId="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5" fillId="0" borderId="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3" fontId="5" fillId="0" borderId="0" applyFont="0" applyFill="0" applyBorder="0" applyAlignment="0" applyProtection="0"/>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4">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4">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4">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4">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0" fontId="99" fillId="0" borderId="0"/>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0" fontId="5" fillId="0" borderId="0"/>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9" fontId="120" fillId="0" borderId="198" applyNumberFormat="0" applyFill="0" applyBorder="0" applyProtection="0">
      <alignment horizontal="left" vertical="center"/>
    </xf>
    <xf numFmtId="43" fontId="5" fillId="0" borderId="0" applyFont="0" applyFill="0" applyBorder="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4">
      <alignment horizontal="right" vertical="center"/>
    </xf>
    <xf numFmtId="4" fontId="27" fillId="0" borderId="198"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195"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3" fontId="5" fillId="0" borderId="0" applyFont="0" applyFill="0" applyBorder="0" applyAlignment="0" applyProtection="0"/>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8">
      <alignment horizontal="right" vertical="center"/>
    </xf>
    <xf numFmtId="0" fontId="125" fillId="64" borderId="197"/>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3" fontId="5" fillId="0" borderId="0" applyFont="0" applyFill="0" applyBorder="0" applyAlignment="0" applyProtection="0"/>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0" fontId="125" fillId="63" borderId="197"/>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 fillId="0" borderId="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23"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8">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0" fontId="35" fillId="1" borderId="23" applyNumberFormat="0" applyProtection="0">
      <alignment horizontal="left" vertical="top"/>
    </xf>
    <xf numFmtId="171" fontId="24" fillId="8" borderId="194">
      <alignment horizontal="right" vertical="center"/>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170" fontId="35" fillId="1" borderId="23" applyNumberFormat="0" applyProtection="0">
      <alignment horizontal="left" vertical="top"/>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168" fontId="17" fillId="0" borderId="194">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4" fontId="27" fillId="0" borderId="194" applyFill="0" applyBorder="0" applyProtection="0">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8">
      <alignment vertical="center"/>
    </xf>
    <xf numFmtId="168" fontId="17" fillId="0" borderId="194">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4">
      <alignment horizontal="right" vertical="center"/>
    </xf>
    <xf numFmtId="171" fontId="1" fillId="9" borderId="198">
      <alignment horizontal="right" vertical="center"/>
    </xf>
    <xf numFmtId="4" fontId="27" fillId="0" borderId="194"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24" fillId="8" borderId="198">
      <alignment horizontal="right" vertical="center"/>
    </xf>
    <xf numFmtId="171" fontId="24" fillId="8" borderId="194">
      <alignment horizontal="right" vertical="center"/>
    </xf>
    <xf numFmtId="171" fontId="1" fillId="9" borderId="194">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4">
      <alignment vertical="center"/>
    </xf>
    <xf numFmtId="170" fontId="35" fillId="1" borderId="195" applyNumberFormat="0" applyProtection="0">
      <alignment horizontal="left" vertical="top"/>
    </xf>
    <xf numFmtId="168" fontId="17" fillId="0" borderId="198">
      <alignment vertical="center"/>
    </xf>
    <xf numFmtId="171" fontId="24" fillId="8" borderId="198">
      <alignment horizontal="right" vertical="center"/>
    </xf>
    <xf numFmtId="168" fontId="17" fillId="0" borderId="194">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4" applyNumberFormat="0" applyFill="0" applyAlignment="0" applyProtection="0"/>
    <xf numFmtId="49" fontId="120" fillId="0" borderId="198"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71" fontId="1" fillId="9" borderId="198">
      <alignment horizontal="righ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24" fillId="8" borderId="198">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8"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195" applyNumberFormat="0" applyProtection="0">
      <alignment horizontal="left" vertical="top"/>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68" fontId="17" fillId="0" borderId="198">
      <alignmen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8">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68" fontId="17" fillId="0" borderId="198">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8">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8">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168" fontId="17" fillId="0" borderId="198">
      <alignment vertical="center"/>
    </xf>
    <xf numFmtId="49" fontId="120" fillId="0" borderId="194"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0" fontId="27" fillId="0" borderId="198" applyNumberFormat="0" applyFill="0" applyAlignment="0" applyProtection="0"/>
    <xf numFmtId="49" fontId="27" fillId="0" borderId="194"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68" fontId="17" fillId="0" borderId="194">
      <alignment vertical="center"/>
    </xf>
    <xf numFmtId="0" fontId="27" fillId="0" borderId="194"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8">
      <alignment horizontal="right" vertical="center"/>
    </xf>
    <xf numFmtId="168" fontId="17" fillId="0" borderId="198">
      <alignment vertical="center"/>
    </xf>
    <xf numFmtId="171" fontId="24" fillId="8" borderId="194">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24" fillId="62" borderId="197">
      <alignment horizont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1" fillId="9" borderId="198">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1" fillId="0" borderId="0"/>
    <xf numFmtId="171" fontId="1" fillId="9" borderId="198">
      <alignment horizontal="right" vertical="center"/>
    </xf>
    <xf numFmtId="0" fontId="99" fillId="0" borderId="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5" fillId="0" borderId="0"/>
    <xf numFmtId="0" fontId="99" fillId="0" borderId="0"/>
    <xf numFmtId="0" fontId="108" fillId="0" borderId="0"/>
    <xf numFmtId="0" fontId="5" fillId="0" borderId="0"/>
    <xf numFmtId="0" fontId="5" fillId="0" borderId="0"/>
    <xf numFmtId="0" fontId="5" fillId="0" borderId="0"/>
    <xf numFmtId="0" fontId="5" fillId="0" borderId="0"/>
    <xf numFmtId="4" fontId="16" fillId="67" borderId="213" applyNumberFormat="0" applyProtection="0">
      <alignment horizontal="right" vertical="center"/>
    </xf>
    <xf numFmtId="170" fontId="4" fillId="0" borderId="2" applyNumberFormat="0" applyFill="0" applyAlignment="0" applyProtection="0"/>
  </cellStyleXfs>
  <cellXfs count="1259">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1"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09"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08" xfId="0" applyBorder="1" applyAlignment="1">
      <alignment vertical="top" wrapText="1"/>
    </xf>
    <xf numFmtId="168" fontId="11" fillId="22" borderId="5" xfId="3" applyNumberFormat="1" applyFont="1" applyFill="1" applyBorder="1" applyAlignment="1">
      <alignment horizontal="center"/>
    </xf>
    <xf numFmtId="168" fontId="11" fillId="22" borderId="5" xfId="3" quotePrefix="1" applyNumberFormat="1" applyFont="1" applyFill="1" applyBorder="1" applyAlignment="1">
      <alignment horizontal="center"/>
    </xf>
    <xf numFmtId="168" fontId="11" fillId="22" borderId="6" xfId="3" applyNumberFormat="1" applyFont="1" applyFill="1" applyBorder="1" applyAlignment="1">
      <alignment horizontal="center"/>
    </xf>
    <xf numFmtId="168" fontId="11" fillId="22" borderId="6" xfId="3" quotePrefix="1" applyNumberFormat="1" applyFont="1" applyFill="1" applyBorder="1" applyAlignment="1">
      <alignment horizontal="center"/>
    </xf>
    <xf numFmtId="168" fontId="12" fillId="22" borderId="5" xfId="3" applyNumberFormat="1" applyFont="1" applyFill="1" applyBorder="1" applyAlignment="1">
      <alignment horizontal="center"/>
    </xf>
    <xf numFmtId="168" fontId="12" fillId="22" borderId="5" xfId="3" quotePrefix="1" applyNumberFormat="1" applyFont="1" applyFill="1" applyBorder="1" applyAlignment="1">
      <alignment horizontal="center"/>
    </xf>
    <xf numFmtId="168" fontId="13" fillId="22" borderId="0" xfId="3" applyNumberFormat="1" applyFont="1" applyFill="1" applyBorder="1" applyAlignment="1">
      <alignment horizontal="center"/>
    </xf>
    <xf numFmtId="168" fontId="11" fillId="22" borderId="9" xfId="3" applyNumberFormat="1" applyFont="1" applyFill="1" applyBorder="1" applyAlignment="1">
      <alignment horizontal="center"/>
    </xf>
    <xf numFmtId="168" fontId="11" fillId="22" borderId="0" xfId="3" quotePrefix="1" applyNumberFormat="1" applyFont="1" applyFill="1" applyBorder="1" applyAlignment="1">
      <alignment horizontal="center"/>
    </xf>
    <xf numFmtId="168" fontId="11" fillId="22" borderId="0" xfId="3" applyNumberFormat="1" applyFont="1" applyFill="1" applyBorder="1" applyAlignment="1">
      <alignment horizontal="center"/>
    </xf>
    <xf numFmtId="168" fontId="11" fillId="22" borderId="9" xfId="3" quotePrefix="1" applyNumberFormat="1" applyFont="1" applyFill="1" applyBorder="1" applyAlignment="1">
      <alignment horizontal="center"/>
    </xf>
    <xf numFmtId="168" fontId="12" fillId="22" borderId="0" xfId="3" applyNumberFormat="1" applyFont="1" applyFill="1" applyBorder="1" applyAlignment="1">
      <alignment horizontal="center"/>
    </xf>
    <xf numFmtId="168" fontId="11" fillId="22" borderId="12" xfId="3" applyNumberFormat="1" applyFont="1" applyFill="1" applyBorder="1" applyAlignment="1">
      <alignment horizontal="center"/>
    </xf>
    <xf numFmtId="168" fontId="11" fillId="22" borderId="13" xfId="3" applyNumberFormat="1" applyFont="1" applyFill="1" applyBorder="1" applyAlignment="1">
      <alignment horizontal="center"/>
    </xf>
    <xf numFmtId="168" fontId="11" fillId="22" borderId="12" xfId="3" quotePrefix="1" applyNumberFormat="1" applyFont="1" applyFill="1" applyBorder="1" applyAlignment="1">
      <alignment horizontal="center"/>
    </xf>
    <xf numFmtId="168" fontId="11" fillId="22" borderId="13" xfId="3" quotePrefix="1" applyNumberFormat="1" applyFont="1" applyFill="1" applyBorder="1" applyAlignment="1">
      <alignment horizontal="center"/>
    </xf>
    <xf numFmtId="168" fontId="12" fillId="22"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2" xfId="0" applyBorder="1"/>
    <xf numFmtId="170" fontId="47" fillId="0" borderId="80" xfId="0" applyFont="1" applyFill="1" applyBorder="1" applyAlignment="1">
      <alignment horizontal="justify" wrapText="1"/>
    </xf>
    <xf numFmtId="170" fontId="78" fillId="0" borderId="112" xfId="0" applyFont="1" applyFill="1" applyBorder="1" applyAlignment="1">
      <alignment horizontal="left" vertical="center" wrapText="1"/>
    </xf>
    <xf numFmtId="170" fontId="78" fillId="0" borderId="113" xfId="0" applyFont="1" applyFill="1" applyBorder="1" applyAlignment="1">
      <alignment horizontal="left" vertical="center" wrapText="1"/>
    </xf>
    <xf numFmtId="170" fontId="53" fillId="12" borderId="101"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0" xfId="148" applyBorder="1" applyAlignment="1" applyProtection="1">
      <alignment vertical="top"/>
    </xf>
    <xf numFmtId="170" fontId="0" fillId="0" borderId="111" xfId="0" applyBorder="1" applyAlignment="1">
      <alignment vertical="top"/>
    </xf>
    <xf numFmtId="170" fontId="0" fillId="0" borderId="101" xfId="0" applyFill="1" applyBorder="1"/>
    <xf numFmtId="170" fontId="0" fillId="0" borderId="110"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1" xfId="0" applyBorder="1" applyAlignment="1">
      <alignment horizontal="justify" vertical="top"/>
    </xf>
    <xf numFmtId="170" fontId="0" fillId="0" borderId="110" xfId="0" applyFill="1" applyBorder="1"/>
    <xf numFmtId="170" fontId="7" fillId="22" borderId="19" xfId="0" applyFont="1" applyFill="1" applyBorder="1"/>
    <xf numFmtId="170" fontId="0" fillId="0" borderId="115" xfId="0" applyBorder="1"/>
    <xf numFmtId="170" fontId="72" fillId="0" borderId="21" xfId="148" applyBorder="1" applyAlignment="1" applyProtection="1">
      <alignment vertical="top"/>
    </xf>
    <xf numFmtId="170" fontId="0" fillId="0" borderId="116" xfId="0" applyBorder="1"/>
    <xf numFmtId="170" fontId="86" fillId="0" borderId="115" xfId="0" applyFont="1" applyBorder="1"/>
    <xf numFmtId="170" fontId="0" fillId="0" borderId="0" xfId="0" applyBorder="1" applyAlignment="1">
      <alignment horizontal="left"/>
    </xf>
    <xf numFmtId="170" fontId="0" fillId="0" borderId="118" xfId="0" applyBorder="1"/>
    <xf numFmtId="170" fontId="24" fillId="0" borderId="108" xfId="0" applyFont="1" applyBorder="1" applyAlignment="1">
      <alignment vertical="top" wrapText="1"/>
    </xf>
    <xf numFmtId="170" fontId="24" fillId="0" borderId="111" xfId="0" applyFont="1" applyBorder="1" applyAlignment="1">
      <alignment vertical="top"/>
    </xf>
    <xf numFmtId="170" fontId="24" fillId="0" borderId="116" xfId="0" applyFont="1" applyBorder="1"/>
    <xf numFmtId="170" fontId="24" fillId="0" borderId="118" xfId="0" applyFont="1" applyBorder="1"/>
    <xf numFmtId="170" fontId="24" fillId="0" borderId="115" xfId="0" applyFont="1" applyBorder="1"/>
    <xf numFmtId="170" fontId="53" fillId="12" borderId="19" xfId="0" applyFont="1" applyFill="1" applyBorder="1" applyAlignment="1">
      <alignment horizontal="left" vertical="center" wrapText="1"/>
    </xf>
    <xf numFmtId="49" fontId="87" fillId="22" borderId="19" xfId="0" applyNumberFormat="1" applyFont="1" applyFill="1" applyBorder="1"/>
    <xf numFmtId="170" fontId="45" fillId="0" borderId="21" xfId="0" applyFont="1" applyFill="1" applyBorder="1" applyAlignment="1">
      <alignment horizontal="justify" vertical="top"/>
    </xf>
    <xf numFmtId="170" fontId="45" fillId="0" borderId="112" xfId="0" applyFont="1" applyFill="1" applyBorder="1" applyAlignment="1">
      <alignment horizontal="justify" vertical="top"/>
    </xf>
    <xf numFmtId="170" fontId="0" fillId="0" borderId="111" xfId="0" applyFill="1" applyBorder="1" applyAlignment="1">
      <alignment horizontal="left"/>
    </xf>
    <xf numFmtId="170" fontId="72" fillId="0" borderId="0" xfId="148" applyBorder="1" applyAlignment="1" applyProtection="1">
      <alignment vertical="top"/>
    </xf>
    <xf numFmtId="170" fontId="7" fillId="0" borderId="109" xfId="0" applyFont="1" applyBorder="1"/>
    <xf numFmtId="170" fontId="72" fillId="0" borderId="80" xfId="148" applyBorder="1" applyAlignment="1" applyProtection="1"/>
    <xf numFmtId="170" fontId="72" fillId="0" borderId="80" xfId="148" quotePrefix="1" applyBorder="1" applyAlignment="1" applyProtection="1"/>
    <xf numFmtId="170" fontId="7" fillId="0" borderId="113"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27" xfId="0" applyBorder="1"/>
    <xf numFmtId="170" fontId="0" fillId="0" borderId="128"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1"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0" fillId="0" borderId="12" xfId="0" applyBorder="1"/>
    <xf numFmtId="170" fontId="0" fillId="0" borderId="12" xfId="0" applyFill="1" applyBorder="1"/>
    <xf numFmtId="170" fontId="0" fillId="0" borderId="0" xfId="0" applyFill="1" applyBorder="1" applyAlignment="1">
      <alignment horizontal="left"/>
    </xf>
    <xf numFmtId="170" fontId="7" fillId="22" borderId="100" xfId="0" applyFont="1" applyFill="1" applyBorder="1"/>
    <xf numFmtId="170" fontId="7" fillId="22" borderId="52" xfId="0" applyFont="1" applyFill="1" applyBorder="1"/>
    <xf numFmtId="170" fontId="7" fillId="22" borderId="99" xfId="0" applyFont="1" applyFill="1" applyBorder="1"/>
    <xf numFmtId="3" fontId="0" fillId="0" borderId="61" xfId="0" applyNumberFormat="1" applyFill="1" applyBorder="1"/>
    <xf numFmtId="170" fontId="72" fillId="0" borderId="18" xfId="148" applyBorder="1" applyAlignment="1" applyProtection="1"/>
    <xf numFmtId="170" fontId="86" fillId="0" borderId="131"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2" borderId="3" xfId="0" applyFont="1" applyFill="1" applyBorder="1"/>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2" borderId="133" xfId="0" applyFont="1" applyFill="1" applyBorder="1"/>
    <xf numFmtId="170" fontId="0" fillId="22" borderId="134" xfId="0" applyFont="1" applyFill="1" applyBorder="1"/>
    <xf numFmtId="170" fontId="0" fillId="22" borderId="52" xfId="0" applyFont="1" applyFill="1" applyBorder="1"/>
    <xf numFmtId="170" fontId="0" fillId="22" borderId="99" xfId="0" applyFont="1" applyFill="1" applyBorder="1"/>
    <xf numFmtId="170" fontId="7" fillId="0" borderId="109" xfId="0" applyFont="1" applyBorder="1" applyAlignment="1">
      <alignment horizontal="center"/>
    </xf>
    <xf numFmtId="170" fontId="0" fillId="22" borderId="5" xfId="0" applyFill="1" applyBorder="1"/>
    <xf numFmtId="170" fontId="0" fillId="0" borderId="135"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39" xfId="0" applyFont="1" applyBorder="1"/>
    <xf numFmtId="170" fontId="0" fillId="0" borderId="140" xfId="0" applyBorder="1" applyAlignment="1">
      <alignment horizontal="center"/>
    </xf>
    <xf numFmtId="170" fontId="7" fillId="0" borderId="142" xfId="0" applyFont="1" applyBorder="1"/>
    <xf numFmtId="170" fontId="0" fillId="0" borderId="138" xfId="0" applyBorder="1" applyAlignment="1">
      <alignment horizontal="center"/>
    </xf>
    <xf numFmtId="170" fontId="0" fillId="0" borderId="144" xfId="0" applyBorder="1"/>
    <xf numFmtId="170" fontId="17" fillId="0" borderId="118" xfId="5" applyFont="1" applyFill="1" applyBorder="1" applyAlignment="1">
      <alignment wrapText="1"/>
    </xf>
    <xf numFmtId="170" fontId="0" fillId="0" borderId="138" xfId="0" applyBorder="1" applyAlignment="1">
      <alignment horizontal="left"/>
    </xf>
    <xf numFmtId="170" fontId="7" fillId="0" borderId="144" xfId="0" applyFont="1" applyBorder="1"/>
    <xf numFmtId="170" fontId="7" fillId="0" borderId="118" xfId="0" applyFont="1" applyFill="1" applyBorder="1"/>
    <xf numFmtId="170" fontId="0" fillId="22" borderId="4" xfId="0" applyFill="1" applyBorder="1"/>
    <xf numFmtId="170" fontId="7" fillId="0" borderId="129" xfId="0" applyFont="1" applyBorder="1"/>
    <xf numFmtId="170" fontId="45" fillId="0" borderId="130"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4" xfId="0" applyFont="1" applyFill="1" applyBorder="1"/>
    <xf numFmtId="170" fontId="41" fillId="0" borderId="146" xfId="5" applyFont="1" applyFill="1" applyBorder="1" applyAlignment="1">
      <alignment wrapText="1"/>
    </xf>
    <xf numFmtId="170" fontId="0" fillId="0" borderId="10" xfId="0" applyFill="1" applyBorder="1"/>
    <xf numFmtId="170" fontId="0" fillId="0" borderId="11" xfId="0" applyFill="1" applyBorder="1"/>
    <xf numFmtId="170" fontId="0" fillId="0" borderId="118" xfId="0"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3" fontId="91"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38" xfId="0" applyNumberFormat="1" applyFill="1" applyBorder="1" applyAlignment="1">
      <alignment horizontal="center"/>
    </xf>
    <xf numFmtId="170" fontId="18" fillId="0" borderId="7" xfId="0" applyFont="1" applyFill="1" applyBorder="1"/>
    <xf numFmtId="170" fontId="0" fillId="0" borderId="142" xfId="0" applyFill="1" applyBorder="1"/>
    <xf numFmtId="170" fontId="0" fillId="0" borderId="7" xfId="0" applyFont="1" applyFill="1" applyBorder="1"/>
    <xf numFmtId="3" fontId="6" fillId="0" borderId="0" xfId="0" applyNumberFormat="1" applyFont="1" applyAlignment="1">
      <alignment horizontal="center"/>
    </xf>
    <xf numFmtId="170" fontId="4" fillId="0" borderId="147" xfId="1" applyBorder="1"/>
    <xf numFmtId="170" fontId="4" fillId="0" borderId="0" xfId="1" applyBorder="1"/>
    <xf numFmtId="170" fontId="0" fillId="0" borderId="147" xfId="0" applyBorder="1"/>
    <xf numFmtId="170" fontId="45" fillId="22" borderId="3" xfId="1" applyFont="1" applyFill="1" applyBorder="1"/>
    <xf numFmtId="170" fontId="45" fillId="22" borderId="5" xfId="1" applyFont="1" applyFill="1" applyBorder="1"/>
    <xf numFmtId="170" fontId="24" fillId="22" borderId="5" xfId="0" applyFont="1" applyFill="1" applyBorder="1"/>
    <xf numFmtId="170" fontId="24" fillId="22" borderId="4" xfId="0" applyFont="1" applyFill="1" applyBorder="1"/>
    <xf numFmtId="170" fontId="0" fillId="0" borderId="0" xfId="0" applyFont="1" applyBorder="1"/>
    <xf numFmtId="170" fontId="0" fillId="0" borderId="118" xfId="0" applyFont="1" applyFill="1" applyBorder="1"/>
    <xf numFmtId="170" fontId="0" fillId="0" borderId="146" xfId="0" applyFont="1" applyFill="1" applyBorder="1"/>
    <xf numFmtId="9" fontId="24" fillId="0" borderId="0" xfId="0" applyNumberFormat="1" applyFont="1" applyFill="1" applyBorder="1"/>
    <xf numFmtId="10" fontId="0" fillId="0" borderId="118" xfId="52" applyNumberFormat="1" applyFont="1" applyFill="1" applyBorder="1" applyAlignment="1">
      <alignment horizontal="center" vertical="center"/>
    </xf>
    <xf numFmtId="170" fontId="0" fillId="0" borderId="146" xfId="0" applyFill="1" applyBorder="1"/>
    <xf numFmtId="170" fontId="50" fillId="0" borderId="144" xfId="0" applyFont="1" applyFill="1" applyBorder="1" applyAlignment="1">
      <alignment vertical="center"/>
    </xf>
    <xf numFmtId="170" fontId="0" fillId="0" borderId="118" xfId="0" applyFont="1" applyFill="1" applyBorder="1" applyAlignment="1">
      <alignment horizontal="center" vertical="center"/>
    </xf>
    <xf numFmtId="170" fontId="0" fillId="0" borderId="142" xfId="0" applyFont="1" applyFill="1" applyBorder="1" applyAlignment="1">
      <alignment vertical="center"/>
    </xf>
    <xf numFmtId="169" fontId="0" fillId="0" borderId="138" xfId="0" applyNumberFormat="1" applyFont="1" applyFill="1" applyBorder="1" applyAlignment="1">
      <alignment horizontal="center" vertical="center"/>
    </xf>
    <xf numFmtId="1" fontId="0" fillId="0" borderId="138" xfId="0" applyNumberFormat="1" applyFont="1" applyFill="1" applyBorder="1" applyAlignment="1">
      <alignment horizontal="center" vertical="center"/>
    </xf>
    <xf numFmtId="170" fontId="0" fillId="0" borderId="147"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18" xfId="52" applyNumberFormat="1" applyFont="1" applyFill="1" applyBorder="1" applyAlignment="1">
      <alignment horizontal="center" vertical="center"/>
    </xf>
    <xf numFmtId="170" fontId="7" fillId="0" borderId="3" xfId="0" applyFont="1" applyBorder="1"/>
    <xf numFmtId="170" fontId="24" fillId="0" borderId="147" xfId="0" applyFont="1" applyBorder="1"/>
    <xf numFmtId="170" fontId="24" fillId="0" borderId="147" xfId="0" applyFont="1" applyFill="1" applyBorder="1"/>
    <xf numFmtId="170" fontId="24" fillId="0" borderId="0" xfId="0" applyFont="1" applyFill="1" applyBorder="1"/>
    <xf numFmtId="170" fontId="48" fillId="0" borderId="10" xfId="0" applyFont="1" applyBorder="1"/>
    <xf numFmtId="9" fontId="48" fillId="0" borderId="12" xfId="0" applyNumberFormat="1" applyFont="1" applyBorder="1"/>
    <xf numFmtId="170" fontId="24" fillId="0" borderId="147" xfId="1" applyFont="1" applyFill="1" applyBorder="1"/>
    <xf numFmtId="170" fontId="24" fillId="0" borderId="8" xfId="0" applyFont="1" applyFill="1" applyBorder="1"/>
    <xf numFmtId="170" fontId="24" fillId="0" borderId="144" xfId="1" applyFont="1" applyBorder="1"/>
    <xf numFmtId="170" fontId="24" fillId="0" borderId="146" xfId="0" applyFont="1" applyBorder="1"/>
    <xf numFmtId="170" fontId="7" fillId="0" borderId="3" xfId="0" applyFont="1" applyFill="1" applyBorder="1"/>
    <xf numFmtId="170" fontId="7" fillId="0" borderId="0" xfId="0" applyFont="1" applyFill="1"/>
    <xf numFmtId="170" fontId="24" fillId="0" borderId="8" xfId="0" applyFont="1" applyBorder="1"/>
    <xf numFmtId="170" fontId="7" fillId="0" borderId="80" xfId="0" applyFont="1" applyFill="1" applyBorder="1"/>
    <xf numFmtId="170" fontId="7" fillId="0" borderId="112" xfId="0" applyFont="1" applyBorder="1"/>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170" fontId="0" fillId="0" borderId="18" xfId="0" applyFill="1" applyBorder="1"/>
    <xf numFmtId="3" fontId="60" fillId="18" borderId="150" xfId="0" applyNumberFormat="1" applyFont="1" applyFill="1" applyBorder="1" applyAlignment="1">
      <alignment horizontal="center" vertical="center"/>
    </xf>
    <xf numFmtId="3" fontId="92" fillId="0" borderId="0" xfId="0" applyNumberFormat="1" applyFont="1" applyFill="1" applyBorder="1" applyAlignment="1">
      <alignment horizontal="center"/>
    </xf>
    <xf numFmtId="170" fontId="0" fillId="0" borderId="0" xfId="0" applyAlignment="1">
      <alignment horizontal="left" vertical="top" wrapText="1"/>
    </xf>
    <xf numFmtId="0" fontId="24" fillId="0" borderId="111" xfId="0" applyNumberFormat="1" applyFont="1" applyBorder="1" applyAlignment="1">
      <alignment vertical="top" wrapText="1"/>
    </xf>
    <xf numFmtId="0" fontId="0" fillId="0" borderId="111" xfId="0" applyNumberFormat="1" applyBorder="1" applyAlignment="1">
      <alignment vertical="top" wrapText="1"/>
    </xf>
    <xf numFmtId="0" fontId="0" fillId="0" borderId="0" xfId="0" applyNumberFormat="1" applyFill="1"/>
    <xf numFmtId="2" fontId="0" fillId="0" borderId="136" xfId="0" applyNumberFormat="1" applyFill="1" applyBorder="1"/>
    <xf numFmtId="2" fontId="0" fillId="0" borderId="137" xfId="0" applyNumberFormat="1" applyFill="1" applyBorder="1"/>
    <xf numFmtId="170" fontId="7" fillId="0" borderId="27" xfId="0" applyFont="1" applyBorder="1"/>
    <xf numFmtId="0" fontId="0" fillId="0" borderId="0" xfId="0" applyNumberFormat="1"/>
    <xf numFmtId="0" fontId="24" fillId="22" borderId="52" xfId="0" applyNumberFormat="1" applyFont="1" applyFill="1" applyBorder="1"/>
    <xf numFmtId="0" fontId="24" fillId="22" borderId="155" xfId="0" applyNumberFormat="1" applyFont="1" applyFill="1" applyBorder="1"/>
    <xf numFmtId="0" fontId="0" fillId="0" borderId="109" xfId="0" applyNumberFormat="1" applyBorder="1"/>
    <xf numFmtId="0" fontId="80" fillId="0" borderId="0" xfId="0" applyNumberFormat="1" applyFont="1"/>
    <xf numFmtId="0" fontId="24" fillId="22" borderId="99" xfId="0" applyNumberFormat="1" applyFont="1" applyFill="1" applyBorder="1"/>
    <xf numFmtId="0" fontId="0" fillId="0" borderId="0" xfId="0" applyNumberFormat="1" applyBorder="1"/>
    <xf numFmtId="0" fontId="24" fillId="22" borderId="80" xfId="0" applyNumberFormat="1" applyFont="1" applyFill="1" applyBorder="1"/>
    <xf numFmtId="0" fontId="0" fillId="4" borderId="0" xfId="0" applyNumberFormat="1" applyFill="1"/>
    <xf numFmtId="0" fontId="72" fillId="4" borderId="0" xfId="148" applyNumberFormat="1" applyFill="1" applyAlignment="1" applyProtection="1"/>
    <xf numFmtId="0" fontId="24" fillId="23" borderId="0" xfId="0" applyNumberFormat="1" applyFont="1" applyFill="1"/>
    <xf numFmtId="0" fontId="72" fillId="24" borderId="0" xfId="148" applyNumberFormat="1" applyFill="1" applyAlignment="1" applyProtection="1"/>
    <xf numFmtId="0" fontId="24" fillId="23" borderId="0" xfId="0" quotePrefix="1" applyNumberFormat="1" applyFont="1" applyFill="1"/>
    <xf numFmtId="0" fontId="7" fillId="23" borderId="0" xfId="0" applyNumberFormat="1" applyFont="1" applyFill="1"/>
    <xf numFmtId="0" fontId="7" fillId="24"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2" borderId="132" xfId="0" applyNumberFormat="1" applyFont="1" applyFill="1" applyBorder="1"/>
    <xf numFmtId="0" fontId="0" fillId="0" borderId="21" xfId="0" applyNumberFormat="1" applyBorder="1"/>
    <xf numFmtId="0" fontId="7" fillId="13" borderId="21" xfId="0" applyNumberFormat="1" applyFont="1" applyFill="1" applyBorder="1"/>
    <xf numFmtId="0" fontId="0" fillId="0" borderId="101" xfId="0" applyNumberFormat="1" applyBorder="1"/>
    <xf numFmtId="0" fontId="7" fillId="22" borderId="100" xfId="0" applyNumberFormat="1" applyFont="1" applyFill="1" applyBorder="1"/>
    <xf numFmtId="0" fontId="45" fillId="22" borderId="19" xfId="0" applyNumberFormat="1" applyFont="1" applyFill="1" applyBorder="1"/>
    <xf numFmtId="0" fontId="39" fillId="22" borderId="86" xfId="0" applyNumberFormat="1" applyFont="1" applyFill="1" applyBorder="1" applyAlignment="1">
      <alignment horizontal="center" vertical="center" wrapText="1"/>
    </xf>
    <xf numFmtId="0" fontId="39" fillId="22" borderId="16" xfId="0" applyNumberFormat="1" applyFont="1" applyFill="1" applyBorder="1" applyAlignment="1">
      <alignment horizontal="center" vertical="center" wrapText="1"/>
    </xf>
    <xf numFmtId="0" fontId="0" fillId="0" borderId="80" xfId="0" applyNumberFormat="1" applyBorder="1"/>
    <xf numFmtId="0" fontId="7" fillId="22" borderId="19" xfId="0" applyNumberFormat="1" applyFont="1" applyFill="1" applyBorder="1" applyAlignment="1">
      <alignment horizontal="justify" vertical="top"/>
    </xf>
    <xf numFmtId="0" fontId="7" fillId="22"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0" xfId="148" applyNumberFormat="1" applyBorder="1" applyAlignment="1" applyProtection="1"/>
    <xf numFmtId="0" fontId="0" fillId="0" borderId="108" xfId="0" applyNumberFormat="1" applyBorder="1"/>
    <xf numFmtId="0" fontId="0" fillId="0" borderId="111" xfId="0" applyNumberFormat="1" applyBorder="1"/>
    <xf numFmtId="0" fontId="72" fillId="0" borderId="112" xfId="148" applyNumberFormat="1" applyBorder="1" applyAlignment="1" applyProtection="1"/>
    <xf numFmtId="0" fontId="0" fillId="0" borderId="113" xfId="0" applyNumberFormat="1" applyBorder="1"/>
    <xf numFmtId="0" fontId="72" fillId="0" borderId="110" xfId="148" quotePrefix="1" applyNumberFormat="1" applyBorder="1" applyAlignment="1" applyProtection="1"/>
    <xf numFmtId="0" fontId="0" fillId="0" borderId="112"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0"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99"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0"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99" xfId="0" applyNumberFormat="1" applyFont="1" applyFill="1" applyBorder="1" applyAlignment="1">
      <alignment horizontal="left" vertical="center" wrapText="1"/>
    </xf>
    <xf numFmtId="0" fontId="24" fillId="15" borderId="110" xfId="0" applyNumberFormat="1" applyFont="1" applyFill="1" applyBorder="1" applyAlignment="1">
      <alignment horizontal="justify" vertical="top" wrapText="1"/>
    </xf>
    <xf numFmtId="0" fontId="24" fillId="0" borderId="108" xfId="0" applyNumberFormat="1" applyFont="1" applyFill="1" applyBorder="1" applyAlignment="1">
      <alignment horizontal="justify" vertical="top" wrapText="1"/>
    </xf>
    <xf numFmtId="0" fontId="24" fillId="0" borderId="111"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2" borderId="86" xfId="0" applyNumberFormat="1" applyFont="1" applyFill="1" applyBorder="1" applyAlignment="1">
      <alignment horizontal="left" vertical="center" wrapText="1"/>
    </xf>
    <xf numFmtId="0" fontId="24" fillId="22"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08" xfId="0" applyNumberFormat="1" applyBorder="1" applyAlignment="1">
      <alignment vertical="top" wrapText="1"/>
    </xf>
    <xf numFmtId="0" fontId="0" fillId="0" borderId="111"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4" xfId="0" applyFont="1" applyFill="1" applyBorder="1" applyAlignment="1">
      <alignment vertical="center"/>
    </xf>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57" xfId="0" applyBorder="1"/>
    <xf numFmtId="170" fontId="0" fillId="0" borderId="157" xfId="0" applyBorder="1" applyAlignment="1">
      <alignment horizontal="justify" wrapText="1"/>
    </xf>
    <xf numFmtId="170" fontId="0" fillId="0" borderId="156" xfId="0" applyBorder="1"/>
    <xf numFmtId="170" fontId="0" fillId="0" borderId="21" xfId="0" applyBorder="1" applyAlignment="1">
      <alignment horizontal="left"/>
    </xf>
    <xf numFmtId="170" fontId="0" fillId="0" borderId="21" xfId="0" applyBorder="1" applyAlignment="1"/>
    <xf numFmtId="0" fontId="0" fillId="0" borderId="108"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xf numFmtId="3" fontId="0" fillId="0" borderId="13"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17" xfId="0" applyNumberFormat="1" applyFont="1" applyBorder="1"/>
    <xf numFmtId="3" fontId="7" fillId="13" borderId="15" xfId="0" applyNumberFormat="1" applyFont="1" applyFill="1" applyBorder="1"/>
    <xf numFmtId="3" fontId="0" fillId="0" borderId="0" xfId="0" applyNumberFormat="1" applyAlignment="1">
      <alignment horizontal="right"/>
    </xf>
    <xf numFmtId="3" fontId="7" fillId="17" borderId="15" xfId="0" applyNumberFormat="1" applyFont="1" applyFill="1" applyBorder="1"/>
    <xf numFmtId="3" fontId="0" fillId="0" borderId="0" xfId="0" applyNumberFormat="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xf numFmtId="3" fontId="7" fillId="22" borderId="52" xfId="0" applyNumberFormat="1" applyFont="1" applyFill="1" applyBorder="1"/>
    <xf numFmtId="3" fontId="7" fillId="0" borderId="109"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2"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1" xfId="0" applyNumberFormat="1" applyBorder="1" applyAlignment="1">
      <alignment horizontal="center" vertical="top" wrapText="1"/>
    </xf>
    <xf numFmtId="4" fontId="0" fillId="0" borderId="18" xfId="0" applyNumberFormat="1" applyBorder="1" applyAlignment="1">
      <alignment horizontal="right" wrapText="1"/>
    </xf>
    <xf numFmtId="4" fontId="0" fillId="0" borderId="0" xfId="0" applyNumberFormat="1" applyBorder="1"/>
    <xf numFmtId="4" fontId="45" fillId="0" borderId="113"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2"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2" borderId="86" xfId="0" applyNumberFormat="1" applyFont="1" applyFill="1" applyBorder="1"/>
    <xf numFmtId="0" fontId="7" fillId="22"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08" xfId="0" applyNumberFormat="1" applyFill="1" applyBorder="1" applyAlignment="1">
      <alignment horizontal="left"/>
    </xf>
    <xf numFmtId="3" fontId="0" fillId="0" borderId="111"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48"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43" fillId="0" borderId="93"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0"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1"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0" fillId="0" borderId="0" xfId="0" applyBorder="1" applyProtection="1"/>
    <xf numFmtId="170" fontId="45" fillId="0" borderId="100" xfId="0" applyFont="1" applyBorder="1" applyProtection="1"/>
    <xf numFmtId="170" fontId="0" fillId="0" borderId="52" xfId="0" applyBorder="1" applyAlignment="1" applyProtection="1">
      <alignment wrapText="1"/>
    </xf>
    <xf numFmtId="170" fontId="0" fillId="0" borderId="99"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1" borderId="0" xfId="0" applyNumberFormat="1" applyFont="1" applyFill="1" applyBorder="1" applyAlignment="1" applyProtection="1">
      <alignment vertical="top" wrapText="1"/>
    </xf>
    <xf numFmtId="3" fontId="40" fillId="21"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0" fontId="7" fillId="0" borderId="101" xfId="0" applyFont="1" applyFill="1" applyBorder="1" applyProtection="1"/>
    <xf numFmtId="3" fontId="0" fillId="16" borderId="61" xfId="0" applyNumberFormat="1" applyFill="1" applyBorder="1" applyAlignment="1" applyProtection="1">
      <alignment horizontal="center" wrapText="1"/>
    </xf>
    <xf numFmtId="170" fontId="40" fillId="21" borderId="52" xfId="0" applyFont="1" applyFill="1" applyBorder="1" applyAlignment="1" applyProtection="1">
      <alignment vertical="top" wrapText="1"/>
      <protection locked="0"/>
    </xf>
    <xf numFmtId="3" fontId="40" fillId="21" borderId="52" xfId="0" applyNumberFormat="1" applyFont="1" applyFill="1" applyBorder="1" applyAlignment="1" applyProtection="1">
      <alignment vertical="top" wrapText="1"/>
      <protection locked="0"/>
    </xf>
    <xf numFmtId="170" fontId="40" fillId="21" borderId="99"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2" fontId="0" fillId="0" borderId="0" xfId="0" applyNumberFormat="1"/>
    <xf numFmtId="168" fontId="7" fillId="13" borderId="15" xfId="0" applyNumberFormat="1" applyFont="1" applyFill="1" applyBorder="1"/>
    <xf numFmtId="168"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04"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5"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58" fillId="12" borderId="101" xfId="0" applyNumberFormat="1" applyFont="1" applyFill="1" applyBorder="1" applyAlignment="1">
      <alignment vertical="center"/>
    </xf>
    <xf numFmtId="1" fontId="53" fillId="12" borderId="106" xfId="0" applyNumberFormat="1" applyFont="1" applyFill="1" applyBorder="1" applyAlignment="1">
      <alignment vertical="center"/>
    </xf>
    <xf numFmtId="1" fontId="58" fillId="19" borderId="107"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96"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2"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1" fillId="19" borderId="153"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54"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98"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6" fontId="0" fillId="0" borderId="0" xfId="0" applyNumberFormat="1"/>
    <xf numFmtId="2" fontId="61" fillId="19" borderId="55"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96"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97" fillId="0" borderId="0" xfId="0" applyFont="1"/>
    <xf numFmtId="0" fontId="24" fillId="23"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58"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0" xfId="0" applyNumberFormat="1" applyFont="1" applyFill="1" applyBorder="1" applyAlignment="1">
      <alignment vertical="center"/>
    </xf>
    <xf numFmtId="1" fontId="61" fillId="0" borderId="90" xfId="0" applyNumberFormat="1" applyFont="1" applyFill="1" applyBorder="1" applyAlignment="1">
      <alignment vertical="center" wrapText="1"/>
    </xf>
    <xf numFmtId="1" fontId="59" fillId="18" borderId="100"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59"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58" fillId="0" borderId="25" xfId="0" applyNumberFormat="1" applyFont="1" applyBorder="1" applyAlignment="1">
      <alignment wrapText="1"/>
    </xf>
    <xf numFmtId="1" fontId="61" fillId="0" borderId="161" xfId="0" applyNumberFormat="1" applyFont="1" applyFill="1" applyBorder="1" applyAlignment="1"/>
    <xf numFmtId="1" fontId="61" fillId="0" borderId="161" xfId="0" applyNumberFormat="1" applyFont="1" applyFill="1" applyBorder="1" applyAlignment="1">
      <alignment vertical="center" wrapText="1"/>
    </xf>
    <xf numFmtId="1" fontId="61" fillId="0" borderId="92" xfId="0" applyNumberFormat="1" applyFont="1" applyFill="1" applyBorder="1" applyAlignment="1">
      <alignment vertical="center"/>
    </xf>
    <xf numFmtId="1" fontId="59" fillId="18" borderId="149" xfId="0" applyNumberFormat="1" applyFont="1" applyFill="1" applyBorder="1" applyAlignment="1"/>
    <xf numFmtId="1" fontId="59" fillId="18" borderId="162" xfId="0" applyNumberFormat="1" applyFont="1" applyFill="1" applyBorder="1" applyAlignment="1"/>
    <xf numFmtId="1" fontId="59" fillId="18" borderId="99" xfId="0" applyNumberFormat="1" applyFont="1" applyFill="1" applyBorder="1" applyAlignment="1">
      <alignment vertical="center"/>
    </xf>
    <xf numFmtId="1" fontId="61" fillId="0" borderId="163" xfId="0" applyNumberFormat="1" applyFont="1" applyFill="1" applyBorder="1" applyAlignment="1"/>
    <xf numFmtId="1" fontId="58" fillId="12" borderId="16" xfId="0" applyNumberFormat="1" applyFont="1" applyFill="1" applyBorder="1" applyAlignment="1"/>
    <xf numFmtId="1" fontId="61" fillId="0" borderId="93" xfId="0" applyNumberFormat="1" applyFont="1" applyFill="1" applyBorder="1" applyAlignment="1"/>
    <xf numFmtId="1" fontId="53" fillId="12" borderId="102" xfId="0" applyNumberFormat="1" applyFont="1" applyFill="1" applyBorder="1" applyAlignment="1"/>
    <xf numFmtId="1" fontId="53" fillId="12" borderId="103" xfId="0" applyNumberFormat="1" applyFont="1" applyFill="1" applyBorder="1" applyAlignment="1"/>
    <xf numFmtId="1" fontId="68" fillId="0" borderId="164"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5" xfId="0" applyNumberFormat="1" applyFont="1" applyFill="1" applyBorder="1" applyAlignment="1" applyProtection="1">
      <alignment horizontal="center" vertical="center"/>
      <protection locked="0"/>
    </xf>
    <xf numFmtId="1" fontId="58" fillId="0" borderId="165"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98"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66" xfId="0" applyNumberFormat="1" applyFont="1" applyFill="1" applyBorder="1" applyAlignment="1">
      <alignment horizontal="center" vertical="center" wrapText="1"/>
    </xf>
    <xf numFmtId="1" fontId="58" fillId="12" borderId="167"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68"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0" xfId="2" applyNumberFormat="1" applyFont="1" applyBorder="1" applyAlignment="1">
      <alignment horizontal="center"/>
    </xf>
    <xf numFmtId="168" fontId="7" fillId="0" borderId="141" xfId="2" applyNumberFormat="1" applyFont="1" applyBorder="1" applyAlignment="1">
      <alignment horizontal="center"/>
    </xf>
    <xf numFmtId="168" fontId="14" fillId="0" borderId="140" xfId="2" applyNumberFormat="1" applyFont="1" applyBorder="1" applyAlignment="1">
      <alignment horizontal="center"/>
    </xf>
    <xf numFmtId="172" fontId="7" fillId="0" borderId="138" xfId="2" applyNumberFormat="1" applyFont="1" applyBorder="1" applyAlignment="1">
      <alignment horizontal="center"/>
    </xf>
    <xf numFmtId="172" fontId="7" fillId="0" borderId="143" xfId="2" applyNumberFormat="1" applyFont="1" applyBorder="1" applyAlignment="1">
      <alignment horizontal="center"/>
    </xf>
    <xf numFmtId="172" fontId="14" fillId="0" borderId="138"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18" xfId="2" applyNumberFormat="1" applyFill="1" applyBorder="1" applyAlignment="1">
      <alignment horizontal="center"/>
    </xf>
    <xf numFmtId="168" fontId="7" fillId="0" borderId="145" xfId="2" applyNumberFormat="1" applyFont="1" applyBorder="1" applyAlignment="1">
      <alignment horizontal="center"/>
    </xf>
    <xf numFmtId="168" fontId="15" fillId="2" borderId="118" xfId="2" applyNumberFormat="1" applyFont="1" applyFill="1" applyBorder="1" applyAlignment="1">
      <alignment horizontal="center"/>
    </xf>
    <xf numFmtId="168" fontId="7" fillId="0" borderId="138" xfId="2" applyNumberFormat="1" applyFont="1" applyBorder="1" applyAlignment="1">
      <alignment horizontal="center"/>
    </xf>
    <xf numFmtId="168" fontId="7" fillId="0" borderId="143" xfId="2" applyNumberFormat="1" applyFont="1" applyBorder="1" applyAlignment="1">
      <alignment horizontal="center"/>
    </xf>
    <xf numFmtId="168" fontId="14" fillId="0" borderId="138"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2"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18"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0" fontId="0" fillId="0" borderId="0" xfId="0" applyFont="1"/>
    <xf numFmtId="14" fontId="15" fillId="0" borderId="0" xfId="149" applyNumberFormat="1" applyFont="1" applyFill="1"/>
    <xf numFmtId="170" fontId="98"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77" fontId="23" fillId="0" borderId="0" xfId="0" applyNumberFormat="1" applyFont="1" applyBorder="1"/>
    <xf numFmtId="177" fontId="6" fillId="0" borderId="0" xfId="0" applyNumberFormat="1" applyFont="1"/>
    <xf numFmtId="177" fontId="0" fillId="0" borderId="0" xfId="0" applyNumberFormat="1"/>
    <xf numFmtId="177" fontId="24" fillId="0" borderId="0" xfId="0" applyNumberFormat="1" applyFont="1"/>
    <xf numFmtId="177" fontId="80" fillId="0" borderId="0" xfId="0" applyNumberFormat="1" applyFont="1" applyFill="1"/>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18" xfId="0" applyFont="1" applyFill="1" applyBorder="1"/>
    <xf numFmtId="170" fontId="0" fillId="0" borderId="118" xfId="0" applyFont="1" applyFill="1" applyBorder="1" applyAlignment="1">
      <alignment horizontal="right"/>
    </xf>
    <xf numFmtId="170" fontId="0" fillId="0" borderId="118" xfId="0" applyBorder="1" applyAlignment="1">
      <alignment horizontal="right"/>
    </xf>
    <xf numFmtId="170" fontId="24" fillId="0" borderId="101" xfId="0" applyFont="1" applyFill="1" applyBorder="1"/>
    <xf numFmtId="14" fontId="0" fillId="0" borderId="0" xfId="0" applyNumberFormat="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 fontId="61" fillId="0" borderId="21" xfId="0" applyNumberFormat="1" applyFont="1" applyFill="1" applyBorder="1" applyAlignment="1">
      <alignment vertical="center"/>
    </xf>
    <xf numFmtId="1" fontId="61" fillId="0" borderId="170"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99" xfId="0" applyNumberFormat="1" applyFont="1" applyFill="1" applyBorder="1" applyAlignment="1">
      <alignment horizontal="center" vertical="center" wrapText="1"/>
    </xf>
    <xf numFmtId="1" fontId="61" fillId="0" borderId="171"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17" borderId="166" xfId="0" applyNumberFormat="1" applyFont="1" applyFill="1" applyBorder="1" applyAlignment="1">
      <alignment horizontal="center" vertical="center"/>
    </xf>
    <xf numFmtId="1" fontId="10" fillId="17" borderId="171" xfId="0" applyNumberFormat="1" applyFont="1" applyFill="1" applyBorder="1" applyAlignment="1">
      <alignment horizontal="center" vertical="center"/>
    </xf>
    <xf numFmtId="169" fontId="61" fillId="19" borderId="55" xfId="0" applyNumberFormat="1" applyFont="1" applyFill="1" applyBorder="1" applyAlignment="1" applyProtection="1">
      <alignment horizontal="center" vertical="center"/>
      <protection locked="0"/>
    </xf>
    <xf numFmtId="3" fontId="102" fillId="12" borderId="175" xfId="0" applyNumberFormat="1" applyFont="1" applyFill="1" applyBorder="1" applyAlignment="1">
      <alignment horizontal="center" vertical="center" wrapText="1"/>
    </xf>
    <xf numFmtId="3" fontId="23" fillId="0" borderId="0" xfId="0" applyNumberFormat="1" applyFont="1"/>
    <xf numFmtId="3" fontId="102" fillId="12" borderId="173" xfId="0" applyNumberFormat="1" applyFont="1" applyFill="1" applyBorder="1" applyAlignment="1">
      <alignment horizontal="center" vertical="center" wrapText="1"/>
    </xf>
    <xf numFmtId="3" fontId="23" fillId="0" borderId="176" xfId="0" applyNumberFormat="1" applyFont="1" applyBorder="1" applyAlignment="1">
      <alignment horizontal="left" vertical="top"/>
    </xf>
    <xf numFmtId="3" fontId="24" fillId="27" borderId="177" xfId="0" applyNumberFormat="1" applyFont="1" applyFill="1" applyBorder="1" applyAlignment="1">
      <alignment horizontal="left" vertical="top" wrapText="1"/>
    </xf>
    <xf numFmtId="3" fontId="24" fillId="29" borderId="177" xfId="0" applyNumberFormat="1" applyFont="1" applyFill="1" applyBorder="1" applyAlignment="1">
      <alignment horizontal="left" vertical="top" wrapText="1"/>
    </xf>
    <xf numFmtId="3" fontId="24" fillId="0" borderId="177" xfId="0" applyNumberFormat="1" applyFont="1" applyFill="1" applyBorder="1" applyAlignment="1">
      <alignment horizontal="left" vertical="top" wrapText="1"/>
    </xf>
    <xf numFmtId="3" fontId="23" fillId="0" borderId="178" xfId="0" applyNumberFormat="1" applyFont="1" applyBorder="1" applyAlignment="1">
      <alignment horizontal="left" vertical="top"/>
    </xf>
    <xf numFmtId="3" fontId="24" fillId="27" borderId="179" xfId="0" applyNumberFormat="1" applyFont="1" applyFill="1" applyBorder="1" applyAlignment="1">
      <alignment horizontal="left" vertical="top" wrapText="1"/>
    </xf>
    <xf numFmtId="3" fontId="0" fillId="27" borderId="179" xfId="0" applyNumberFormat="1" applyFill="1" applyBorder="1" applyAlignment="1">
      <alignment horizontal="left" vertical="top" wrapText="1"/>
    </xf>
    <xf numFmtId="3" fontId="24" fillId="29" borderId="179" xfId="0" applyNumberFormat="1" applyFont="1" applyFill="1" applyBorder="1" applyAlignment="1">
      <alignment horizontal="left" vertical="top" wrapText="1"/>
    </xf>
    <xf numFmtId="3" fontId="24" fillId="0" borderId="179" xfId="0" applyNumberFormat="1" applyFont="1" applyFill="1" applyBorder="1" applyAlignment="1">
      <alignment horizontal="left" vertical="top" wrapText="1"/>
    </xf>
    <xf numFmtId="3" fontId="24" fillId="28"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4" fillId="0" borderId="179"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103" fillId="0" borderId="178" xfId="0" applyNumberFormat="1" applyFont="1" applyBorder="1" applyAlignment="1">
      <alignment horizontal="left" vertical="top"/>
    </xf>
    <xf numFmtId="3" fontId="0" fillId="0" borderId="179" xfId="0" applyNumberFormat="1" applyBorder="1"/>
    <xf numFmtId="3" fontId="0" fillId="0" borderId="180" xfId="0" applyNumberFormat="1" applyBorder="1"/>
    <xf numFmtId="3" fontId="23" fillId="0" borderId="10" xfId="0" applyNumberFormat="1" applyFont="1" applyBorder="1" applyAlignment="1">
      <alignment horizontal="left" vertical="top"/>
    </xf>
    <xf numFmtId="3" fontId="104" fillId="0" borderId="27" xfId="0" applyNumberFormat="1" applyFont="1" applyBorder="1"/>
    <xf numFmtId="3" fontId="7" fillId="0" borderId="181" xfId="0" applyNumberFormat="1" applyFont="1" applyBorder="1"/>
    <xf numFmtId="3" fontId="0" fillId="0" borderId="182" xfId="0" applyNumberFormat="1" applyBorder="1"/>
    <xf numFmtId="3" fontId="7" fillId="28" borderId="0" xfId="0" applyNumberFormat="1" applyFont="1" applyFill="1" applyAlignment="1">
      <alignment horizontal="left"/>
    </xf>
    <xf numFmtId="3" fontId="7" fillId="27" borderId="0" xfId="0" applyNumberFormat="1" applyFont="1" applyFill="1" applyAlignment="1">
      <alignment horizontal="left"/>
    </xf>
    <xf numFmtId="3" fontId="7" fillId="29" borderId="0" xfId="0" applyNumberFormat="1" applyFont="1" applyFill="1" applyAlignment="1">
      <alignment horizontal="left"/>
    </xf>
    <xf numFmtId="3" fontId="104" fillId="0" borderId="0" xfId="0" applyNumberFormat="1" applyFont="1" applyAlignment="1">
      <alignment vertical="top"/>
    </xf>
    <xf numFmtId="3" fontId="0" fillId="28" borderId="0" xfId="0" applyNumberFormat="1" applyFont="1" applyFill="1" applyAlignment="1">
      <alignment horizontal="left" vertical="top" wrapText="1"/>
    </xf>
    <xf numFmtId="3" fontId="105" fillId="27" borderId="0" xfId="0" applyNumberFormat="1" applyFont="1" applyFill="1" applyAlignment="1">
      <alignment horizontal="left" vertical="top" wrapText="1"/>
    </xf>
    <xf numFmtId="3" fontId="0" fillId="29" borderId="0" xfId="0" applyNumberFormat="1" applyFill="1" applyAlignment="1">
      <alignment vertical="top" wrapText="1"/>
    </xf>
    <xf numFmtId="0" fontId="0" fillId="0" borderId="0" xfId="173" applyNumberFormat="1" applyFont="1" applyFill="1"/>
    <xf numFmtId="1" fontId="45" fillId="12" borderId="173" xfId="0" applyNumberFormat="1" applyFont="1" applyFill="1" applyBorder="1" applyAlignment="1">
      <alignment horizontal="center" vertical="center" wrapText="1"/>
    </xf>
    <xf numFmtId="1" fontId="108" fillId="0" borderId="173" xfId="0" applyNumberFormat="1" applyFont="1" applyFill="1" applyBorder="1" applyAlignment="1">
      <alignment horizontal="center"/>
    </xf>
    <xf numFmtId="1" fontId="24" fillId="0" borderId="173" xfId="0" applyNumberFormat="1" applyFont="1" applyFill="1" applyBorder="1" applyAlignment="1" applyProtection="1">
      <alignment horizontal="center" vertical="center"/>
      <protection locked="0"/>
    </xf>
    <xf numFmtId="1" fontId="45" fillId="0" borderId="173" xfId="0" applyNumberFormat="1" applyFont="1" applyFill="1" applyBorder="1" applyAlignment="1" applyProtection="1">
      <alignment horizontal="center" vertical="center"/>
      <protection locked="0"/>
    </xf>
    <xf numFmtId="1" fontId="24" fillId="0" borderId="173" xfId="0" applyNumberFormat="1" applyFont="1" applyBorder="1" applyAlignment="1" applyProtection="1">
      <alignment horizontal="center" vertical="center"/>
      <protection locked="0"/>
    </xf>
    <xf numFmtId="1" fontId="107" fillId="0" borderId="173" xfId="0" applyNumberFormat="1" applyFont="1" applyFill="1" applyBorder="1" applyAlignment="1">
      <alignment horizontal="left"/>
    </xf>
    <xf numFmtId="1" fontId="45" fillId="0" borderId="173" xfId="0" applyNumberFormat="1" applyFont="1" applyFill="1" applyBorder="1" applyAlignment="1">
      <alignment horizontal="left"/>
    </xf>
    <xf numFmtId="1" fontId="45" fillId="0" borderId="173" xfId="0" applyNumberFormat="1" applyFont="1" applyFill="1" applyBorder="1" applyAlignment="1" applyProtection="1">
      <alignment horizontal="left" wrapText="1"/>
      <protection locked="0"/>
    </xf>
    <xf numFmtId="1" fontId="107" fillId="0" borderId="173" xfId="0" applyNumberFormat="1" applyFont="1" applyBorder="1" applyAlignment="1">
      <alignment horizontal="left" vertical="center"/>
    </xf>
    <xf numFmtId="1" fontId="45" fillId="0" borderId="173" xfId="0" applyNumberFormat="1" applyFont="1" applyBorder="1" applyAlignment="1">
      <alignment horizontal="left" vertical="center"/>
    </xf>
    <xf numFmtId="1" fontId="45" fillId="0" borderId="173" xfId="0" applyNumberFormat="1" applyFont="1" applyFill="1" applyBorder="1" applyAlignment="1">
      <alignment horizontal="left" vertical="center"/>
    </xf>
    <xf numFmtId="1" fontId="108" fillId="15"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wrapText="1"/>
      <protection locked="0"/>
    </xf>
    <xf numFmtId="1" fontId="107" fillId="0" borderId="173" xfId="0" applyNumberFormat="1" applyFont="1" applyFill="1" applyBorder="1" applyAlignment="1">
      <alignment horizontal="left" vertical="top"/>
    </xf>
    <xf numFmtId="1" fontId="45"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wrapText="1"/>
      <protection locked="0"/>
    </xf>
    <xf numFmtId="1" fontId="108"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protection locked="0"/>
    </xf>
    <xf numFmtId="168" fontId="7" fillId="0" borderId="183" xfId="2" applyNumberFormat="1" applyFont="1" applyBorder="1" applyAlignment="1">
      <alignment horizontal="center"/>
    </xf>
    <xf numFmtId="14" fontId="0" fillId="0" borderId="0" xfId="0" applyNumberFormat="1" applyFill="1"/>
    <xf numFmtId="170" fontId="0" fillId="0" borderId="0" xfId="0"/>
    <xf numFmtId="0" fontId="72" fillId="4" borderId="0" xfId="148" applyNumberFormat="1" applyFill="1" applyAlignment="1" applyProtection="1"/>
    <xf numFmtId="170" fontId="0" fillId="0" borderId="0" xfId="0" applyFill="1"/>
    <xf numFmtId="170" fontId="72" fillId="0" borderId="0" xfId="148" quotePrefix="1" applyFill="1" applyAlignment="1" applyProtection="1"/>
    <xf numFmtId="4" fontId="7" fillId="0" borderId="138"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78" fontId="56" fillId="0" borderId="0" xfId="52" applyNumberFormat="1" applyFont="1"/>
    <xf numFmtId="178" fontId="5" fillId="0" borderId="0" xfId="52" applyNumberFormat="1" applyFont="1"/>
    <xf numFmtId="178" fontId="5" fillId="0" borderId="0" xfId="52" applyNumberFormat="1" applyFont="1" applyFill="1" applyBorder="1"/>
    <xf numFmtId="11" fontId="0" fillId="0" borderId="0" xfId="0" applyNumberFormat="1"/>
    <xf numFmtId="170" fontId="15" fillId="0" borderId="0" xfId="0" applyFont="1"/>
    <xf numFmtId="170" fontId="72" fillId="0" borderId="0" xfId="148" quotePrefix="1" applyAlignment="1" applyProtection="1"/>
    <xf numFmtId="9" fontId="0" fillId="2" borderId="0" xfId="52" applyFont="1" applyFill="1" applyBorder="1" applyAlignment="1">
      <alignment horizontal="center"/>
    </xf>
    <xf numFmtId="0" fontId="0" fillId="23" borderId="0" xfId="0" applyNumberFormat="1" applyFont="1" applyFill="1"/>
    <xf numFmtId="0" fontId="0" fillId="24" borderId="0" xfId="0" applyNumberFormat="1" applyFont="1" applyFill="1"/>
    <xf numFmtId="0" fontId="0" fillId="4" borderId="0" xfId="0" applyNumberFormat="1" applyFont="1" applyFill="1"/>
    <xf numFmtId="0" fontId="0" fillId="23" borderId="0" xfId="0" quotePrefix="1" applyNumberFormat="1" applyFont="1" applyFill="1"/>
    <xf numFmtId="0" fontId="126" fillId="4" borderId="0" xfId="148" applyNumberFormat="1" applyFont="1" applyFill="1" applyAlignment="1" applyProtection="1"/>
    <xf numFmtId="0" fontId="126" fillId="24" borderId="0" xfId="148" applyNumberFormat="1" applyFont="1" applyFill="1" applyAlignment="1" applyProtection="1"/>
    <xf numFmtId="0" fontId="0" fillId="23" borderId="0" xfId="0" quotePrefix="1" applyNumberFormat="1" applyFont="1" applyFill="1" applyAlignment="1">
      <alignment horizontal="left"/>
    </xf>
    <xf numFmtId="3" fontId="7" fillId="0" borderId="109" xfId="0" applyNumberFormat="1" applyFont="1" applyFill="1" applyBorder="1"/>
    <xf numFmtId="1" fontId="108" fillId="65" borderId="173" xfId="0" applyNumberFormat="1" applyFont="1" applyFill="1" applyBorder="1" applyAlignment="1">
      <alignment horizontal="left" vertical="top" wrapText="1"/>
    </xf>
    <xf numFmtId="0" fontId="6" fillId="4" borderId="0" xfId="0" applyNumberFormat="1" applyFont="1" applyFill="1"/>
    <xf numFmtId="1" fontId="24" fillId="65" borderId="173" xfId="0" applyNumberFormat="1" applyFont="1" applyFill="1" applyBorder="1" applyAlignment="1" applyProtection="1">
      <alignment horizontal="left" vertical="top"/>
      <protection locked="0"/>
    </xf>
    <xf numFmtId="4" fontId="0" fillId="65" borderId="0" xfId="0" applyNumberFormat="1" applyFill="1" applyAlignment="1">
      <alignment horizontal="left" vertical="top" wrapText="1"/>
    </xf>
    <xf numFmtId="1" fontId="24" fillId="65" borderId="173" xfId="0" applyNumberFormat="1" applyFont="1" applyFill="1" applyBorder="1" applyAlignment="1" applyProtection="1">
      <alignment horizontal="center" vertical="center"/>
      <protection locked="0"/>
    </xf>
    <xf numFmtId="0" fontId="24" fillId="0" borderId="0" xfId="0" applyNumberFormat="1" applyFont="1" applyFill="1" applyBorder="1" applyAlignment="1">
      <alignment vertical="top"/>
    </xf>
    <xf numFmtId="170" fontId="129" fillId="0" borderId="0" xfId="148" quotePrefix="1" applyFont="1" applyAlignment="1" applyProtection="1"/>
    <xf numFmtId="170" fontId="24" fillId="0" borderId="199" xfId="2" applyFont="1" applyBorder="1" applyAlignment="1">
      <alignment horizontal="left" vertical="top" wrapText="1"/>
    </xf>
    <xf numFmtId="170" fontId="72" fillId="0" borderId="108" xfId="148" applyBorder="1" applyAlignment="1" applyProtection="1">
      <alignment vertical="top" wrapText="1"/>
    </xf>
    <xf numFmtId="3" fontId="58" fillId="12" borderId="1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172" xfId="0" applyNumberFormat="1" applyFont="1" applyFill="1" applyBorder="1" applyAlignment="1">
      <alignment horizontal="center" vertical="center" wrapText="1"/>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3" fontId="39" fillId="12" borderId="12"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5" fillId="0" borderId="12" xfId="0" applyFont="1" applyFill="1" applyBorder="1"/>
    <xf numFmtId="170" fontId="5" fillId="0" borderId="12" xfId="0" applyFont="1" applyBorder="1"/>
    <xf numFmtId="0" fontId="24" fillId="24" borderId="0" xfId="0" applyNumberFormat="1" applyFont="1" applyFill="1"/>
    <xf numFmtId="15" fontId="24" fillId="23" borderId="0" xfId="0" quotePrefix="1" applyNumberFormat="1" applyFont="1" applyFill="1" applyAlignment="1">
      <alignment horizontal="left"/>
    </xf>
    <xf numFmtId="17" fontId="24" fillId="23" borderId="0" xfId="0" quotePrefix="1" applyNumberFormat="1" applyFont="1" applyFill="1"/>
    <xf numFmtId="0" fontId="24" fillId="23" borderId="0" xfId="0" applyNumberFormat="1" applyFont="1" applyFill="1" applyAlignment="1"/>
    <xf numFmtId="1" fontId="61" fillId="0" borderId="200" xfId="0" applyNumberFormat="1" applyFont="1" applyFill="1" applyBorder="1" applyAlignment="1">
      <alignment vertical="center"/>
    </xf>
    <xf numFmtId="1" fontId="61" fillId="0" borderId="201" xfId="0" applyNumberFormat="1" applyFont="1" applyFill="1" applyBorder="1" applyAlignment="1" applyProtection="1">
      <alignment horizontal="center" vertical="center"/>
      <protection locked="0"/>
    </xf>
    <xf numFmtId="1" fontId="61" fillId="0" borderId="202" xfId="0" applyNumberFormat="1" applyFont="1" applyFill="1" applyBorder="1" applyAlignment="1" applyProtection="1">
      <alignment horizontal="center" vertical="center"/>
      <protection locked="0"/>
    </xf>
    <xf numFmtId="1" fontId="61" fillId="0" borderId="90" xfId="0" applyNumberFormat="1" applyFont="1" applyFill="1" applyBorder="1" applyAlignment="1">
      <alignment horizontal="left" vertical="center" indent="3"/>
    </xf>
    <xf numFmtId="1" fontId="61" fillId="0" borderId="90" xfId="0" applyNumberFormat="1" applyFont="1" applyFill="1" applyBorder="1" applyAlignment="1">
      <alignment horizontal="left" vertical="center" wrapText="1" indent="3"/>
    </xf>
    <xf numFmtId="1" fontId="58" fillId="0" borderId="57" xfId="0" applyNumberFormat="1" applyFont="1" applyFill="1" applyBorder="1" applyAlignment="1" applyProtection="1">
      <alignment horizontal="center" vertical="center" wrapText="1"/>
      <protection locked="0"/>
    </xf>
    <xf numFmtId="3" fontId="58" fillId="12" borderId="147" xfId="0" applyNumberFormat="1" applyFont="1" applyFill="1" applyBorder="1" applyAlignment="1">
      <alignment horizontal="center" vertical="center" wrapText="1"/>
    </xf>
    <xf numFmtId="1" fontId="58" fillId="12" borderId="203" xfId="0" applyNumberFormat="1" applyFont="1" applyFill="1" applyBorder="1" applyAlignment="1">
      <alignment horizontal="center" vertical="center" wrapText="1"/>
    </xf>
    <xf numFmtId="1" fontId="58" fillId="18" borderId="147" xfId="0" applyNumberFormat="1" applyFont="1" applyFill="1" applyBorder="1" applyAlignment="1">
      <alignment horizontal="center" vertical="center"/>
    </xf>
    <xf numFmtId="1" fontId="61" fillId="0" borderId="204" xfId="0" applyNumberFormat="1" applyFont="1" applyFill="1" applyBorder="1" applyAlignment="1" applyProtection="1">
      <alignment horizontal="center" vertical="center"/>
      <protection locked="0"/>
    </xf>
    <xf numFmtId="3" fontId="39" fillId="12" borderId="202" xfId="0" applyNumberFormat="1" applyFont="1" applyFill="1" applyBorder="1" applyAlignment="1">
      <alignment horizontal="center" vertical="center" wrapText="1"/>
    </xf>
    <xf numFmtId="3" fontId="39" fillId="12" borderId="194" xfId="0" applyNumberFormat="1" applyFont="1" applyFill="1" applyBorder="1" applyAlignment="1">
      <alignment horizontal="center" vertical="center" wrapText="1"/>
    </xf>
    <xf numFmtId="3" fontId="0" fillId="2" borderId="194" xfId="0" applyNumberFormat="1" applyFill="1" applyBorder="1" applyAlignment="1">
      <alignment horizontal="center"/>
    </xf>
    <xf numFmtId="0" fontId="39" fillId="12" borderId="202" xfId="0" applyNumberFormat="1" applyFont="1" applyFill="1" applyBorder="1" applyAlignment="1">
      <alignment horizontal="center" vertical="center" wrapText="1"/>
    </xf>
    <xf numFmtId="0" fontId="39" fillId="12" borderId="194" xfId="0" applyNumberFormat="1" applyFont="1" applyFill="1" applyBorder="1" applyAlignment="1">
      <alignment horizontal="center" vertical="center" wrapText="1"/>
    </xf>
    <xf numFmtId="3" fontId="7" fillId="13" borderId="194" xfId="0" applyNumberFormat="1" applyFont="1" applyFill="1" applyBorder="1" applyAlignment="1">
      <alignment horizontal="center"/>
    </xf>
    <xf numFmtId="3" fontId="0" fillId="14" borderId="194" xfId="0" quotePrefix="1" applyNumberFormat="1" applyFill="1" applyBorder="1" applyAlignment="1">
      <alignment horizontal="center"/>
    </xf>
    <xf numFmtId="3" fontId="0" fillId="3" borderId="194" xfId="0" applyNumberFormat="1" applyFill="1" applyBorder="1" applyAlignment="1">
      <alignment horizontal="center"/>
    </xf>
    <xf numFmtId="3" fontId="0" fillId="3" borderId="194" xfId="0" applyNumberFormat="1" applyFill="1" applyBorder="1"/>
    <xf numFmtId="172" fontId="0" fillId="14" borderId="194" xfId="0" applyNumberFormat="1" applyFill="1" applyBorder="1" applyAlignment="1">
      <alignment horizontal="center"/>
    </xf>
    <xf numFmtId="3" fontId="0" fillId="13" borderId="194" xfId="0" applyNumberFormat="1" applyFill="1" applyBorder="1" applyAlignment="1">
      <alignment horizontal="center"/>
    </xf>
    <xf numFmtId="3" fontId="6" fillId="3" borderId="194" xfId="0" applyNumberFormat="1" applyFont="1" applyFill="1" applyBorder="1" applyAlignment="1">
      <alignment horizontal="center"/>
    </xf>
    <xf numFmtId="172" fontId="0" fillId="17" borderId="194" xfId="0" applyNumberFormat="1" applyFill="1" applyBorder="1" applyAlignment="1">
      <alignment horizontal="center"/>
    </xf>
    <xf numFmtId="170" fontId="24" fillId="22" borderId="199" xfId="0" applyFont="1" applyFill="1" applyBorder="1"/>
    <xf numFmtId="170" fontId="39" fillId="12" borderId="202" xfId="0" applyFont="1" applyFill="1" applyBorder="1" applyAlignment="1">
      <alignment horizontal="center" vertical="center" wrapText="1"/>
    </xf>
    <xf numFmtId="170" fontId="39" fillId="12" borderId="194" xfId="0" applyFont="1" applyFill="1" applyBorder="1" applyAlignment="1">
      <alignment horizontal="center" vertical="center" wrapText="1"/>
    </xf>
    <xf numFmtId="170" fontId="24" fillId="22" borderId="204" xfId="0" applyFont="1" applyFill="1" applyBorder="1"/>
    <xf numFmtId="3" fontId="7" fillId="0" borderId="202" xfId="0" applyNumberFormat="1" applyFont="1" applyBorder="1"/>
    <xf numFmtId="3" fontId="102" fillId="12" borderId="194" xfId="0" applyNumberFormat="1" applyFont="1" applyFill="1" applyBorder="1" applyAlignment="1">
      <alignment horizontal="center" vertical="center" wrapText="1"/>
    </xf>
    <xf numFmtId="174" fontId="61" fillId="19" borderId="55" xfId="0" applyNumberFormat="1" applyFont="1" applyFill="1" applyBorder="1" applyAlignment="1" applyProtection="1">
      <alignment horizontal="center" vertical="center"/>
      <protection locked="0"/>
    </xf>
    <xf numFmtId="174" fontId="61" fillId="0" borderId="30" xfId="0" applyNumberFormat="1" applyFont="1" applyFill="1" applyBorder="1" applyAlignment="1" applyProtection="1">
      <alignment horizontal="center" vertical="center"/>
      <protection locked="0"/>
    </xf>
    <xf numFmtId="1" fontId="61" fillId="0" borderId="205" xfId="0" applyNumberFormat="1" applyFont="1" applyFill="1" applyBorder="1" applyAlignment="1"/>
    <xf numFmtId="1" fontId="61" fillId="0" borderId="14" xfId="0" applyNumberFormat="1" applyFont="1" applyFill="1" applyBorder="1" applyAlignment="1">
      <alignment horizontal="left" indent="3"/>
    </xf>
    <xf numFmtId="1" fontId="61" fillId="0" borderId="81" xfId="0" applyNumberFormat="1" applyFont="1" applyFill="1" applyBorder="1" applyAlignment="1">
      <alignment horizontal="left" indent="3"/>
    </xf>
    <xf numFmtId="1" fontId="61" fillId="0" borderId="14" xfId="0" applyNumberFormat="1" applyFont="1" applyFill="1" applyBorder="1" applyAlignment="1">
      <alignment horizontal="left"/>
    </xf>
    <xf numFmtId="1" fontId="61" fillId="0" borderId="202" xfId="0" applyNumberFormat="1" applyFont="1" applyFill="1" applyBorder="1" applyAlignment="1">
      <alignment horizontal="left" indent="3"/>
    </xf>
    <xf numFmtId="1" fontId="61" fillId="0" borderId="207" xfId="0" applyNumberFormat="1" applyFont="1" applyFill="1" applyBorder="1" applyAlignment="1"/>
    <xf numFmtId="1" fontId="61" fillId="0" borderId="206" xfId="0" applyNumberFormat="1" applyFont="1" applyFill="1" applyBorder="1" applyAlignment="1">
      <alignment horizontal="left" indent="3"/>
    </xf>
    <xf numFmtId="1" fontId="61" fillId="0" borderId="65" xfId="0" applyNumberFormat="1" applyFont="1" applyFill="1" applyBorder="1" applyAlignment="1">
      <alignment horizontal="left" indent="3"/>
    </xf>
    <xf numFmtId="0" fontId="39" fillId="0" borderId="0" xfId="0" applyNumberFormat="1" applyFont="1" applyFill="1" applyBorder="1" applyAlignment="1" applyProtection="1">
      <alignment horizontal="center" vertical="center" wrapText="1"/>
    </xf>
    <xf numFmtId="3" fontId="39" fillId="0" borderId="0" xfId="0" applyNumberFormat="1" applyFont="1" applyFill="1" applyBorder="1" applyAlignment="1" applyProtection="1">
      <alignment horizontal="right" vertical="center"/>
    </xf>
    <xf numFmtId="3" fontId="43" fillId="0" borderId="208" xfId="0" applyNumberFormat="1" applyFont="1" applyFill="1" applyBorder="1" applyAlignment="1" applyProtection="1">
      <alignment horizontal="right" vertical="center"/>
    </xf>
    <xf numFmtId="3" fontId="43" fillId="0" borderId="58" xfId="0" applyNumberFormat="1" applyFont="1" applyFill="1" applyBorder="1" applyAlignment="1" applyProtection="1">
      <alignment horizontal="right" vertical="center"/>
    </xf>
    <xf numFmtId="3" fontId="39" fillId="19" borderId="209" xfId="0" applyNumberFormat="1" applyFont="1" applyFill="1" applyBorder="1" applyAlignment="1" applyProtection="1">
      <alignment horizontal="right" vertical="center"/>
    </xf>
    <xf numFmtId="3" fontId="43" fillId="0" borderId="10" xfId="0" applyNumberFormat="1" applyFont="1" applyFill="1" applyBorder="1" applyAlignment="1" applyProtection="1">
      <alignment horizontal="right" vertical="center"/>
    </xf>
    <xf numFmtId="1" fontId="106" fillId="12" borderId="173" xfId="0" applyNumberFormat="1" applyFont="1" applyFill="1" applyBorder="1" applyAlignment="1">
      <alignment vertical="center"/>
    </xf>
    <xf numFmtId="3" fontId="7" fillId="13" borderId="194" xfId="0" applyNumberFormat="1" applyFont="1" applyFill="1" applyBorder="1"/>
    <xf numFmtId="4" fontId="0" fillId="17" borderId="194" xfId="0" applyNumberFormat="1" applyFill="1" applyBorder="1"/>
    <xf numFmtId="168" fontId="0" fillId="13" borderId="194" xfId="0" applyNumberFormat="1" applyFill="1" applyBorder="1"/>
    <xf numFmtId="3" fontId="7" fillId="13" borderId="15" xfId="0" quotePrefix="1" applyNumberFormat="1" applyFont="1" applyFill="1" applyBorder="1" applyAlignment="1">
      <alignment horizontal="center"/>
    </xf>
    <xf numFmtId="4" fontId="0" fillId="17" borderId="15" xfId="0" applyNumberFormat="1" applyFill="1" applyBorder="1" applyAlignment="1">
      <alignment horizontal="center"/>
    </xf>
    <xf numFmtId="4" fontId="0" fillId="17" borderId="194" xfId="0" applyNumberFormat="1" applyFill="1" applyBorder="1" applyAlignment="1">
      <alignment horizontal="center"/>
    </xf>
    <xf numFmtId="3" fontId="0" fillId="0" borderId="0" xfId="0" applyNumberFormat="1" applyFill="1" applyAlignment="1">
      <alignment horizontal="center"/>
    </xf>
    <xf numFmtId="3" fontId="24" fillId="3" borderId="15" xfId="0" applyNumberFormat="1" applyFont="1" applyFill="1" applyBorder="1" applyAlignment="1">
      <alignment horizontal="center"/>
    </xf>
    <xf numFmtId="170" fontId="6" fillId="0" borderId="0" xfId="0" applyFont="1" applyFill="1" applyAlignment="1">
      <alignment horizontal="center"/>
    </xf>
    <xf numFmtId="174" fontId="7" fillId="0" borderId="5" xfId="0" applyNumberFormat="1" applyFont="1" applyFill="1" applyBorder="1" applyAlignment="1">
      <alignment horizontal="center"/>
    </xf>
    <xf numFmtId="169" fontId="7" fillId="0" borderId="5" xfId="0" applyNumberFormat="1" applyFont="1" applyBorder="1" applyAlignment="1">
      <alignment horizontal="center"/>
    </xf>
    <xf numFmtId="174" fontId="7" fillId="0" borderId="5" xfId="0" applyNumberFormat="1" applyFont="1" applyBorder="1" applyAlignment="1">
      <alignment horizontal="center"/>
    </xf>
    <xf numFmtId="174" fontId="7" fillId="0" borderId="4" xfId="0" applyNumberFormat="1" applyFont="1" applyFill="1" applyBorder="1" applyAlignment="1">
      <alignment horizontal="center"/>
    </xf>
    <xf numFmtId="174" fontId="24" fillId="3" borderId="0" xfId="0" applyNumberFormat="1" applyFont="1" applyFill="1" applyBorder="1" applyAlignment="1">
      <alignment horizontal="center"/>
    </xf>
    <xf numFmtId="174" fontId="24" fillId="3" borderId="0" xfId="1" applyNumberFormat="1" applyFont="1" applyFill="1" applyBorder="1" applyAlignment="1">
      <alignment horizontal="center"/>
    </xf>
    <xf numFmtId="174" fontId="24" fillId="3" borderId="8" xfId="0" applyNumberFormat="1" applyFont="1" applyFill="1" applyBorder="1" applyAlignment="1">
      <alignment horizontal="center"/>
    </xf>
    <xf numFmtId="174" fontId="24" fillId="3" borderId="12" xfId="0" applyNumberFormat="1" applyFont="1" applyFill="1" applyBorder="1" applyAlignment="1">
      <alignment horizontal="center"/>
    </xf>
    <xf numFmtId="174" fontId="24" fillId="3" borderId="12" xfId="1" applyNumberFormat="1" applyFont="1" applyFill="1" applyBorder="1" applyAlignment="1">
      <alignment horizontal="center"/>
    </xf>
    <xf numFmtId="174" fontId="24" fillId="3" borderId="11" xfId="0" applyNumberFormat="1" applyFont="1" applyFill="1" applyBorder="1" applyAlignment="1">
      <alignment horizontal="center"/>
    </xf>
    <xf numFmtId="174" fontId="0" fillId="3" borderId="202" xfId="0" quotePrefix="1" applyNumberFormat="1" applyFill="1" applyBorder="1" applyAlignment="1">
      <alignment horizontal="center"/>
    </xf>
    <xf numFmtId="174" fontId="0" fillId="3" borderId="28" xfId="0" quotePrefix="1" applyNumberFormat="1" applyFill="1" applyBorder="1" applyAlignment="1">
      <alignment horizontal="center"/>
    </xf>
    <xf numFmtId="170" fontId="24" fillId="0" borderId="0" xfId="0" applyFont="1" applyAlignment="1">
      <alignment horizontal="center"/>
    </xf>
    <xf numFmtId="170" fontId="24" fillId="0" borderId="0" xfId="1" applyFont="1" applyAlignment="1">
      <alignment horizontal="center"/>
    </xf>
    <xf numFmtId="170" fontId="6" fillId="0" borderId="0" xfId="0" applyFont="1" applyAlignment="1">
      <alignment horizontal="center"/>
    </xf>
    <xf numFmtId="2" fontId="45" fillId="0" borderId="5" xfId="0" applyNumberFormat="1" applyFont="1" applyFill="1" applyBorder="1" applyAlignment="1">
      <alignment horizontal="center"/>
    </xf>
    <xf numFmtId="2" fontId="45" fillId="0" borderId="4" xfId="0" applyNumberFormat="1" applyFont="1" applyFill="1" applyBorder="1" applyAlignment="1">
      <alignment horizontal="center"/>
    </xf>
    <xf numFmtId="2" fontId="24" fillId="3" borderId="0" xfId="1" applyNumberFormat="1" applyFont="1" applyFill="1" applyBorder="1" applyAlignment="1">
      <alignment horizontal="center"/>
    </xf>
    <xf numFmtId="2" fontId="24" fillId="3" borderId="0" xfId="0" applyNumberFormat="1" applyFont="1" applyFill="1" applyBorder="1" applyAlignment="1">
      <alignment horizontal="center"/>
    </xf>
    <xf numFmtId="2" fontId="6" fillId="3" borderId="0" xfId="0" applyNumberFormat="1" applyFont="1" applyFill="1" applyBorder="1" applyAlignment="1">
      <alignment horizontal="center"/>
    </xf>
    <xf numFmtId="2" fontId="24" fillId="3" borderId="8" xfId="0" applyNumberFormat="1" applyFont="1" applyFill="1" applyBorder="1" applyAlignment="1">
      <alignment horizontal="center"/>
    </xf>
    <xf numFmtId="2" fontId="24" fillId="3" borderId="12" xfId="1" applyNumberFormat="1" applyFont="1" applyFill="1" applyBorder="1" applyAlignment="1">
      <alignment horizontal="center"/>
    </xf>
    <xf numFmtId="2" fontId="24" fillId="3" borderId="12" xfId="0" applyNumberFormat="1" applyFont="1" applyFill="1" applyBorder="1" applyAlignment="1">
      <alignment horizontal="center"/>
    </xf>
    <xf numFmtId="2" fontId="6" fillId="3" borderId="12" xfId="0" applyNumberFormat="1" applyFont="1" applyFill="1" applyBorder="1" applyAlignment="1">
      <alignment horizontal="center"/>
    </xf>
    <xf numFmtId="2" fontId="24" fillId="3" borderId="11" xfId="0" applyNumberFormat="1" applyFont="1" applyFill="1" applyBorder="1" applyAlignment="1">
      <alignment horizontal="center"/>
    </xf>
    <xf numFmtId="170" fontId="4" fillId="0" borderId="0" xfId="1" applyAlignment="1">
      <alignment horizontal="center"/>
    </xf>
    <xf numFmtId="170" fontId="0" fillId="0" borderId="0" xfId="0" applyAlignment="1">
      <alignment horizontal="center"/>
    </xf>
    <xf numFmtId="1" fontId="61" fillId="0" borderId="208" xfId="0" applyNumberFormat="1" applyFont="1" applyFill="1" applyBorder="1" applyAlignment="1" applyProtection="1">
      <alignment horizontal="center" vertical="center"/>
      <protection locked="0"/>
    </xf>
    <xf numFmtId="1" fontId="61" fillId="0" borderId="164" xfId="0" applyNumberFormat="1" applyFont="1" applyFill="1" applyBorder="1" applyAlignment="1" applyProtection="1">
      <alignment horizontal="center" vertical="center"/>
      <protection locked="0"/>
    </xf>
    <xf numFmtId="1" fontId="61" fillId="0" borderId="77" xfId="0" applyNumberFormat="1" applyFont="1" applyFill="1" applyBorder="1" applyAlignment="1" applyProtection="1">
      <alignment horizontal="center" vertical="center"/>
      <protection locked="0"/>
    </xf>
    <xf numFmtId="1" fontId="61" fillId="0" borderId="210" xfId="0" applyNumberFormat="1" applyFont="1" applyFill="1" applyBorder="1" applyAlignment="1" applyProtection="1">
      <alignment horizontal="center" vertical="center"/>
      <protection locked="0"/>
    </xf>
    <xf numFmtId="3" fontId="1" fillId="0" borderId="15" xfId="0" applyNumberFormat="1" applyFont="1" applyFill="1" applyBorder="1" applyAlignment="1" applyProtection="1">
      <alignment horizontal="right" vertical="center" wrapText="1"/>
    </xf>
    <xf numFmtId="3" fontId="1" fillId="0" borderId="13" xfId="0" applyNumberFormat="1" applyFont="1" applyFill="1" applyBorder="1" applyAlignment="1" applyProtection="1">
      <alignment horizontal="right" vertical="center" wrapText="1"/>
    </xf>
    <xf numFmtId="3" fontId="0" fillId="0" borderId="0" xfId="0" applyNumberFormat="1" applyBorder="1" applyAlignment="1">
      <alignment horizontal="center"/>
    </xf>
    <xf numFmtId="3" fontId="0" fillId="0" borderId="8" xfId="0" applyNumberFormat="1" applyBorder="1" applyAlignment="1">
      <alignment horizontal="center"/>
    </xf>
    <xf numFmtId="3" fontId="0" fillId="0" borderId="6" xfId="0" applyNumberFormat="1" applyBorder="1" applyAlignment="1">
      <alignment horizontal="center"/>
    </xf>
    <xf numFmtId="3" fontId="0" fillId="0" borderId="9" xfId="0" applyNumberFormat="1" applyBorder="1" applyAlignment="1">
      <alignment horizontal="center"/>
    </xf>
    <xf numFmtId="3" fontId="24" fillId="0" borderId="0" xfId="0" applyNumberFormat="1" applyFont="1" applyBorder="1" applyAlignment="1">
      <alignment horizontal="center"/>
    </xf>
    <xf numFmtId="3" fontId="24" fillId="0" borderId="9" xfId="0" applyNumberFormat="1" applyFont="1" applyBorder="1" applyAlignment="1">
      <alignment horizontal="center"/>
    </xf>
    <xf numFmtId="3" fontId="0" fillId="0" borderId="12" xfId="0" applyNumberFormat="1" applyBorder="1" applyAlignment="1">
      <alignment horizontal="center"/>
    </xf>
    <xf numFmtId="3" fontId="7" fillId="0" borderId="14" xfId="0" applyNumberFormat="1" applyFont="1" applyBorder="1" applyAlignment="1">
      <alignment horizontal="center"/>
    </xf>
    <xf numFmtId="4" fontId="24" fillId="0" borderId="0" xfId="0" applyNumberFormat="1" applyFont="1" applyBorder="1" applyAlignment="1">
      <alignment horizontal="center"/>
    </xf>
    <xf numFmtId="3" fontId="102" fillId="12" borderId="208" xfId="0" applyNumberFormat="1" applyFont="1" applyFill="1" applyBorder="1" applyAlignment="1">
      <alignment horizontal="center" vertical="center" wrapText="1"/>
    </xf>
    <xf numFmtId="3" fontId="24" fillId="0" borderId="211" xfId="0" applyNumberFormat="1" applyFont="1" applyFill="1" applyBorder="1" applyAlignment="1">
      <alignment horizontal="left" vertical="top" wrapText="1"/>
    </xf>
    <xf numFmtId="3" fontId="24" fillId="0" borderId="180" xfId="0" applyNumberFormat="1" applyFont="1" applyBorder="1" applyAlignment="1">
      <alignment horizontal="left" vertical="top" wrapText="1"/>
    </xf>
    <xf numFmtId="3" fontId="24" fillId="0" borderId="180" xfId="0" applyNumberFormat="1" applyFont="1" applyFill="1" applyBorder="1" applyAlignment="1">
      <alignment horizontal="left" vertical="top" wrapText="1"/>
    </xf>
    <xf numFmtId="3" fontId="102" fillId="12" borderId="198" xfId="0" applyNumberFormat="1" applyFont="1" applyFill="1" applyBorder="1" applyAlignment="1">
      <alignment horizontal="center" vertical="center" wrapText="1"/>
    </xf>
    <xf numFmtId="3" fontId="0" fillId="27" borderId="198" xfId="0" applyNumberFormat="1"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98" xfId="0" applyNumberFormat="1" applyFont="1" applyFill="1" applyBorder="1" applyAlignment="1">
      <alignment horizontal="left" vertical="top" wrapText="1"/>
    </xf>
    <xf numFmtId="3" fontId="24" fillId="28" borderId="198" xfId="0" applyNumberFormat="1" applyFont="1" applyFill="1" applyBorder="1" applyAlignment="1">
      <alignment horizontal="left" vertical="top" wrapText="1"/>
    </xf>
    <xf numFmtId="3" fontId="7" fillId="0" borderId="198" xfId="0" applyNumberFormat="1" applyFont="1" applyBorder="1"/>
    <xf numFmtId="1" fontId="24" fillId="0" borderId="194" xfId="0" applyNumberFormat="1" applyFont="1" applyBorder="1" applyAlignment="1" applyProtection="1">
      <alignment horizontal="left" vertical="top" wrapText="1"/>
      <protection locked="0"/>
    </xf>
    <xf numFmtId="0" fontId="88" fillId="22" borderId="100" xfId="237" applyFont="1" applyFill="1" applyBorder="1"/>
    <xf numFmtId="0" fontId="45" fillId="22" borderId="121" xfId="238" applyFont="1" applyFill="1" applyBorder="1"/>
    <xf numFmtId="0" fontId="45" fillId="22" borderId="122" xfId="238" applyFont="1" applyFill="1" applyBorder="1"/>
    <xf numFmtId="0" fontId="45" fillId="22" borderId="123" xfId="238" applyFont="1" applyFill="1" applyBorder="1"/>
    <xf numFmtId="0" fontId="24" fillId="0" borderId="0" xfId="239" applyFont="1"/>
    <xf numFmtId="179" fontId="0" fillId="0" borderId="0" xfId="173" applyNumberFormat="1" applyFont="1"/>
    <xf numFmtId="0" fontId="24" fillId="0" borderId="109" xfId="239" applyFont="1" applyBorder="1"/>
    <xf numFmtId="179" fontId="24" fillId="0" borderId="109" xfId="173" applyNumberFormat="1" applyFont="1" applyBorder="1"/>
    <xf numFmtId="0" fontId="24" fillId="0" borderId="0" xfId="239" applyFont="1" applyBorder="1"/>
    <xf numFmtId="179" fontId="0" fillId="0" borderId="0" xfId="173" applyNumberFormat="1" applyFont="1" applyBorder="1"/>
    <xf numFmtId="0" fontId="81" fillId="0" borderId="0" xfId="239" applyFont="1"/>
    <xf numFmtId="179" fontId="0" fillId="0" borderId="109" xfId="173" applyNumberFormat="1" applyFont="1" applyBorder="1"/>
    <xf numFmtId="170" fontId="130" fillId="0" borderId="21" xfId="0" applyFont="1" applyBorder="1"/>
    <xf numFmtId="4" fontId="5" fillId="0" borderId="80" xfId="20731" applyNumberFormat="1" applyBorder="1" applyAlignment="1">
      <alignment horizontal="right" vertical="top" wrapText="1"/>
    </xf>
    <xf numFmtId="4" fontId="5" fillId="0" borderId="80" xfId="20731" applyNumberFormat="1" applyBorder="1" applyAlignment="1">
      <alignment horizontal="right" wrapText="1"/>
    </xf>
    <xf numFmtId="2" fontId="5" fillId="0" borderId="80" xfId="20735" applyNumberFormat="1" applyBorder="1"/>
    <xf numFmtId="4" fontId="24" fillId="0" borderId="111" xfId="20736" applyNumberFormat="1" applyFont="1" applyFill="1" applyBorder="1" applyAlignment="1">
      <alignment horizontal="right" vertical="top" wrapText="1"/>
    </xf>
    <xf numFmtId="4" fontId="24" fillId="0" borderId="80" xfId="20736" applyNumberFormat="1" applyFont="1" applyFill="1" applyBorder="1" applyAlignment="1">
      <alignment horizontal="right" vertical="top" wrapText="1"/>
    </xf>
    <xf numFmtId="4" fontId="5" fillId="0" borderId="18" xfId="20736" applyNumberFormat="1" applyFill="1" applyBorder="1" applyAlignment="1">
      <alignment horizontal="right" vertical="top" wrapText="1"/>
    </xf>
    <xf numFmtId="172" fontId="24" fillId="0" borderId="80" xfId="20736" applyNumberFormat="1" applyFont="1" applyFill="1" applyBorder="1" applyAlignment="1">
      <alignment horizontal="right" vertical="top" wrapText="1"/>
    </xf>
    <xf numFmtId="175" fontId="5" fillId="0" borderId="80" xfId="20736" applyNumberFormat="1" applyFill="1" applyBorder="1" applyAlignment="1">
      <alignment horizontal="right" vertical="top" wrapText="1"/>
    </xf>
    <xf numFmtId="180" fontId="24" fillId="0" borderId="80" xfId="20736" applyNumberFormat="1" applyFont="1" applyFill="1" applyBorder="1" applyAlignment="1">
      <alignment horizontal="right" vertical="top" wrapText="1"/>
    </xf>
    <xf numFmtId="170" fontId="0" fillId="0" borderId="0" xfId="0" applyAlignment="1">
      <alignment horizontal="justify" vertical="center"/>
    </xf>
    <xf numFmtId="170" fontId="7" fillId="22" borderId="100" xfId="0" applyFont="1" applyFill="1" applyBorder="1" applyAlignment="1">
      <alignment horizontal="left" vertical="top"/>
    </xf>
    <xf numFmtId="3" fontId="23" fillId="0" borderId="178" xfId="0" applyNumberFormat="1" applyFont="1" applyFill="1" applyBorder="1" applyAlignment="1">
      <alignment horizontal="left" vertical="top"/>
    </xf>
    <xf numFmtId="3" fontId="0" fillId="0" borderId="179" xfId="0" applyNumberFormat="1" applyFill="1" applyBorder="1"/>
    <xf numFmtId="3" fontId="0" fillId="0" borderId="180" xfId="0" applyNumberFormat="1" applyFill="1" applyBorder="1"/>
    <xf numFmtId="3" fontId="0" fillId="0" borderId="198" xfId="0" applyNumberFormat="1" applyFill="1" applyBorder="1"/>
    <xf numFmtId="0" fontId="24" fillId="0" borderId="0" xfId="173" applyNumberFormat="1" applyFont="1" applyFill="1"/>
    <xf numFmtId="14" fontId="24" fillId="0" borderId="0" xfId="0" applyNumberFormat="1" applyFont="1" applyFill="1"/>
    <xf numFmtId="170" fontId="24" fillId="0" borderId="0" xfId="0" applyFont="1" applyFill="1" applyAlignment="1">
      <alignment horizontal="left" vertical="top"/>
    </xf>
    <xf numFmtId="170" fontId="6" fillId="0" borderId="0" xfId="0" applyFont="1" applyBorder="1" applyAlignment="1">
      <alignment horizontal="left"/>
    </xf>
    <xf numFmtId="172" fontId="6" fillId="0" borderId="0" xfId="0" applyNumberFormat="1" applyFont="1"/>
    <xf numFmtId="3" fontId="0" fillId="3" borderId="198" xfId="0" applyNumberFormat="1" applyFill="1" applyBorder="1" applyAlignment="1">
      <alignment horizontal="center"/>
    </xf>
    <xf numFmtId="3" fontId="24" fillId="3" borderId="198" xfId="0" applyNumberFormat="1" applyFont="1" applyFill="1" applyBorder="1" applyAlignment="1">
      <alignment horizontal="center"/>
    </xf>
    <xf numFmtId="3" fontId="6" fillId="3" borderId="198" xfId="0" quotePrefix="1" applyNumberFormat="1" applyFont="1" applyFill="1" applyBorder="1" applyAlignment="1">
      <alignment horizontal="center"/>
    </xf>
    <xf numFmtId="3" fontId="6" fillId="3" borderId="198" xfId="0" applyNumberFormat="1" applyFont="1" applyFill="1" applyBorder="1" applyAlignment="1">
      <alignment horizontal="center"/>
    </xf>
    <xf numFmtId="0" fontId="129" fillId="24" borderId="0" xfId="148" applyNumberFormat="1" applyFont="1" applyFill="1" applyAlignment="1" applyProtection="1"/>
    <xf numFmtId="0" fontId="129" fillId="4" borderId="0" xfId="148" applyNumberFormat="1" applyFont="1" applyFill="1" applyAlignment="1" applyProtection="1"/>
    <xf numFmtId="170" fontId="24" fillId="0" borderId="212" xfId="0" applyFont="1" applyFill="1" applyBorder="1" applyAlignment="1">
      <alignment horizontal="left"/>
    </xf>
    <xf numFmtId="170" fontId="41" fillId="0" borderId="8" xfId="5" applyFont="1" applyFill="1" applyBorder="1" applyAlignment="1">
      <alignment wrapText="1"/>
    </xf>
    <xf numFmtId="170" fontId="24" fillId="0" borderId="212" xfId="2" applyFont="1" applyFill="1" applyBorder="1" applyAlignment="1">
      <alignment horizontal="left" vertical="top" wrapText="1"/>
    </xf>
    <xf numFmtId="170" fontId="45" fillId="0" borderId="7" xfId="0" applyFont="1" applyBorder="1"/>
    <xf numFmtId="168" fontId="45" fillId="0" borderId="138" xfId="2" applyNumberFormat="1" applyFont="1" applyBorder="1" applyAlignment="1">
      <alignment horizontal="center"/>
    </xf>
    <xf numFmtId="168" fontId="45" fillId="0" borderId="143" xfId="2" applyNumberFormat="1" applyFont="1" applyBorder="1" applyAlignment="1">
      <alignment horizontal="center"/>
    </xf>
    <xf numFmtId="172" fontId="45" fillId="0" borderId="138" xfId="2" applyNumberFormat="1" applyFont="1" applyBorder="1" applyAlignment="1">
      <alignment horizontal="center"/>
    </xf>
    <xf numFmtId="170" fontId="1" fillId="0" borderId="0" xfId="5" applyFont="1" applyFill="1" applyBorder="1" applyAlignment="1">
      <alignment wrapText="1"/>
    </xf>
    <xf numFmtId="170" fontId="1" fillId="0" borderId="12" xfId="5" applyFont="1" applyFill="1" applyBorder="1" applyAlignment="1">
      <alignment wrapText="1"/>
    </xf>
    <xf numFmtId="172" fontId="7" fillId="66" borderId="0" xfId="2" applyNumberFormat="1" applyFont="1" applyFill="1" applyBorder="1" applyAlignment="1">
      <alignment horizontal="center"/>
    </xf>
    <xf numFmtId="1" fontId="108" fillId="0"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protection locked="0"/>
    </xf>
    <xf numFmtId="0" fontId="24" fillId="23" borderId="0" xfId="224" applyNumberFormat="1" applyFont="1" applyFill="1"/>
    <xf numFmtId="0" fontId="24" fillId="23" borderId="0" xfId="224" quotePrefix="1" applyNumberFormat="1" applyFont="1" applyFill="1"/>
    <xf numFmtId="1" fontId="24" fillId="65" borderId="194" xfId="0" applyNumberFormat="1" applyFont="1" applyFill="1" applyBorder="1" applyAlignment="1" applyProtection="1">
      <alignment horizontal="left" vertical="top" wrapText="1"/>
      <protection locked="0"/>
    </xf>
    <xf numFmtId="9" fontId="0" fillId="0" borderId="0" xfId="52" applyFont="1" applyFill="1"/>
    <xf numFmtId="11" fontId="0" fillId="0" borderId="8" xfId="0" applyNumberFormat="1" applyFill="1" applyBorder="1"/>
    <xf numFmtId="10" fontId="24" fillId="0" borderId="0" xfId="0" applyNumberFormat="1" applyFon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59"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0"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0" xfId="0" applyNumberFormat="1" applyFont="1" applyFill="1" applyBorder="1" applyAlignment="1">
      <alignment horizontal="center" vertical="center" wrapText="1"/>
    </xf>
    <xf numFmtId="3" fontId="53" fillId="12" borderId="102" xfId="0" applyNumberFormat="1" applyFont="1" applyFill="1" applyBorder="1" applyAlignment="1">
      <alignment horizontal="center" vertical="top" wrapText="1"/>
    </xf>
    <xf numFmtId="3" fontId="53" fillId="12" borderId="103"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0" xfId="0" applyNumberFormat="1" applyFont="1" applyFill="1" applyBorder="1" applyAlignment="1">
      <alignment horizontal="center" vertical="center" wrapText="1"/>
    </xf>
    <xf numFmtId="3" fontId="58" fillId="12" borderId="151"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top" wrapText="1"/>
    </xf>
    <xf numFmtId="1" fontId="70" fillId="12" borderId="76" xfId="0" applyNumberFormat="1" applyFont="1" applyFill="1" applyBorder="1" applyAlignment="1">
      <alignment horizontal="center" vertical="top"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0" borderId="100" xfId="0" applyNumberFormat="1" applyFont="1" applyFill="1" applyBorder="1" applyAlignment="1">
      <alignment horizontal="center" vertical="center"/>
    </xf>
    <xf numFmtId="1" fontId="10" fillId="20" borderId="21" xfId="0" applyNumberFormat="1" applyFont="1" applyFill="1" applyBorder="1" applyAlignment="1">
      <alignment horizontal="center" vertical="center"/>
    </xf>
    <xf numFmtId="1" fontId="10" fillId="20" borderId="101"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0" borderId="79" xfId="0" applyNumberFormat="1" applyFont="1" applyFill="1" applyBorder="1" applyAlignment="1">
      <alignment horizontal="center" vertical="center"/>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1" fontId="10" fillId="20" borderId="45" xfId="0" applyNumberFormat="1" applyFont="1" applyFill="1" applyBorder="1" applyAlignment="1">
      <alignment horizontal="center" vertical="center"/>
    </xf>
    <xf numFmtId="1" fontId="10" fillId="20" borderId="34" xfId="0" applyNumberFormat="1" applyFont="1" applyFill="1" applyBorder="1" applyAlignment="1">
      <alignment horizontal="center" vertical="center"/>
    </xf>
    <xf numFmtId="1" fontId="10" fillId="20" borderId="170" xfId="0" applyNumberFormat="1" applyFont="1" applyFill="1" applyBorder="1" applyAlignment="1">
      <alignment horizontal="center" vertical="center"/>
    </xf>
    <xf numFmtId="1" fontId="10" fillId="20" borderId="52" xfId="0" applyNumberFormat="1" applyFont="1" applyFill="1" applyBorder="1" applyAlignment="1">
      <alignment horizontal="center" vertical="center"/>
    </xf>
    <xf numFmtId="1" fontId="58" fillId="20" borderId="52" xfId="0" applyNumberFormat="1" applyFont="1" applyFill="1" applyBorder="1" applyAlignment="1">
      <alignment horizontal="center" vertical="center" wrapText="1"/>
    </xf>
    <xf numFmtId="1" fontId="58" fillId="20" borderId="0" xfId="0" applyNumberFormat="1" applyFont="1" applyFill="1" applyBorder="1" applyAlignment="1">
      <alignment horizontal="center" vertical="center" wrapText="1"/>
    </xf>
    <xf numFmtId="1" fontId="58" fillId="20" borderId="61" xfId="0" applyNumberFormat="1" applyFont="1" applyFill="1" applyBorder="1" applyAlignment="1">
      <alignment horizontal="center" vertical="center" wrapText="1"/>
    </xf>
    <xf numFmtId="1" fontId="10" fillId="20" borderId="99" xfId="0" applyNumberFormat="1" applyFont="1" applyFill="1" applyBorder="1" applyAlignment="1">
      <alignment horizontal="center" vertical="center"/>
    </xf>
    <xf numFmtId="1" fontId="10" fillId="20" borderId="80" xfId="0" applyNumberFormat="1" applyFont="1" applyFill="1" applyBorder="1" applyAlignment="1">
      <alignment horizontal="center" vertical="center"/>
    </xf>
    <xf numFmtId="1" fontId="10" fillId="20"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02"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2" fillId="12" borderId="173" xfId="0" applyNumberFormat="1" applyFont="1" applyFill="1" applyBorder="1" applyAlignment="1">
      <alignment horizontal="center" vertical="center" wrapText="1"/>
    </xf>
    <xf numFmtId="3" fontId="102" fillId="12" borderId="174" xfId="0" applyNumberFormat="1" applyFont="1" applyFill="1" applyBorder="1" applyAlignment="1">
      <alignment horizontal="center" vertical="top" wrapText="1"/>
    </xf>
    <xf numFmtId="3" fontId="102" fillId="12" borderId="202" xfId="0" applyNumberFormat="1" applyFont="1" applyFill="1" applyBorder="1" applyAlignment="1">
      <alignment horizontal="center" vertical="top" wrapText="1"/>
    </xf>
    <xf numFmtId="3" fontId="102" fillId="12" borderId="175" xfId="0" applyNumberFormat="1" applyFont="1" applyFill="1" applyBorder="1" applyAlignment="1">
      <alignment horizontal="center" vertical="top" wrapText="1"/>
    </xf>
    <xf numFmtId="3" fontId="102" fillId="12" borderId="8" xfId="0" applyNumberFormat="1" applyFont="1" applyFill="1" applyBorder="1" applyAlignment="1">
      <alignment horizontal="center" vertical="center" wrapText="1"/>
    </xf>
    <xf numFmtId="3" fontId="102" fillId="12" borderId="11" xfId="0" applyNumberFormat="1" applyFont="1" applyFill="1" applyBorder="1" applyAlignment="1">
      <alignment horizontal="center" vertical="center" wrapText="1"/>
    </xf>
    <xf numFmtId="3" fontId="102" fillId="12" borderId="9" xfId="0" applyNumberFormat="1" applyFont="1" applyFill="1" applyBorder="1" applyAlignment="1">
      <alignment horizontal="center" vertical="center" wrapText="1"/>
    </xf>
    <xf numFmtId="3" fontId="102" fillId="12" borderId="13" xfId="0" applyNumberFormat="1" applyFont="1" applyFill="1" applyBorder="1" applyAlignment="1">
      <alignment horizontal="center" vertical="center" wrapText="1"/>
    </xf>
    <xf numFmtId="3" fontId="102" fillId="12" borderId="10"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1" fontId="106" fillId="12" borderId="208" xfId="0" applyNumberFormat="1" applyFont="1" applyFill="1" applyBorder="1" applyAlignment="1">
      <alignment horizontal="center" vertical="center"/>
    </xf>
    <xf numFmtId="1" fontId="106" fillId="12" borderId="202" xfId="0" applyNumberFormat="1" applyFont="1" applyFill="1" applyBorder="1" applyAlignment="1">
      <alignment horizontal="center" vertical="center"/>
    </xf>
    <xf numFmtId="1" fontId="106" fillId="12" borderId="201" xfId="0" applyNumberFormat="1" applyFont="1" applyFill="1" applyBorder="1" applyAlignment="1">
      <alignment horizontal="center" vertical="center"/>
    </xf>
    <xf numFmtId="1" fontId="45" fillId="12" borderId="173" xfId="0" applyNumberFormat="1" applyFont="1" applyFill="1" applyBorder="1" applyAlignment="1">
      <alignment horizontal="left" vertical="center" wrapText="1"/>
    </xf>
    <xf numFmtId="1" fontId="106" fillId="12" borderId="173" xfId="0" applyNumberFormat="1" applyFont="1" applyFill="1" applyBorder="1" applyAlignment="1">
      <alignment horizontal="center" vertical="center"/>
    </xf>
    <xf numFmtId="1" fontId="24" fillId="12" borderId="173" xfId="0" applyNumberFormat="1" applyFont="1" applyFill="1" applyBorder="1" applyAlignment="1">
      <alignment horizontal="center" vertical="center" wrapText="1"/>
    </xf>
    <xf numFmtId="1" fontId="110" fillId="12" borderId="173"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3" fontId="7" fillId="22" borderId="52" xfId="0" applyNumberFormat="1" applyFont="1" applyFill="1" applyBorder="1" applyAlignment="1">
      <alignment horizontal="left" vertical="top" wrapText="1"/>
    </xf>
    <xf numFmtId="3" fontId="7" fillId="22" borderId="99" xfId="0" applyNumberFormat="1" applyFont="1" applyFill="1" applyBorder="1" applyAlignment="1">
      <alignment horizontal="left" vertical="top" wrapText="1"/>
    </xf>
    <xf numFmtId="0" fontId="8" fillId="22" borderId="3" xfId="2" applyNumberFormat="1" applyFont="1" applyFill="1" applyBorder="1" applyAlignment="1">
      <alignment horizontal="center" vertical="center"/>
    </xf>
    <xf numFmtId="0" fontId="9" fillId="22" borderId="5" xfId="2" applyNumberFormat="1" applyFont="1" applyFill="1" applyBorder="1" applyAlignment="1">
      <alignment horizontal="center" vertical="center"/>
    </xf>
    <xf numFmtId="0" fontId="9" fillId="22" borderId="7" xfId="2" applyNumberFormat="1" applyFont="1" applyFill="1" applyBorder="1" applyAlignment="1">
      <alignment horizontal="center" vertical="center"/>
    </xf>
    <xf numFmtId="0" fontId="9" fillId="22" borderId="0" xfId="2" applyNumberFormat="1" applyFont="1" applyFill="1" applyBorder="1" applyAlignment="1">
      <alignment horizontal="center" vertical="center"/>
    </xf>
    <xf numFmtId="0" fontId="9" fillId="22" borderId="10" xfId="2" applyNumberFormat="1" applyFont="1" applyFill="1" applyBorder="1" applyAlignment="1">
      <alignment horizontal="center" vertical="center"/>
    </xf>
    <xf numFmtId="0" fontId="9" fillId="22"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0" fontId="40" fillId="29" borderId="147" xfId="0" quotePrefix="1" applyNumberFormat="1" applyFont="1" applyFill="1" applyBorder="1" applyAlignment="1">
      <alignment horizontal="center" vertical="center" wrapText="1"/>
    </xf>
    <xf numFmtId="0" fontId="40" fillId="29" borderId="147" xfId="0" applyNumberFormat="1" applyFont="1" applyFill="1" applyBorder="1" applyAlignment="1">
      <alignment horizontal="center" vertical="center" wrapText="1"/>
    </xf>
    <xf numFmtId="170" fontId="38" fillId="12" borderId="88"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25" xfId="0" applyNumberFormat="1" applyFont="1" applyFill="1" applyBorder="1" applyAlignment="1" applyProtection="1">
      <alignment horizontal="center" vertical="center" wrapText="1"/>
    </xf>
    <xf numFmtId="0" fontId="39" fillId="12" borderId="30" xfId="0" applyNumberFormat="1" applyFont="1" applyFill="1" applyBorder="1" applyAlignment="1" applyProtection="1">
      <alignment horizontal="center" vertical="center" wrapText="1"/>
    </xf>
    <xf numFmtId="2" fontId="43" fillId="20" borderId="56" xfId="0" applyNumberFormat="1" applyFont="1" applyFill="1" applyBorder="1" applyAlignment="1" applyProtection="1">
      <alignment horizontal="center" vertical="center"/>
    </xf>
    <xf numFmtId="2" fontId="43" fillId="20" borderId="0" xfId="0" applyNumberFormat="1" applyFont="1" applyFill="1" applyBorder="1" applyAlignment="1" applyProtection="1">
      <alignment horizontal="center" vertical="center"/>
    </xf>
    <xf numFmtId="2" fontId="43" fillId="20" borderId="12" xfId="0" applyNumberFormat="1" applyFont="1" applyFill="1" applyBorder="1" applyAlignment="1" applyProtection="1">
      <alignment horizontal="center" vertical="center"/>
    </xf>
    <xf numFmtId="2" fontId="43" fillId="20" borderId="79" xfId="0" applyNumberFormat="1" applyFont="1" applyFill="1" applyBorder="1" applyAlignment="1" applyProtection="1">
      <alignment horizontal="center" vertical="center"/>
    </xf>
    <xf numFmtId="2" fontId="43" fillId="20" borderId="21" xfId="0" applyNumberFormat="1" applyFont="1" applyFill="1" applyBorder="1" applyAlignment="1" applyProtection="1">
      <alignment horizontal="center" vertical="center"/>
    </xf>
    <xf numFmtId="2" fontId="43" fillId="20" borderId="83" xfId="0" applyNumberFormat="1" applyFont="1" applyFill="1" applyBorder="1" applyAlignment="1" applyProtection="1">
      <alignment horizontal="center" vertical="center"/>
    </xf>
    <xf numFmtId="2" fontId="43" fillId="20" borderId="29" xfId="0" applyNumberFormat="1" applyFont="1" applyFill="1" applyBorder="1" applyAlignment="1" applyProtection="1">
      <alignment horizontal="center" vertical="center"/>
    </xf>
    <xf numFmtId="2" fontId="43" fillId="20" borderId="66" xfId="0" applyNumberFormat="1" applyFont="1" applyFill="1" applyBorder="1" applyAlignment="1" applyProtection="1">
      <alignment horizontal="center" vertical="center"/>
    </xf>
    <xf numFmtId="2" fontId="43" fillId="20" borderId="67" xfId="0" applyNumberFormat="1" applyFont="1" applyFill="1" applyBorder="1" applyAlignment="1" applyProtection="1">
      <alignment horizontal="center" vertical="center"/>
    </xf>
    <xf numFmtId="2" fontId="39" fillId="20" borderId="56" xfId="0" applyNumberFormat="1" applyFont="1" applyFill="1" applyBorder="1" applyAlignment="1" applyProtection="1">
      <alignment horizontal="center" vertical="center" wrapText="1"/>
    </xf>
    <xf numFmtId="2" fontId="39" fillId="20" borderId="0" xfId="0" applyNumberFormat="1" applyFont="1" applyFill="1" applyBorder="1" applyAlignment="1" applyProtection="1">
      <alignment horizontal="center" vertical="center" wrapText="1"/>
    </xf>
    <xf numFmtId="2" fontId="39" fillId="20" borderId="12" xfId="0" applyNumberFormat="1" applyFont="1" applyFill="1" applyBorder="1" applyAlignment="1" applyProtection="1">
      <alignment horizontal="center" vertical="center" wrapText="1"/>
    </xf>
    <xf numFmtId="2" fontId="43" fillId="20" borderId="78" xfId="0" applyNumberFormat="1" applyFont="1" applyFill="1" applyBorder="1" applyAlignment="1" applyProtection="1">
      <alignment horizontal="center" vertical="center"/>
    </xf>
    <xf numFmtId="2" fontId="43" fillId="20" borderId="80" xfId="0" applyNumberFormat="1" applyFont="1" applyFill="1" applyBorder="1" applyAlignment="1" applyProtection="1">
      <alignment horizontal="center" vertical="center"/>
    </xf>
    <xf numFmtId="2" fontId="43" fillId="20" borderId="82" xfId="0" applyNumberFormat="1" applyFont="1" applyFill="1" applyBorder="1" applyAlignment="1" applyProtection="1">
      <alignment horizontal="center" vertical="center"/>
    </xf>
    <xf numFmtId="2" fontId="43" fillId="20" borderId="45" xfId="0" applyNumberFormat="1" applyFont="1" applyFill="1" applyBorder="1" applyAlignment="1" applyProtection="1">
      <alignment horizontal="center" vertical="center"/>
    </xf>
    <xf numFmtId="2" fontId="43" fillId="20" borderId="34" xfId="0" applyNumberFormat="1" applyFont="1" applyFill="1" applyBorder="1" applyAlignment="1" applyProtection="1">
      <alignment horizontal="center" vertical="center"/>
    </xf>
    <xf numFmtId="2" fontId="43" fillId="20" borderId="33" xfId="0" applyNumberFormat="1"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9" fillId="12" borderId="14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5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xf>
    <xf numFmtId="0" fontId="38" fillId="12" borderId="70" xfId="0" applyNumberFormat="1" applyFont="1" applyFill="1" applyBorder="1" applyAlignment="1" applyProtection="1">
      <alignment horizontal="center" vertical="center"/>
    </xf>
    <xf numFmtId="0" fontId="39" fillId="12" borderId="52" xfId="0" applyNumberFormat="1" applyFont="1" applyFill="1" applyBorder="1" applyAlignment="1" applyProtection="1">
      <alignment horizontal="center" vertical="center" wrapText="1"/>
    </xf>
    <xf numFmtId="0" fontId="39" fillId="12" borderId="158"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0" fontId="87" fillId="22" borderId="120" xfId="238" applyFont="1" applyFill="1" applyBorder="1"/>
    <xf numFmtId="0" fontId="45" fillId="22" borderId="120" xfId="238" applyFont="1" applyFill="1" applyBorder="1"/>
    <xf numFmtId="0" fontId="45" fillId="22" borderId="126" xfId="238" applyFont="1" applyFill="1" applyBorder="1"/>
    <xf numFmtId="0" fontId="84" fillId="0" borderId="0" xfId="237" applyFont="1" applyBorder="1"/>
    <xf numFmtId="0" fontId="85" fillId="0" borderId="0" xfId="160" applyFont="1" applyBorder="1"/>
    <xf numFmtId="0" fontId="45" fillId="22" borderId="119" xfId="238" applyFont="1" applyFill="1" applyBorder="1"/>
    <xf numFmtId="0" fontId="45" fillId="22" borderId="120" xfId="238" applyFont="1" applyFill="1" applyBorder="1" applyAlignment="1">
      <alignment horizontal="left"/>
    </xf>
    <xf numFmtId="179" fontId="24" fillId="0" borderId="0" xfId="173" applyNumberFormat="1" applyFont="1" applyBorder="1"/>
    <xf numFmtId="0" fontId="45" fillId="22" borderId="124" xfId="239" applyFont="1" applyFill="1" applyBorder="1"/>
    <xf numFmtId="0" fontId="45" fillId="22" borderId="114" xfId="239" applyFont="1" applyFill="1" applyBorder="1"/>
    <xf numFmtId="0" fontId="45" fillId="22" borderId="125" xfId="239" applyFont="1" applyFill="1" applyBorder="1"/>
    <xf numFmtId="0" fontId="45" fillId="22" borderId="121" xfId="239" applyFont="1" applyFill="1" applyBorder="1"/>
    <xf numFmtId="0" fontId="45" fillId="22" borderId="122" xfId="239" applyFont="1" applyFill="1" applyBorder="1"/>
    <xf numFmtId="0" fontId="45" fillId="22" borderId="123" xfId="239" applyFont="1" applyFill="1" applyBorder="1"/>
    <xf numFmtId="0" fontId="88" fillId="22" borderId="21" xfId="237" applyFont="1" applyFill="1" applyBorder="1"/>
    <xf numFmtId="0" fontId="45" fillId="22" borderId="122" xfId="20739" applyNumberFormat="1" applyFont="1" applyFill="1" applyBorder="1" applyAlignment="1">
      <alignment horizontal="left"/>
    </xf>
    <xf numFmtId="0" fontId="45" fillId="22" borderId="122" xfId="238" applyFont="1" applyFill="1" applyBorder="1" applyAlignment="1">
      <alignment horizontal="left"/>
    </xf>
    <xf numFmtId="0" fontId="5" fillId="0" borderId="0" xfId="234" applyNumberFormat="1"/>
    <xf numFmtId="179" fontId="0" fillId="0" borderId="0" xfId="173" applyNumberFormat="1" applyFont="1" applyFill="1"/>
    <xf numFmtId="179" fontId="24" fillId="0" borderId="109" xfId="173" applyNumberFormat="1" applyFont="1" applyFill="1" applyBorder="1"/>
    <xf numFmtId="3" fontId="24" fillId="0" borderId="109" xfId="239" applyNumberFormat="1" applyFont="1" applyBorder="1"/>
    <xf numFmtId="0" fontId="24" fillId="22" borderId="52" xfId="239" applyFont="1" applyFill="1" applyBorder="1"/>
    <xf numFmtId="0" fontId="4" fillId="0" borderId="0" xfId="239"/>
    <xf numFmtId="179" fontId="0" fillId="0" borderId="0" xfId="173" applyNumberFormat="1" applyFont="1" applyAlignment="1">
      <alignment horizontal="right"/>
    </xf>
    <xf numFmtId="0" fontId="24" fillId="22" borderId="0" xfId="0" applyNumberFormat="1" applyFont="1" applyFill="1"/>
    <xf numFmtId="0" fontId="45" fillId="22" borderId="0" xfId="0" applyNumberFormat="1" applyFont="1" applyFill="1"/>
  </cellXfs>
  <cellStyles count="20740">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9" xr:uid="{7BA69B43-E3DD-46D5-9F1B-C4CFE9C61E3D}"/>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29" xfId="20731" xr:uid="{D685E79F-1AA0-400C-9F7C-83273A1F6E23}"/>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30" xfId="20735" xr:uid="{BBD734E8-D70C-4711-A413-99ABBE15F3CC}"/>
    <cellStyle name="Normal 31" xfId="20736" xr:uid="{EC54CBEF-D562-4D92-9DEC-E89386F0A55C}"/>
    <cellStyle name="Normal 32" xfId="20737" xr:uid="{5E1F2F60-0B40-44DA-98CD-9FB4C52DA9C6}"/>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APBEXstdData 2" xfId="20738" xr:uid="{020A4D14-B247-4E97-A489-BC1D5A03D22B}"/>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 6" xfId="20733" xr:uid="{DB6F5512-E2BA-4D96-A054-3F9E72EAE317}"/>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3 5" xfId="20734" xr:uid="{BD957690-C7EB-4F45-A6DE-91C1853D441B}"/>
    <cellStyle name="Standaard 4" xfId="139" xr:uid="{00000000-0005-0000-0000-00009C000000}"/>
    <cellStyle name="Standaard 4 2" xfId="140" xr:uid="{00000000-0005-0000-0000-00009D000000}"/>
    <cellStyle name="Standaard 4 3" xfId="261" xr:uid="{00000000-0005-0000-0000-0000F3000000}"/>
    <cellStyle name="Standaard 4 4" xfId="20732" xr:uid="{E2DDFF05-5F1F-48C0-ACAF-B5B450BCC06A}"/>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FFFF66"/>
      <color rgb="FF009999"/>
      <color rgb="FF33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eetMetadata" Target="metadata.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40"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7050.3329829899612</c:v>
                </c:pt>
                <c:pt idx="1">
                  <c:v>1155.4940616809952</c:v>
                </c:pt>
                <c:pt idx="2">
                  <c:v>1.9895196601282805E-13</c:v>
                </c:pt>
                <c:pt idx="3">
                  <c:v>1714.5516721792965</c:v>
                </c:pt>
                <c:pt idx="4">
                  <c:v>132.55362351050277</c:v>
                </c:pt>
                <c:pt idx="5">
                  <c:v>2835.4161265867151</c:v>
                </c:pt>
                <c:pt idx="6">
                  <c:v>40.935125737468219</c:v>
                </c:pt>
                <c:pt idx="7">
                  <c:v>234.24571852757703</c:v>
                </c:pt>
                <c:pt idx="8">
                  <c:v>56.092999999999805</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7050.3329829899612</c:v>
                </c:pt>
                <c:pt idx="1">
                  <c:v>1155.4940616809952</c:v>
                </c:pt>
                <c:pt idx="2">
                  <c:v>1.9895196601282805E-13</c:v>
                </c:pt>
                <c:pt idx="3">
                  <c:v>1714.5516721792965</c:v>
                </c:pt>
                <c:pt idx="4">
                  <c:v>132.55362351050277</c:v>
                </c:pt>
                <c:pt idx="5">
                  <c:v>2835.4161265867151</c:v>
                </c:pt>
                <c:pt idx="6">
                  <c:v>40.935125737468219</c:v>
                </c:pt>
                <c:pt idx="7">
                  <c:v>234.24571852757703</c:v>
                </c:pt>
                <c:pt idx="8">
                  <c:v>56.092999999999805</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1342.9086925910647</c:v>
                </c:pt>
                <c:pt idx="1">
                  <c:v>217.21706150669846</c:v>
                </c:pt>
                <c:pt idx="2">
                  <c:v>0</c:v>
                </c:pt>
                <c:pt idx="3">
                  <c:v>428.37447200835305</c:v>
                </c:pt>
                <c:pt idx="4">
                  <c:v>26.987780109440241</c:v>
                </c:pt>
                <c:pt idx="5">
                  <c:v>665.69913550684623</c:v>
                </c:pt>
                <c:pt idx="6">
                  <c:v>9.7029460988715339</c:v>
                </c:pt>
                <c:pt idx="7">
                  <c:v>46.336096334261711</c:v>
                </c:pt>
                <c:pt idx="8">
                  <c:v>9.7100125686502583</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1342.9086925910647</c:v>
                </c:pt>
                <c:pt idx="1">
                  <c:v>217.21706150669846</c:v>
                </c:pt>
                <c:pt idx="2">
                  <c:v>0</c:v>
                </c:pt>
                <c:pt idx="3">
                  <c:v>428.37447200835305</c:v>
                </c:pt>
                <c:pt idx="4">
                  <c:v>26.987780109440241</c:v>
                </c:pt>
                <c:pt idx="5">
                  <c:v>665.69913550684623</c:v>
                </c:pt>
                <c:pt idx="6">
                  <c:v>9.7029460988715339</c:v>
                </c:pt>
                <c:pt idx="7">
                  <c:v>46.336096334261711</c:v>
                </c:pt>
                <c:pt idx="8">
                  <c:v>9.7100125686502583</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549018</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137954</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Erika Meynaerts" id="{1C5057DE-5594-4AAE-9B39-B6CDBE845B7B}" userId="S::erika.meynaerts@vito.be::4c6e9d31-378b-494e-b325-0ad8a4f8c744"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64" totalsRowShown="0" headerRowDxfId="25" dataDxfId="23" headerRowBorderDxfId="24" tableBorderDxfId="22">
  <autoFilter ref="A1:F64" xr:uid="{00000000-0009-0000-0100-000001000000}">
    <filterColumn colId="1">
      <filters>
        <filter val="BUS"/>
      </filters>
    </filterColumn>
  </autoFilter>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4" dT="2024-03-25T12:58:06.83" personId="{1C5057DE-5594-4AAE-9B39-B6CDBE845B7B}" id="{0957C89F-3B6E-4BE0-822C-73E80CCB9DBE}">
    <text xml:space="preserve">i.e. hoeveelheid gecertificeerde groene stroom (met garanties van oorsprong) die aangekocht werd van buiten het grondgebied van de gemeente 
</text>
  </threadedComment>
  <threadedComment ref="A5" dT="2024-03-25T12:58:28.17" personId="{1C5057DE-5594-4AAE-9B39-B6CDBE845B7B}" id="{A05A632A-AA62-4BD2-A146-629C550D5839}">
    <text xml:space="preserve">i.e. hoeveelheid gecertificeerde groene stroom (met garanties van oorsprong) die opgewekt werd binnen het grondgebied van de gemeente maar verkocht aan derden buiten de administratieve grenzen van de gemeente
</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8" Type="http://schemas.openxmlformats.org/officeDocument/2006/relationships/hyperlink" Target="mailto:margot.vancauter@vlaanderen.be" TargetMode="External"/><Relationship Id="rId3" Type="http://schemas.openxmlformats.org/officeDocument/2006/relationships/hyperlink" Target="mailto:kaat.jespers@vlaanderen.be" TargetMode="External"/><Relationship Id="rId7" Type="http://schemas.openxmlformats.org/officeDocument/2006/relationships/hyperlink" Target="mailto:kaat.jespers@vlaanderen.be" TargetMode="External"/><Relationship Id="rId2" Type="http://schemas.openxmlformats.org/officeDocument/2006/relationships/hyperlink" Target="mailto:Rita.VanDievoort@vlm.be" TargetMode="External"/><Relationship Id="rId1" Type="http://schemas.openxmlformats.org/officeDocument/2006/relationships/hyperlink" Target="https://ec.europa.eu/jrc/en/publication/covenant-mayors-climate-and-energy-default-emission-factors-local-emission-inventories-version-2017" TargetMode="External"/><Relationship Id="rId6" Type="http://schemas.openxmlformats.org/officeDocument/2006/relationships/hyperlink" Target="mailto:kaat.jespers@vlaanderen.be" TargetMode="External"/><Relationship Id="rId5" Type="http://schemas.openxmlformats.org/officeDocument/2006/relationships/hyperlink" Target="https://www.fluvius.be/nl/thema/open-data/verbruiksgegevens-per-sector?app-refresh=1652793226341" TargetMode="External"/><Relationship Id="rId10" Type="http://schemas.openxmlformats.org/officeDocument/2006/relationships/printerSettings" Target="../printerSettings/printerSettings21.bin"/><Relationship Id="rId4" Type="http://schemas.openxmlformats.org/officeDocument/2006/relationships/hyperlink" Target="https://www.vlm.be/nl/themas/waterkwaliteit/Mestbank/Achtergrond/cijfers-en-studies/gemeentestatistieken_mestbank/Paginas/default.aspx" TargetMode="External"/><Relationship Id="rId9" Type="http://schemas.openxmlformats.org/officeDocument/2006/relationships/hyperlink" Target="https://ghgprotocol.org/sites/default/files/ghgp/Global-Warming-Potential-Values%20%28Feb%2016%202016%29_1.pdf"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43"/>
  <sheetViews>
    <sheetView showGridLines="0" tabSelected="1" zoomScaleNormal="100" workbookViewId="0">
      <selection activeCell="A20" sqref="A20"/>
    </sheetView>
  </sheetViews>
  <sheetFormatPr defaultRowHeight="15"/>
  <cols>
    <col min="1" max="1" width="51" customWidth="1"/>
    <col min="2" max="2" width="81.5703125" customWidth="1"/>
    <col min="3" max="3" width="140.5703125" customWidth="1"/>
  </cols>
  <sheetData>
    <row r="1" spans="1:7" ht="15.75" thickBot="1"/>
    <row r="2" spans="1:7" s="327" customFormat="1" ht="20.25" customHeight="1">
      <c r="A2" s="339" t="s">
        <v>502</v>
      </c>
      <c r="B2" s="340"/>
      <c r="C2" s="341"/>
    </row>
    <row r="3" spans="1:7" s="11" customFormat="1" ht="15" customHeight="1">
      <c r="A3" s="92"/>
      <c r="B3" s="73"/>
      <c r="C3" s="93"/>
    </row>
    <row r="4" spans="1:7" s="11" customFormat="1" ht="15.75" customHeight="1" thickBot="1">
      <c r="A4" s="104" t="s">
        <v>710</v>
      </c>
      <c r="B4" s="105"/>
      <c r="C4" s="106"/>
    </row>
    <row r="5" spans="1:7" s="334" customFormat="1" ht="15.75" customHeight="1">
      <c r="A5" s="331" t="s">
        <v>0</v>
      </c>
      <c r="B5" s="332"/>
      <c r="C5" s="333"/>
    </row>
    <row r="6" spans="1:7" s="334" customFormat="1" ht="15" customHeight="1">
      <c r="A6" s="335" t="str">
        <f>txtNIS</f>
        <v>33016</v>
      </c>
      <c r="B6" s="336"/>
      <c r="C6" s="337"/>
    </row>
    <row r="7" spans="1:7" s="334" customFormat="1" ht="15.75" customHeight="1">
      <c r="A7" s="338" t="str">
        <f>txtMunicipality</f>
        <v>MESEN</v>
      </c>
      <c r="B7" s="336"/>
      <c r="C7" s="337"/>
    </row>
    <row r="8" spans="1:7" ht="15.75" thickBot="1">
      <c r="A8" s="45"/>
      <c r="B8" s="107"/>
      <c r="C8" s="108"/>
    </row>
    <row r="9" spans="1:7" s="327" customFormat="1" ht="15.75" thickBot="1">
      <c r="A9" s="351" t="s">
        <v>309</v>
      </c>
      <c r="B9" s="354"/>
      <c r="C9" s="355"/>
    </row>
    <row r="10" spans="1:7" s="15" customFormat="1" ht="57.75" customHeight="1" thickBot="1">
      <c r="A10" s="1032" t="s">
        <v>700</v>
      </c>
      <c r="B10" s="1033"/>
      <c r="C10" s="1034"/>
    </row>
    <row r="11" spans="1:7" s="328" customFormat="1" ht="15.75" thickBot="1">
      <c r="A11" s="351" t="s">
        <v>311</v>
      </c>
      <c r="B11" s="354"/>
      <c r="C11" s="355"/>
      <c r="G11" s="329"/>
    </row>
    <row r="12" spans="1:7">
      <c r="A12" s="44"/>
      <c r="B12" s="43"/>
      <c r="C12" s="95"/>
    </row>
    <row r="13" spans="1:7" s="328" customFormat="1">
      <c r="A13" s="611" t="s">
        <v>479</v>
      </c>
      <c r="B13" s="325"/>
      <c r="C13" s="326"/>
      <c r="D13" s="327"/>
      <c r="E13" s="327"/>
      <c r="G13" s="329"/>
    </row>
    <row r="14" spans="1:7" s="328" customFormat="1">
      <c r="A14" s="330"/>
      <c r="B14" s="325"/>
      <c r="C14" s="326"/>
      <c r="D14" s="327"/>
      <c r="E14" s="327"/>
      <c r="G14" s="329"/>
    </row>
    <row r="15" spans="1:7" s="15" customFormat="1" ht="15.75" thickBot="1">
      <c r="A15" s="96"/>
      <c r="B15" s="43"/>
      <c r="C15" s="95"/>
      <c r="D15"/>
      <c r="E15"/>
      <c r="G15" s="67"/>
    </row>
    <row r="16" spans="1:7" s="327" customFormat="1" ht="32.25" customHeight="1" thickBot="1">
      <c r="A16" s="351" t="s">
        <v>312</v>
      </c>
      <c r="B16" s="1035" t="s">
        <v>425</v>
      </c>
      <c r="C16" s="1036"/>
    </row>
    <row r="17" spans="1:3" s="15" customFormat="1" ht="15.75">
      <c r="A17" s="97"/>
      <c r="B17" s="69"/>
      <c r="C17" s="98"/>
    </row>
    <row r="18" spans="1:3">
      <c r="A18" s="94" t="s">
        <v>315</v>
      </c>
      <c r="B18" s="68" t="s">
        <v>327</v>
      </c>
      <c r="C18" s="99" t="s">
        <v>326</v>
      </c>
    </row>
    <row r="19" spans="1:3" s="292" customFormat="1">
      <c r="A19" s="318" t="s">
        <v>313</v>
      </c>
      <c r="B19" s="319" t="s">
        <v>701</v>
      </c>
      <c r="C19" s="320" t="s">
        <v>423</v>
      </c>
    </row>
    <row r="20" spans="1:3" s="292" customFormat="1">
      <c r="A20" s="321"/>
      <c r="B20" s="289"/>
      <c r="C20" s="322"/>
    </row>
    <row r="21" spans="1:3" s="292" customFormat="1">
      <c r="A21" s="323" t="s">
        <v>314</v>
      </c>
      <c r="B21" s="319" t="s">
        <v>420</v>
      </c>
      <c r="C21" s="320" t="s">
        <v>424</v>
      </c>
    </row>
    <row r="22" spans="1:3" s="292" customFormat="1">
      <c r="A22" s="324"/>
      <c r="B22" s="289"/>
      <c r="C22" s="322"/>
    </row>
    <row r="23" spans="1:3" s="292" customFormat="1" ht="30">
      <c r="A23" s="318" t="s">
        <v>360</v>
      </c>
      <c r="B23" s="376" t="s">
        <v>364</v>
      </c>
      <c r="C23" s="320" t="s">
        <v>421</v>
      </c>
    </row>
    <row r="24" spans="1:3" s="292" customFormat="1">
      <c r="A24" s="324"/>
      <c r="B24" s="289"/>
      <c r="C24" s="322"/>
    </row>
    <row r="25" spans="1:3" s="292" customFormat="1">
      <c r="A25" s="318" t="s">
        <v>362</v>
      </c>
      <c r="B25" s="319" t="s">
        <v>361</v>
      </c>
      <c r="C25" s="320" t="s">
        <v>422</v>
      </c>
    </row>
    <row r="26" spans="1:3" s="292" customFormat="1">
      <c r="A26" s="324"/>
      <c r="B26" s="289"/>
      <c r="C26" s="322"/>
    </row>
    <row r="27" spans="1:3" s="292" customFormat="1">
      <c r="A27" s="318" t="s">
        <v>342</v>
      </c>
      <c r="B27" s="319" t="s">
        <v>359</v>
      </c>
      <c r="C27" s="320"/>
    </row>
    <row r="28" spans="1:3" s="292" customFormat="1">
      <c r="A28" s="324"/>
      <c r="B28" s="289" t="s">
        <v>468</v>
      </c>
      <c r="C28" s="322"/>
    </row>
    <row r="29" spans="1:3" ht="15.75" thickBot="1">
      <c r="A29" s="44"/>
      <c r="B29" s="43"/>
      <c r="C29" s="95"/>
    </row>
    <row r="30" spans="1:3" s="327" customFormat="1" ht="15.75" thickBot="1">
      <c r="A30" s="351" t="s">
        <v>324</v>
      </c>
      <c r="B30" s="352"/>
      <c r="C30" s="353"/>
    </row>
    <row r="31" spans="1:3" s="15" customFormat="1" ht="15.75">
      <c r="A31" s="97"/>
      <c r="B31" s="70"/>
      <c r="C31" s="101"/>
    </row>
    <row r="32" spans="1:3" s="15" customFormat="1">
      <c r="A32" s="102" t="s">
        <v>325</v>
      </c>
      <c r="B32" s="72" t="s">
        <v>327</v>
      </c>
      <c r="C32" s="103"/>
    </row>
    <row r="33" spans="1:3" s="345" customFormat="1">
      <c r="A33" s="342" t="s">
        <v>316</v>
      </c>
      <c r="B33" s="343" t="s">
        <v>328</v>
      </c>
      <c r="C33" s="344"/>
    </row>
    <row r="34" spans="1:3" s="345" customFormat="1">
      <c r="A34" s="346" t="s">
        <v>317</v>
      </c>
      <c r="B34" s="347" t="s">
        <v>318</v>
      </c>
      <c r="C34" s="348"/>
    </row>
    <row r="35" spans="1:3" s="345" customFormat="1">
      <c r="A35" s="349" t="s">
        <v>319</v>
      </c>
      <c r="B35" s="347" t="s">
        <v>320</v>
      </c>
      <c r="C35" s="348"/>
    </row>
    <row r="36" spans="1:3" s="345" customFormat="1">
      <c r="A36" s="350" t="s">
        <v>321</v>
      </c>
      <c r="B36" s="347" t="s">
        <v>322</v>
      </c>
      <c r="C36" s="348"/>
    </row>
    <row r="37" spans="1:3" s="345" customFormat="1" ht="30">
      <c r="A37" s="370" t="s">
        <v>323</v>
      </c>
      <c r="B37" s="347" t="s">
        <v>387</v>
      </c>
      <c r="C37" s="348"/>
    </row>
    <row r="38" spans="1:3" ht="15.6" customHeight="1" thickBot="1">
      <c r="A38" s="371"/>
      <c r="B38" s="372"/>
      <c r="C38" s="373"/>
    </row>
    <row r="39" spans="1:3" s="327" customFormat="1" ht="15.75" thickBot="1">
      <c r="A39" s="351" t="s">
        <v>678</v>
      </c>
      <c r="B39" s="352"/>
      <c r="C39" s="353"/>
    </row>
    <row r="40" spans="1:3">
      <c r="A40" t="s">
        <v>667</v>
      </c>
      <c r="B40" s="347" t="s">
        <v>673</v>
      </c>
    </row>
    <row r="41" spans="1:3">
      <c r="A41" t="s">
        <v>668</v>
      </c>
      <c r="B41" s="347" t="s">
        <v>674</v>
      </c>
    </row>
    <row r="42" spans="1:3">
      <c r="A42" t="s">
        <v>637</v>
      </c>
      <c r="B42" s="347" t="s">
        <v>675</v>
      </c>
    </row>
    <row r="43" spans="1:3">
      <c r="A43" t="s">
        <v>676</v>
      </c>
      <c r="B43" s="347" t="s">
        <v>677</v>
      </c>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40" sqref="B40"/>
    </sheetView>
  </sheetViews>
  <sheetFormatPr defaultRowHeight="15"/>
  <cols>
    <col min="1" max="1" width="39.140625" bestFit="1" customWidth="1"/>
    <col min="2" max="2" width="54.5703125" customWidth="1"/>
    <col min="3" max="3" width="111.28515625" customWidth="1"/>
  </cols>
  <sheetData>
    <row r="1" spans="1:3" ht="15.75" thickBot="1"/>
    <row r="2" spans="1:3" s="327" customFormat="1" ht="55.5" customHeight="1" thickBot="1">
      <c r="A2" s="356" t="s">
        <v>330</v>
      </c>
      <c r="B2" s="620"/>
      <c r="C2" s="355"/>
    </row>
    <row r="3" spans="1:3" s="15" customFormat="1" ht="15.75">
      <c r="A3" s="97"/>
      <c r="B3" s="69"/>
      <c r="C3" s="98"/>
    </row>
    <row r="4" spans="1:3" s="286" customFormat="1">
      <c r="A4" s="335" t="s">
        <v>315</v>
      </c>
      <c r="B4" s="357" t="s">
        <v>327</v>
      </c>
      <c r="C4" s="358" t="s">
        <v>326</v>
      </c>
    </row>
    <row r="5" spans="1:3" s="286" customFormat="1">
      <c r="A5" s="359"/>
      <c r="B5" s="292"/>
      <c r="C5" s="311"/>
    </row>
    <row r="6" spans="1:3" s="286" customFormat="1">
      <c r="A6" s="726" t="s">
        <v>664</v>
      </c>
      <c r="B6" s="360" t="s">
        <v>662</v>
      </c>
      <c r="C6" s="361" t="s">
        <v>310</v>
      </c>
    </row>
    <row r="7" spans="1:3" s="286" customFormat="1">
      <c r="A7" s="726" t="s">
        <v>665</v>
      </c>
      <c r="B7" s="362" t="s">
        <v>620</v>
      </c>
      <c r="C7" s="363" t="s">
        <v>476</v>
      </c>
    </row>
    <row r="8" spans="1:3" s="286" customFormat="1">
      <c r="A8" s="816" t="s">
        <v>587</v>
      </c>
      <c r="B8" s="362" t="s">
        <v>589</v>
      </c>
      <c r="C8" s="363" t="s">
        <v>310</v>
      </c>
    </row>
    <row r="9" spans="1:3" s="286" customFormat="1">
      <c r="A9" s="816" t="s">
        <v>663</v>
      </c>
      <c r="B9" s="362" t="s">
        <v>590</v>
      </c>
      <c r="C9" s="363" t="s">
        <v>310</v>
      </c>
    </row>
    <row r="10" spans="1:3" s="286" customFormat="1">
      <c r="A10" s="816" t="s">
        <v>588</v>
      </c>
      <c r="B10" s="362" t="s">
        <v>591</v>
      </c>
      <c r="C10" s="363" t="s">
        <v>310</v>
      </c>
    </row>
    <row r="11" spans="1:3" s="286" customFormat="1">
      <c r="A11" s="379"/>
      <c r="B11" s="362"/>
      <c r="C11" s="363"/>
    </row>
    <row r="12" spans="1:3" ht="21">
      <c r="A12" s="124" t="s">
        <v>388</v>
      </c>
      <c r="B12" s="123"/>
      <c r="C12" s="121"/>
    </row>
  </sheetData>
  <hyperlinks>
    <hyperlink ref="A7" location="'Inventaris 2021'!A1" display="Inventaris 2021'!A1" xr:uid="{00000000-0004-0000-0100-000000000000}"/>
    <hyperlink ref="A6" location="'SECAP template'!A1" display="SECAP template'!A1" xr:uid="{00000000-0004-0000-0100-000001000000}"/>
    <hyperlink ref="A8" location="'betrouwbaarheid inventaris'!A1" display="betrouwbaarheid inventaris" xr:uid="{56339ABB-88EC-4C10-A855-25B75DA8E05C}"/>
    <hyperlink ref="A9" location="'Lokale energieproductie 2021'!A1" display="Lokale energieproductie 2021"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T118"/>
  <sheetViews>
    <sheetView showGridLines="0" zoomScale="69" zoomScaleNormal="69" workbookViewId="0">
      <selection activeCell="R102" sqref="R102"/>
    </sheetView>
  </sheetViews>
  <sheetFormatPr defaultColWidth="9.140625" defaultRowHeight="14.25"/>
  <cols>
    <col min="1" max="1" width="67.85546875" style="380" customWidth="1"/>
    <col min="2" max="2" width="22.85546875" style="380" customWidth="1"/>
    <col min="3" max="3" width="21.28515625" style="61" customWidth="1"/>
    <col min="4" max="4" width="16" style="61" bestFit="1" customWidth="1"/>
    <col min="5" max="5" width="14.28515625" style="61" bestFit="1" customWidth="1"/>
    <col min="6" max="6" width="12.85546875" style="61" customWidth="1"/>
    <col min="7" max="7" width="13.85546875" style="61" bestFit="1" customWidth="1"/>
    <col min="8" max="8" width="14.28515625" style="61" bestFit="1" customWidth="1"/>
    <col min="9" max="9" width="12.7109375" style="61" bestFit="1" customWidth="1"/>
    <col min="10" max="11" width="17.28515625" style="61" bestFit="1" customWidth="1"/>
    <col min="12" max="13" width="19.140625" style="61" customWidth="1"/>
    <col min="14" max="14" width="13.85546875" style="61" customWidth="1"/>
    <col min="15" max="15" width="12.42578125" style="61" bestFit="1" customWidth="1"/>
    <col min="16" max="16" width="16.140625" style="61" customWidth="1"/>
    <col min="17" max="17" width="16.7109375" style="61" bestFit="1" customWidth="1"/>
    <col min="18" max="18" width="11.28515625" style="61" bestFit="1" customWidth="1"/>
    <col min="19" max="19" width="17.28515625" style="61" customWidth="1"/>
    <col min="20" max="20" width="9.140625" style="61"/>
    <col min="21" max="16384" width="9.140625" style="380"/>
  </cols>
  <sheetData>
    <row r="2" spans="1:20" ht="15.75">
      <c r="A2" s="1047" t="s">
        <v>195</v>
      </c>
      <c r="B2" s="1047"/>
      <c r="C2" s="1047"/>
      <c r="D2" s="58"/>
      <c r="E2" s="58"/>
      <c r="F2" s="58"/>
      <c r="G2" s="58"/>
      <c r="H2" s="59"/>
      <c r="I2" s="59"/>
      <c r="J2" s="60"/>
      <c r="K2" s="60"/>
      <c r="L2" s="59"/>
      <c r="M2" s="59"/>
      <c r="N2" s="59"/>
      <c r="O2" s="59"/>
      <c r="P2" s="59"/>
      <c r="Q2" s="59"/>
      <c r="R2" s="59"/>
      <c r="S2" s="59"/>
    </row>
    <row r="3" spans="1:20">
      <c r="A3" s="1048"/>
      <c r="B3" s="1048"/>
      <c r="C3" s="1048"/>
      <c r="D3" s="1048"/>
      <c r="E3" s="1048"/>
      <c r="F3" s="1048"/>
      <c r="G3" s="1048"/>
      <c r="H3" s="1048"/>
      <c r="I3" s="1048"/>
      <c r="J3" s="1048"/>
      <c r="K3" s="1048"/>
      <c r="L3" s="1048"/>
      <c r="M3" s="1048"/>
      <c r="N3" s="1048"/>
      <c r="O3" s="1048"/>
      <c r="P3" s="1048"/>
      <c r="Q3" s="1048"/>
      <c r="R3" s="1048"/>
      <c r="S3" s="1048"/>
    </row>
    <row r="4" spans="1:20" ht="15.75" thickBot="1">
      <c r="A4" s="381"/>
      <c r="B4" s="381"/>
      <c r="C4" s="62"/>
      <c r="D4" s="62"/>
      <c r="E4" s="62"/>
      <c r="F4" s="62"/>
      <c r="G4" s="62"/>
      <c r="H4" s="62"/>
      <c r="I4" s="62"/>
      <c r="J4" s="62"/>
      <c r="K4" s="62"/>
      <c r="L4" s="62"/>
      <c r="M4" s="62"/>
      <c r="N4" s="62"/>
      <c r="O4" s="62"/>
      <c r="P4" s="62"/>
      <c r="Q4" s="62"/>
      <c r="R4" s="62"/>
      <c r="S4" s="62"/>
    </row>
    <row r="5" spans="1:20" ht="16.5" thickBot="1">
      <c r="A5" s="1049" t="s">
        <v>196</v>
      </c>
      <c r="B5" s="626"/>
      <c r="C5" s="1052" t="s">
        <v>297</v>
      </c>
      <c r="D5" s="1053"/>
      <c r="E5" s="1053"/>
      <c r="F5" s="1053"/>
      <c r="G5" s="1053"/>
      <c r="H5" s="1053"/>
      <c r="I5" s="1053"/>
      <c r="J5" s="1053"/>
      <c r="K5" s="1053"/>
      <c r="L5" s="1053"/>
      <c r="M5" s="1053"/>
      <c r="N5" s="1053"/>
      <c r="O5" s="1053"/>
      <c r="P5" s="1053"/>
      <c r="Q5" s="1053"/>
      <c r="R5" s="1053"/>
      <c r="S5" s="1054"/>
    </row>
    <row r="6" spans="1:20" ht="16.5" thickTop="1">
      <c r="A6" s="1050"/>
      <c r="B6" s="627"/>
      <c r="C6" s="1055" t="s">
        <v>20</v>
      </c>
      <c r="D6" s="1057" t="s">
        <v>176</v>
      </c>
      <c r="E6" s="1059" t="s">
        <v>177</v>
      </c>
      <c r="F6" s="1060"/>
      <c r="G6" s="1060"/>
      <c r="H6" s="1060"/>
      <c r="I6" s="1060"/>
      <c r="J6" s="1060"/>
      <c r="K6" s="1060"/>
      <c r="L6" s="1061"/>
      <c r="M6" s="842"/>
      <c r="N6" s="1059" t="s">
        <v>178</v>
      </c>
      <c r="O6" s="1060"/>
      <c r="P6" s="1060"/>
      <c r="Q6" s="1060"/>
      <c r="R6" s="1060"/>
      <c r="S6" s="1062" t="s">
        <v>96</v>
      </c>
    </row>
    <row r="7" spans="1:20" ht="45.75" thickBot="1">
      <c r="A7" s="1051"/>
      <c r="B7" s="628"/>
      <c r="C7" s="1056"/>
      <c r="D7" s="1058"/>
      <c r="E7" s="377" t="s">
        <v>179</v>
      </c>
      <c r="F7" s="377" t="s">
        <v>180</v>
      </c>
      <c r="G7" s="63" t="s">
        <v>181</v>
      </c>
      <c r="H7" s="377" t="s">
        <v>182</v>
      </c>
      <c r="I7" s="377" t="s">
        <v>100</v>
      </c>
      <c r="J7" s="377" t="s">
        <v>183</v>
      </c>
      <c r="K7" s="378" t="s">
        <v>184</v>
      </c>
      <c r="L7" s="378" t="s">
        <v>185</v>
      </c>
      <c r="M7" s="873" t="s">
        <v>652</v>
      </c>
      <c r="N7" s="63" t="s">
        <v>186</v>
      </c>
      <c r="O7" s="64" t="s">
        <v>187</v>
      </c>
      <c r="P7" s="64" t="s">
        <v>188</v>
      </c>
      <c r="Q7" s="64" t="s">
        <v>189</v>
      </c>
      <c r="R7" s="65" t="s">
        <v>190</v>
      </c>
      <c r="S7" s="1063"/>
    </row>
    <row r="8" spans="1:20" ht="18.600000000000001" customHeight="1" thickTop="1" thickBot="1">
      <c r="A8" s="633" t="s">
        <v>298</v>
      </c>
      <c r="B8" s="638"/>
      <c r="C8" s="1064"/>
      <c r="D8" s="1064"/>
      <c r="E8" s="1064"/>
      <c r="F8" s="1064"/>
      <c r="G8" s="1064"/>
      <c r="H8" s="1064"/>
      <c r="I8" s="1064"/>
      <c r="J8" s="1064"/>
      <c r="K8" s="1064"/>
      <c r="L8" s="1064"/>
      <c r="M8" s="1064"/>
      <c r="N8" s="1064"/>
      <c r="O8" s="1064"/>
      <c r="P8" s="1064"/>
      <c r="Q8" s="1064"/>
      <c r="R8" s="1064"/>
      <c r="S8" s="277"/>
    </row>
    <row r="9" spans="1:20" s="382" customFormat="1" ht="15" thickTop="1">
      <c r="A9" s="634" t="s">
        <v>197</v>
      </c>
      <c r="B9" s="639"/>
      <c r="C9" s="531">
        <f>SUM(C10:C11)</f>
        <v>90.062866058711606</v>
      </c>
      <c r="D9" s="531">
        <f t="shared" ref="D9:R9" si="0">SUM(D10:D11)</f>
        <v>0</v>
      </c>
      <c r="E9" s="531">
        <f t="shared" si="0"/>
        <v>200.27585246886522</v>
      </c>
      <c r="F9" s="531">
        <f t="shared" si="0"/>
        <v>0</v>
      </c>
      <c r="G9" s="531">
        <f t="shared" si="0"/>
        <v>0</v>
      </c>
      <c r="H9" s="531">
        <f t="shared" si="0"/>
        <v>0</v>
      </c>
      <c r="I9" s="531">
        <f t="shared" si="0"/>
        <v>0</v>
      </c>
      <c r="J9" s="531">
        <f t="shared" si="0"/>
        <v>0</v>
      </c>
      <c r="K9" s="531">
        <f t="shared" si="0"/>
        <v>0</v>
      </c>
      <c r="L9" s="531">
        <f t="shared" si="0"/>
        <v>0</v>
      </c>
      <c r="M9" s="531">
        <f t="shared" si="0"/>
        <v>0</v>
      </c>
      <c r="N9" s="531">
        <f t="shared" si="0"/>
        <v>0</v>
      </c>
      <c r="O9" s="531">
        <f t="shared" si="0"/>
        <v>0</v>
      </c>
      <c r="P9" s="531">
        <f t="shared" si="0"/>
        <v>0</v>
      </c>
      <c r="Q9" s="531">
        <f t="shared" si="0"/>
        <v>0</v>
      </c>
      <c r="R9" s="869">
        <f t="shared" si="0"/>
        <v>0</v>
      </c>
      <c r="S9" s="950">
        <f>SUM(C9:R9)</f>
        <v>290.33871852757682</v>
      </c>
      <c r="T9" s="66"/>
    </row>
    <row r="10" spans="1:20" s="382" customFormat="1">
      <c r="A10" s="870" t="s">
        <v>197</v>
      </c>
      <c r="B10" s="639"/>
      <c r="C10" s="531">
        <f>'Eigen gebouwen'!B6</f>
        <v>33.969866058711801</v>
      </c>
      <c r="D10" s="531">
        <f>'Eigen gebouwen'!C6</f>
        <v>0</v>
      </c>
      <c r="E10" s="531">
        <f>'Eigen gebouwen'!D6</f>
        <v>200.27585246886522</v>
      </c>
      <c r="F10" s="531">
        <f>'Eigen gebouwen'!E6</f>
        <v>0</v>
      </c>
      <c r="G10" s="531">
        <f>'Eigen gebouwen'!F6</f>
        <v>0</v>
      </c>
      <c r="H10" s="531" t="str">
        <f>'Eigen gebouwen'!G6</f>
        <v>NO</v>
      </c>
      <c r="I10" s="531" t="str">
        <f>'Eigen gebouwen'!H6</f>
        <v>NO</v>
      </c>
      <c r="J10" s="531" t="str">
        <f>'Eigen gebouwen'!I6</f>
        <v>NO</v>
      </c>
      <c r="K10" s="531" t="str">
        <f>'Eigen gebouwen'!J6</f>
        <v>NO</v>
      </c>
      <c r="L10" s="531">
        <f>'Eigen gebouwen'!K6</f>
        <v>0</v>
      </c>
      <c r="M10" s="531" t="str">
        <f>'Eigen gebouwen'!L6</f>
        <v>IE</v>
      </c>
      <c r="N10" s="531" t="str">
        <f>'Eigen gebouwen'!M6</f>
        <v>IE</v>
      </c>
      <c r="O10" s="531">
        <f>'Eigen gebouwen'!N6</f>
        <v>0</v>
      </c>
      <c r="P10" s="531">
        <f>'Eigen gebouwen'!O6</f>
        <v>0</v>
      </c>
      <c r="Q10" s="531" t="str">
        <f>'Eigen gebouwen'!P6</f>
        <v>NE</v>
      </c>
      <c r="R10" s="869" t="str">
        <f>'Eigen gebouwen'!Q6</f>
        <v>NE</v>
      </c>
      <c r="S10" s="562">
        <f>SUM(C10:R10)</f>
        <v>234.24571852757703</v>
      </c>
      <c r="T10" s="66"/>
    </row>
    <row r="11" spans="1:20" s="382" customFormat="1">
      <c r="A11" s="870" t="s">
        <v>410</v>
      </c>
      <c r="B11" s="639"/>
      <c r="C11" s="531">
        <f>'Eigen openbare verlichting'!B6</f>
        <v>56.092999999999805</v>
      </c>
      <c r="D11" s="531" t="str">
        <f>'Eigen openbare verlichting'!C6</f>
        <v>NO</v>
      </c>
      <c r="E11" s="531" t="str">
        <f>'Eigen openbare verlichting'!D6</f>
        <v>NO</v>
      </c>
      <c r="F11" s="531" t="str">
        <f>'Eigen openbare verlichting'!E6</f>
        <v>NO</v>
      </c>
      <c r="G11" s="531" t="str">
        <f>'Eigen openbare verlichting'!F6</f>
        <v>NO</v>
      </c>
      <c r="H11" s="531" t="str">
        <f>'Eigen openbare verlichting'!G6</f>
        <v>NO</v>
      </c>
      <c r="I11" s="531" t="str">
        <f>'Eigen openbare verlichting'!H6</f>
        <v>NO</v>
      </c>
      <c r="J11" s="531" t="str">
        <f>'Eigen openbare verlichting'!I6</f>
        <v>NO</v>
      </c>
      <c r="K11" s="531" t="str">
        <f>'Eigen openbare verlichting'!J6</f>
        <v>NO</v>
      </c>
      <c r="L11" s="531" t="str">
        <f>'Eigen openbare verlichting'!K6</f>
        <v>NO</v>
      </c>
      <c r="M11" s="531" t="str">
        <f>'Eigen openbare verlichting'!L6</f>
        <v>NO</v>
      </c>
      <c r="N11" s="531" t="str">
        <f>'Eigen openbare verlichting'!M6</f>
        <v>NO</v>
      </c>
      <c r="O11" s="531" t="str">
        <f>'Eigen openbare verlichting'!N6</f>
        <v>NO</v>
      </c>
      <c r="P11" s="531" t="str">
        <f>'Eigen openbare verlichting'!O6</f>
        <v>NO</v>
      </c>
      <c r="Q11" s="531" t="str">
        <f>'Eigen openbare verlichting'!P6</f>
        <v>NO</v>
      </c>
      <c r="R11" s="869" t="str">
        <f>'Eigen openbare verlichting'!Q6</f>
        <v>NO</v>
      </c>
      <c r="S11" s="562">
        <f>SUM(C11:R11)</f>
        <v>56.092999999999805</v>
      </c>
      <c r="T11" s="66"/>
    </row>
    <row r="12" spans="1:20" s="382" customFormat="1">
      <c r="A12" s="870" t="s">
        <v>107</v>
      </c>
      <c r="B12" s="867"/>
      <c r="C12" s="868" t="s">
        <v>668</v>
      </c>
      <c r="D12" s="868" t="s">
        <v>668</v>
      </c>
      <c r="E12" s="868" t="s">
        <v>668</v>
      </c>
      <c r="F12" s="868" t="s">
        <v>668</v>
      </c>
      <c r="G12" s="868" t="s">
        <v>668</v>
      </c>
      <c r="H12" s="868" t="s">
        <v>668</v>
      </c>
      <c r="I12" s="868" t="s">
        <v>668</v>
      </c>
      <c r="J12" s="868" t="s">
        <v>668</v>
      </c>
      <c r="K12" s="868" t="s">
        <v>668</v>
      </c>
      <c r="L12" s="868" t="s">
        <v>668</v>
      </c>
      <c r="M12" s="868" t="s">
        <v>668</v>
      </c>
      <c r="N12" s="868" t="s">
        <v>668</v>
      </c>
      <c r="O12" s="868" t="s">
        <v>668</v>
      </c>
      <c r="P12" s="868" t="s">
        <v>668</v>
      </c>
      <c r="Q12" s="868" t="s">
        <v>668</v>
      </c>
      <c r="R12" s="869" t="s">
        <v>668</v>
      </c>
      <c r="S12" s="562" t="s">
        <v>668</v>
      </c>
      <c r="T12" s="66"/>
    </row>
    <row r="13" spans="1:20" s="382" customFormat="1">
      <c r="A13" s="635" t="s">
        <v>198</v>
      </c>
      <c r="B13" s="867"/>
      <c r="C13" s="868">
        <f>SUM(C14:C15)</f>
        <v>464.1987382770825</v>
      </c>
      <c r="D13" s="868">
        <f t="shared" ref="D13:P13" si="1">SUM(D14:D15)</f>
        <v>0</v>
      </c>
      <c r="E13" s="868">
        <f t="shared" si="1"/>
        <v>512.83083273113482</v>
      </c>
      <c r="F13" s="868">
        <f t="shared" si="1"/>
        <v>2.9752119932280219</v>
      </c>
      <c r="G13" s="868">
        <f t="shared" si="1"/>
        <v>122.04726183131861</v>
      </c>
      <c r="H13" s="868">
        <f t="shared" si="1"/>
        <v>0</v>
      </c>
      <c r="I13" s="868">
        <f t="shared" si="1"/>
        <v>2.9484415020987306E-2</v>
      </c>
      <c r="J13" s="868">
        <f t="shared" si="1"/>
        <v>0</v>
      </c>
      <c r="K13" s="868">
        <f t="shared" si="1"/>
        <v>1.4048361831175428E-3</v>
      </c>
      <c r="L13" s="868">
        <f t="shared" si="1"/>
        <v>0</v>
      </c>
      <c r="M13" s="868">
        <f t="shared" si="1"/>
        <v>0</v>
      </c>
      <c r="N13" s="868">
        <f t="shared" si="1"/>
        <v>0</v>
      </c>
      <c r="O13" s="868">
        <f t="shared" si="1"/>
        <v>0</v>
      </c>
      <c r="P13" s="868">
        <f t="shared" si="1"/>
        <v>53.411127597027196</v>
      </c>
      <c r="Q13" s="868">
        <f t="shared" ref="Q13" si="2">SUM(Q14:Q15)</f>
        <v>0</v>
      </c>
      <c r="R13" s="869">
        <f t="shared" ref="R13" si="3">SUM(R14:R15)</f>
        <v>0</v>
      </c>
      <c r="S13" s="562">
        <f t="shared" ref="S13" si="4">SUM(C13:R13)</f>
        <v>1155.4940616809954</v>
      </c>
      <c r="T13" s="66"/>
    </row>
    <row r="14" spans="1:20" s="382" customFormat="1">
      <c r="A14" s="871" t="s">
        <v>643</v>
      </c>
      <c r="B14" s="867"/>
      <c r="C14" s="868" t="s">
        <v>668</v>
      </c>
      <c r="D14" s="868" t="s">
        <v>668</v>
      </c>
      <c r="E14" s="868" t="s">
        <v>668</v>
      </c>
      <c r="F14" s="868" t="s">
        <v>668</v>
      </c>
      <c r="G14" s="868" t="s">
        <v>668</v>
      </c>
      <c r="H14" s="868" t="s">
        <v>668</v>
      </c>
      <c r="I14" s="868" t="s">
        <v>668</v>
      </c>
      <c r="J14" s="868" t="s">
        <v>668</v>
      </c>
      <c r="K14" s="868" t="s">
        <v>668</v>
      </c>
      <c r="L14" s="868" t="s">
        <v>668</v>
      </c>
      <c r="M14" s="868" t="s">
        <v>668</v>
      </c>
      <c r="N14" s="868" t="s">
        <v>668</v>
      </c>
      <c r="O14" s="868" t="s">
        <v>668</v>
      </c>
      <c r="P14" s="868" t="s">
        <v>668</v>
      </c>
      <c r="Q14" s="868" t="s">
        <v>668</v>
      </c>
      <c r="R14" s="869" t="s">
        <v>668</v>
      </c>
      <c r="S14" s="562" t="s">
        <v>668</v>
      </c>
      <c r="T14" s="66"/>
    </row>
    <row r="15" spans="1:20" s="382" customFormat="1">
      <c r="A15" s="871" t="s">
        <v>107</v>
      </c>
      <c r="B15" s="640"/>
      <c r="C15" s="531">
        <f>tertiair!B17+'openbare verlichting'!B8</f>
        <v>464.1987382770825</v>
      </c>
      <c r="D15" s="531">
        <f>tertiair!C17</f>
        <v>0</v>
      </c>
      <c r="E15" s="531">
        <f>tertiair!D17</f>
        <v>512.83083273113482</v>
      </c>
      <c r="F15" s="531">
        <f>tertiair!E17</f>
        <v>2.9752119932280219</v>
      </c>
      <c r="G15" s="531">
        <f>tertiair!F17</f>
        <v>122.04726183131861</v>
      </c>
      <c r="H15" s="531" t="str">
        <f>tertiair!G17</f>
        <v>NE</v>
      </c>
      <c r="I15" s="531">
        <f>tertiair!H17</f>
        <v>2.9484415020987306E-2</v>
      </c>
      <c r="J15" s="531" t="str">
        <f>tertiair!I17</f>
        <v>NE</v>
      </c>
      <c r="K15" s="531">
        <f>tertiair!J17</f>
        <v>1.4048361831175428E-3</v>
      </c>
      <c r="L15" s="531" t="str">
        <f>tertiair!K17</f>
        <v>NE</v>
      </c>
      <c r="M15" s="531" t="str">
        <f>tertiair!L17</f>
        <v>IE</v>
      </c>
      <c r="N15" s="531" t="str">
        <f>tertiair!M17</f>
        <v>IE</v>
      </c>
      <c r="O15" s="531" t="str">
        <f>tertiair!N17</f>
        <v>IE</v>
      </c>
      <c r="P15" s="531">
        <f>tertiair!O17</f>
        <v>53.411127597027196</v>
      </c>
      <c r="Q15" s="531" t="str">
        <f>tertiair!P17</f>
        <v>NE</v>
      </c>
      <c r="R15" s="869" t="str">
        <f>tertiair!Q17</f>
        <v>NE</v>
      </c>
      <c r="S15" s="562">
        <f>SUM(C15:R15)</f>
        <v>1155.4940616809954</v>
      </c>
      <c r="T15" s="66"/>
    </row>
    <row r="16" spans="1:20" s="382" customFormat="1">
      <c r="A16" s="634" t="s">
        <v>644</v>
      </c>
      <c r="B16" s="639"/>
      <c r="C16" s="531">
        <f>huishoudens!B9</f>
        <v>1373.6912738320134</v>
      </c>
      <c r="D16" s="531">
        <f>huishoudens!C9</f>
        <v>0</v>
      </c>
      <c r="E16" s="531">
        <f>huishoudens!D9</f>
        <v>4323.0994064999995</v>
      </c>
      <c r="F16" s="531">
        <f>huishoudens!E9</f>
        <v>50.274209928561802</v>
      </c>
      <c r="G16" s="531">
        <f>huishoudens!F9</f>
        <v>816.92303688904451</v>
      </c>
      <c r="H16" s="531" t="str">
        <f>huishoudens!G9</f>
        <v>NE</v>
      </c>
      <c r="I16" s="531" t="str">
        <f>huishoudens!H9</f>
        <v>NE</v>
      </c>
      <c r="J16" s="531" t="str">
        <f>huishoudens!I9</f>
        <v xml:space="preserve">NE </v>
      </c>
      <c r="K16" s="531">
        <f>huishoudens!J9</f>
        <v>6.548757578155711</v>
      </c>
      <c r="L16" s="531" t="str">
        <f>huishoudens!K9</f>
        <v>NE</v>
      </c>
      <c r="M16" s="531">
        <f>huishoudens!L9</f>
        <v>0</v>
      </c>
      <c r="N16" s="531">
        <f>huishoudens!M9</f>
        <v>0</v>
      </c>
      <c r="O16" s="531" t="str">
        <f>huishoudens!N9</f>
        <v>NE</v>
      </c>
      <c r="P16" s="531">
        <f>huishoudens!O9</f>
        <v>479.79629826218695</v>
      </c>
      <c r="Q16" s="531" t="str">
        <f>huishoudens!P9</f>
        <v>NE</v>
      </c>
      <c r="R16" s="869" t="str">
        <f>huishoudens!Q9</f>
        <v>NE</v>
      </c>
      <c r="S16" s="562">
        <f>SUM(C16:R16)</f>
        <v>7050.3329829899612</v>
      </c>
      <c r="T16" s="66"/>
    </row>
    <row r="17" spans="1:20" s="382" customFormat="1">
      <c r="A17" s="634" t="s">
        <v>495</v>
      </c>
      <c r="B17" s="643" t="s">
        <v>493</v>
      </c>
      <c r="C17" s="531">
        <f>industrie!B19</f>
        <v>23.661618071470588</v>
      </c>
      <c r="D17" s="531">
        <f>industrie!C19</f>
        <v>0</v>
      </c>
      <c r="E17" s="531">
        <f>industrie!D19</f>
        <v>89.713438289999999</v>
      </c>
      <c r="F17" s="531">
        <f>industrie!E19</f>
        <v>0.43175850542947813</v>
      </c>
      <c r="G17" s="531">
        <f>industrie!F19</f>
        <v>17.465365466237849</v>
      </c>
      <c r="H17" s="531" t="str">
        <f>industrie!G19</f>
        <v>NE</v>
      </c>
      <c r="I17" s="531">
        <f>industrie!H19</f>
        <v>0</v>
      </c>
      <c r="J17" s="531" t="str">
        <f>industrie!I19</f>
        <v>NE</v>
      </c>
      <c r="K17" s="531">
        <f>industrie!J19</f>
        <v>2.3856381474680253E-2</v>
      </c>
      <c r="L17" s="531" t="str">
        <f>industrie!K19</f>
        <v>NE</v>
      </c>
      <c r="M17" s="531" t="str">
        <f>industrie!L19</f>
        <v>IE</v>
      </c>
      <c r="N17" s="531" t="str">
        <f>industrie!M19</f>
        <v>IE</v>
      </c>
      <c r="O17" s="531" t="str">
        <f>industrie!N19</f>
        <v>IE</v>
      </c>
      <c r="P17" s="531">
        <f>industrie!O19</f>
        <v>1.2575867958902038</v>
      </c>
      <c r="Q17" s="531" t="str">
        <f>industrie!P19</f>
        <v>NE</v>
      </c>
      <c r="R17" s="869" t="str">
        <f>industrie!Q19</f>
        <v>NE</v>
      </c>
      <c r="S17" s="562">
        <f>SUM(C17:R17)</f>
        <v>132.55362351050277</v>
      </c>
      <c r="T17" s="66"/>
    </row>
    <row r="18" spans="1:20" s="382" customFormat="1">
      <c r="A18" s="634"/>
      <c r="B18" s="643" t="s">
        <v>494</v>
      </c>
      <c r="C18" s="531" t="s">
        <v>637</v>
      </c>
      <c r="D18" s="531" t="s">
        <v>637</v>
      </c>
      <c r="E18" s="531" t="s">
        <v>637</v>
      </c>
      <c r="F18" s="531" t="s">
        <v>637</v>
      </c>
      <c r="G18" s="531" t="s">
        <v>637</v>
      </c>
      <c r="H18" s="531" t="s">
        <v>637</v>
      </c>
      <c r="I18" s="531" t="s">
        <v>637</v>
      </c>
      <c r="J18" s="531" t="s">
        <v>637</v>
      </c>
      <c r="K18" s="531" t="s">
        <v>637</v>
      </c>
      <c r="L18" s="531" t="s">
        <v>637</v>
      </c>
      <c r="M18" s="531" t="s">
        <v>637</v>
      </c>
      <c r="N18" s="531" t="s">
        <v>637</v>
      </c>
      <c r="O18" s="531" t="s">
        <v>637</v>
      </c>
      <c r="P18" s="531" t="s">
        <v>637</v>
      </c>
      <c r="Q18" s="531" t="s">
        <v>637</v>
      </c>
      <c r="R18" s="869" t="s">
        <v>637</v>
      </c>
      <c r="S18" s="562" t="s">
        <v>637</v>
      </c>
      <c r="T18" s="66"/>
    </row>
    <row r="19" spans="1:20" s="382" customFormat="1" ht="15" thickBot="1">
      <c r="A19" s="747" t="s">
        <v>536</v>
      </c>
      <c r="B19" s="748"/>
      <c r="C19" s="531" t="s">
        <v>637</v>
      </c>
      <c r="D19" s="531" t="s">
        <v>637</v>
      </c>
      <c r="E19" s="531" t="s">
        <v>637</v>
      </c>
      <c r="F19" s="531" t="s">
        <v>637</v>
      </c>
      <c r="G19" s="531" t="s">
        <v>637</v>
      </c>
      <c r="H19" s="531" t="s">
        <v>637</v>
      </c>
      <c r="I19" s="531" t="s">
        <v>637</v>
      </c>
      <c r="J19" s="531" t="s">
        <v>637</v>
      </c>
      <c r="K19" s="531" t="s">
        <v>637</v>
      </c>
      <c r="L19" s="531" t="s">
        <v>637</v>
      </c>
      <c r="M19" s="531" t="s">
        <v>637</v>
      </c>
      <c r="N19" s="531" t="s">
        <v>637</v>
      </c>
      <c r="O19" s="531" t="s">
        <v>637</v>
      </c>
      <c r="P19" s="531" t="s">
        <v>637</v>
      </c>
      <c r="Q19" s="531" t="s">
        <v>637</v>
      </c>
      <c r="R19" s="869" t="s">
        <v>637</v>
      </c>
      <c r="S19" s="952" t="s">
        <v>637</v>
      </c>
      <c r="T19" s="66"/>
    </row>
    <row r="20" spans="1:20" s="382" customFormat="1" ht="15.75" thickBot="1">
      <c r="A20" s="534" t="s">
        <v>199</v>
      </c>
      <c r="B20" s="641"/>
      <c r="C20" s="564">
        <f>SUM(C9,C13,C16,C17,C18,C19)</f>
        <v>1951.6144962392782</v>
      </c>
      <c r="D20" s="564">
        <f>SUM(D9,D13,D16,D17,D18,D19)</f>
        <v>0</v>
      </c>
      <c r="E20" s="564">
        <f t="shared" ref="E20:R20" si="5">SUM(E9,E13,E16,E17,E18,E19)</f>
        <v>5125.9195299900002</v>
      </c>
      <c r="F20" s="564">
        <f t="shared" si="5"/>
        <v>53.681180427219303</v>
      </c>
      <c r="G20" s="564">
        <f t="shared" si="5"/>
        <v>956.43566418660089</v>
      </c>
      <c r="H20" s="564">
        <f t="shared" si="5"/>
        <v>0</v>
      </c>
      <c r="I20" s="564">
        <f t="shared" si="5"/>
        <v>2.9484415020987306E-2</v>
      </c>
      <c r="J20" s="564">
        <f t="shared" si="5"/>
        <v>0</v>
      </c>
      <c r="K20" s="564">
        <f t="shared" si="5"/>
        <v>6.574018795813509</v>
      </c>
      <c r="L20" s="564">
        <f t="shared" si="5"/>
        <v>0</v>
      </c>
      <c r="M20" s="564">
        <f t="shared" si="5"/>
        <v>0</v>
      </c>
      <c r="N20" s="564">
        <f t="shared" si="5"/>
        <v>0</v>
      </c>
      <c r="O20" s="564">
        <f t="shared" si="5"/>
        <v>0</v>
      </c>
      <c r="P20" s="564">
        <f t="shared" si="5"/>
        <v>534.46501265510437</v>
      </c>
      <c r="Q20" s="564">
        <f t="shared" si="5"/>
        <v>0</v>
      </c>
      <c r="R20" s="564">
        <f t="shared" si="5"/>
        <v>0</v>
      </c>
      <c r="S20" s="564">
        <f>SUM(C20:R20)</f>
        <v>8628.7193867090373</v>
      </c>
      <c r="T20" s="66"/>
    </row>
    <row r="21" spans="1:20" s="382" customFormat="1" ht="16.5" thickBot="1">
      <c r="A21" s="636" t="s">
        <v>200</v>
      </c>
      <c r="B21" s="568"/>
      <c r="C21" s="1065"/>
      <c r="D21" s="1065"/>
      <c r="E21" s="1065"/>
      <c r="F21" s="1065"/>
      <c r="G21" s="1065"/>
      <c r="H21" s="1065"/>
      <c r="I21" s="1065"/>
      <c r="J21" s="1065"/>
      <c r="K21" s="1065"/>
      <c r="L21" s="1065"/>
      <c r="M21" s="1065"/>
      <c r="N21" s="1065"/>
      <c r="O21" s="1065"/>
      <c r="P21" s="1065"/>
      <c r="Q21" s="1065"/>
      <c r="R21" s="1065"/>
      <c r="S21" s="535"/>
      <c r="T21" s="66"/>
    </row>
    <row r="22" spans="1:20" s="382" customFormat="1" ht="15" thickTop="1">
      <c r="A22" s="634" t="s">
        <v>201</v>
      </c>
      <c r="B22" s="639"/>
      <c r="C22" s="531">
        <f>SUM(C23:C24)</f>
        <v>0</v>
      </c>
      <c r="D22" s="531">
        <f t="shared" ref="D22:R22" si="6">SUM(D23:D24)</f>
        <v>0</v>
      </c>
      <c r="E22" s="531">
        <f t="shared" si="6"/>
        <v>0</v>
      </c>
      <c r="F22" s="531">
        <f t="shared" si="6"/>
        <v>0</v>
      </c>
      <c r="G22" s="531">
        <f t="shared" si="6"/>
        <v>0</v>
      </c>
      <c r="H22" s="531">
        <f t="shared" si="6"/>
        <v>0</v>
      </c>
      <c r="I22" s="531">
        <f t="shared" si="6"/>
        <v>0</v>
      </c>
      <c r="J22" s="531">
        <f t="shared" si="6"/>
        <v>0</v>
      </c>
      <c r="K22" s="531">
        <f t="shared" si="6"/>
        <v>0</v>
      </c>
      <c r="L22" s="531">
        <f t="shared" si="6"/>
        <v>0</v>
      </c>
      <c r="M22" s="531">
        <f t="shared" si="6"/>
        <v>0</v>
      </c>
      <c r="N22" s="531">
        <f t="shared" si="6"/>
        <v>0</v>
      </c>
      <c r="O22" s="531">
        <f t="shared" si="6"/>
        <v>0</v>
      </c>
      <c r="P22" s="531">
        <f t="shared" si="6"/>
        <v>0</v>
      </c>
      <c r="Q22" s="531">
        <f t="shared" si="6"/>
        <v>0</v>
      </c>
      <c r="R22" s="869">
        <f t="shared" si="6"/>
        <v>0</v>
      </c>
      <c r="S22" s="950">
        <f>SUM(C22:R22)</f>
        <v>0</v>
      </c>
      <c r="T22" s="66"/>
    </row>
    <row r="23" spans="1:20" s="382" customFormat="1">
      <c r="A23" s="870" t="s">
        <v>645</v>
      </c>
      <c r="B23" s="639"/>
      <c r="C23" s="531">
        <f>'Eigen vloot'!B27</f>
        <v>0</v>
      </c>
      <c r="D23" s="531" t="str">
        <f>'Eigen vloot'!C27</f>
        <v>NO</v>
      </c>
      <c r="E23" s="531">
        <f>'Eigen vloot'!D27</f>
        <v>0</v>
      </c>
      <c r="F23" s="531">
        <f>'Eigen vloot'!E27</f>
        <v>0</v>
      </c>
      <c r="G23" s="531" t="str">
        <f>'Eigen vloot'!F27</f>
        <v>NO</v>
      </c>
      <c r="H23" s="531">
        <f>'Eigen vloot'!G27</f>
        <v>0</v>
      </c>
      <c r="I23" s="531">
        <f>'Eigen vloot'!H27</f>
        <v>0</v>
      </c>
      <c r="J23" s="531" t="str">
        <f>'Eigen vloot'!I27</f>
        <v>NO</v>
      </c>
      <c r="K23" s="531" t="str">
        <f>'Eigen vloot'!J27</f>
        <v>NO</v>
      </c>
      <c r="L23" s="531" t="str">
        <f>'Eigen vloot'!K27</f>
        <v>NO</v>
      </c>
      <c r="M23" s="531" t="str">
        <f>'Eigen vloot'!M27</f>
        <v>NO</v>
      </c>
      <c r="N23" s="531">
        <f>'Eigen vloot'!N27</f>
        <v>0</v>
      </c>
      <c r="O23" s="531" t="str">
        <f>'Eigen vloot'!O27</f>
        <v>NO</v>
      </c>
      <c r="P23" s="531" t="str">
        <f>'Eigen vloot'!P27</f>
        <v>NO</v>
      </c>
      <c r="Q23" s="531" t="str">
        <f>'Eigen vloot'!Q27</f>
        <v>NO</v>
      </c>
      <c r="R23" s="869">
        <f>'Eigen vloot'!R27</f>
        <v>0</v>
      </c>
      <c r="S23" s="562">
        <f>SUM(C23:R23)</f>
        <v>0</v>
      </c>
      <c r="T23" s="66"/>
    </row>
    <row r="24" spans="1:20" s="382" customFormat="1">
      <c r="A24" s="870" t="s">
        <v>107</v>
      </c>
      <c r="B24" s="867"/>
      <c r="C24" s="531" t="s">
        <v>637</v>
      </c>
      <c r="D24" s="531" t="s">
        <v>637</v>
      </c>
      <c r="E24" s="531" t="s">
        <v>637</v>
      </c>
      <c r="F24" s="531" t="s">
        <v>637</v>
      </c>
      <c r="G24" s="531" t="s">
        <v>637</v>
      </c>
      <c r="H24" s="531" t="s">
        <v>637</v>
      </c>
      <c r="I24" s="531" t="s">
        <v>637</v>
      </c>
      <c r="J24" s="531" t="s">
        <v>637</v>
      </c>
      <c r="K24" s="531" t="s">
        <v>637</v>
      </c>
      <c r="L24" s="531" t="s">
        <v>637</v>
      </c>
      <c r="M24" s="531" t="s">
        <v>637</v>
      </c>
      <c r="N24" s="531" t="s">
        <v>637</v>
      </c>
      <c r="O24" s="531" t="s">
        <v>637</v>
      </c>
      <c r="P24" s="531" t="s">
        <v>637</v>
      </c>
      <c r="Q24" s="531" t="s">
        <v>637</v>
      </c>
      <c r="R24" s="869" t="s">
        <v>637</v>
      </c>
      <c r="S24" s="562" t="s">
        <v>637</v>
      </c>
      <c r="T24" s="66"/>
    </row>
    <row r="25" spans="1:20" s="382" customFormat="1">
      <c r="A25" s="634" t="s">
        <v>202</v>
      </c>
      <c r="B25" s="639"/>
      <c r="C25" s="531">
        <f>SUM(C26:C29)</f>
        <v>0.89030214384746775</v>
      </c>
      <c r="D25" s="531">
        <f t="shared" ref="D25:R25" si="7">SUM(D26:D29)</f>
        <v>0</v>
      </c>
      <c r="E25" s="531">
        <f t="shared" si="7"/>
        <v>0</v>
      </c>
      <c r="F25" s="531">
        <f t="shared" si="7"/>
        <v>0</v>
      </c>
      <c r="G25" s="531">
        <f t="shared" si="7"/>
        <v>0</v>
      </c>
      <c r="H25" s="531">
        <f t="shared" si="7"/>
        <v>35.763407527089385</v>
      </c>
      <c r="I25" s="531">
        <f t="shared" si="7"/>
        <v>0</v>
      </c>
      <c r="J25" s="531">
        <f t="shared" si="7"/>
        <v>0</v>
      </c>
      <c r="K25" s="531">
        <f t="shared" si="7"/>
        <v>0</v>
      </c>
      <c r="L25" s="531">
        <f t="shared" si="7"/>
        <v>0</v>
      </c>
      <c r="M25" s="531">
        <f t="shared" si="7"/>
        <v>0</v>
      </c>
      <c r="N25" s="531">
        <f t="shared" si="7"/>
        <v>0</v>
      </c>
      <c r="O25" s="531">
        <f t="shared" si="7"/>
        <v>4.281416066531361</v>
      </c>
      <c r="P25" s="531">
        <f t="shared" si="7"/>
        <v>0</v>
      </c>
      <c r="Q25" s="531">
        <f t="shared" si="7"/>
        <v>0</v>
      </c>
      <c r="R25" s="869">
        <f t="shared" si="7"/>
        <v>0</v>
      </c>
      <c r="S25" s="562">
        <f>SUM(C25:R25)</f>
        <v>40.935125737468219</v>
      </c>
      <c r="T25" s="66"/>
    </row>
    <row r="26" spans="1:20" s="382" customFormat="1">
      <c r="A26" s="870" t="s">
        <v>645</v>
      </c>
      <c r="B26" s="867"/>
      <c r="C26" s="868">
        <f>transport!B51*10^9/3600</f>
        <v>0.89030214384746775</v>
      </c>
      <c r="D26" s="868">
        <f>transport!C51*10^9/3600</f>
        <v>0</v>
      </c>
      <c r="E26" s="868">
        <f>transport!D51*10^9/3600</f>
        <v>0</v>
      </c>
      <c r="F26" s="868">
        <f>transport!E51*10^9/3600</f>
        <v>0</v>
      </c>
      <c r="G26" s="868">
        <f>transport!F51*10^9/3600</f>
        <v>0</v>
      </c>
      <c r="H26" s="868">
        <f>transport!G51*10^9/3600</f>
        <v>35.763407527089385</v>
      </c>
      <c r="I26" s="868">
        <f>transport!H51*10^9/3600</f>
        <v>0</v>
      </c>
      <c r="J26" s="868">
        <f>transport!I51*10^9/3600</f>
        <v>0</v>
      </c>
      <c r="K26" s="868">
        <f>transport!J51*10^9/3600</f>
        <v>0</v>
      </c>
      <c r="L26" s="868">
        <f>transport!K51*10^9/3600</f>
        <v>0</v>
      </c>
      <c r="M26" s="868">
        <f>transport!L51*10^9/3600</f>
        <v>0</v>
      </c>
      <c r="N26" s="868">
        <f>transport!M51*10^9/3600</f>
        <v>0</v>
      </c>
      <c r="O26" s="868">
        <f>transport!N51*10^9/3600</f>
        <v>4.281416066531361</v>
      </c>
      <c r="P26" s="868">
        <f>transport!O51*10^9/3600</f>
        <v>0</v>
      </c>
      <c r="Q26" s="868">
        <f>transport!P51*10^9/3600</f>
        <v>0</v>
      </c>
      <c r="R26" s="868">
        <f>transport!Q51*10^9/3600</f>
        <v>0</v>
      </c>
      <c r="S26" s="562">
        <f>SUM(C26:R26)</f>
        <v>40.935125737468219</v>
      </c>
      <c r="T26" s="66"/>
    </row>
    <row r="27" spans="1:20" s="382" customFormat="1">
      <c r="A27" s="870" t="s">
        <v>646</v>
      </c>
      <c r="B27" s="867"/>
      <c r="C27" s="868">
        <f>transport!B52*10^9/3600</f>
        <v>0</v>
      </c>
      <c r="D27" s="868">
        <f>transport!C52*10^9/3600</f>
        <v>0</v>
      </c>
      <c r="E27" s="868">
        <f>transport!D52*10^9/3600</f>
        <v>0</v>
      </c>
      <c r="F27" s="868">
        <f>transport!E52*10^9/3600</f>
        <v>0</v>
      </c>
      <c r="G27" s="868">
        <f>transport!F52*10^9/3600</f>
        <v>0</v>
      </c>
      <c r="H27" s="868">
        <f>transport!G52*10^9/3600</f>
        <v>0</v>
      </c>
      <c r="I27" s="868">
        <f>transport!H52*10^9/3600</f>
        <v>0</v>
      </c>
      <c r="J27" s="868">
        <f>transport!I52*10^9/3600</f>
        <v>0</v>
      </c>
      <c r="K27" s="868">
        <f>transport!J52*10^9/3600</f>
        <v>0</v>
      </c>
      <c r="L27" s="868">
        <f>transport!K52*10^9/3600</f>
        <v>0</v>
      </c>
      <c r="M27" s="868">
        <f>transport!L52*10^9/3600</f>
        <v>0</v>
      </c>
      <c r="N27" s="868">
        <f>transport!M52*10^9/3600</f>
        <v>0</v>
      </c>
      <c r="O27" s="868">
        <f>transport!N52*10^9/3600</f>
        <v>0</v>
      </c>
      <c r="P27" s="868">
        <f>transport!O52*10^9/3600</f>
        <v>0</v>
      </c>
      <c r="Q27" s="868">
        <f>transport!P52*10^9/3600</f>
        <v>0</v>
      </c>
      <c r="R27" s="868">
        <f>transport!Q52*10^9/3600</f>
        <v>0</v>
      </c>
      <c r="S27" s="562">
        <f t="shared" ref="S27" si="8">SUM(C27:R27)</f>
        <v>0</v>
      </c>
      <c r="T27" s="66"/>
    </row>
    <row r="28" spans="1:20" s="382" customFormat="1">
      <c r="A28" s="870" t="s">
        <v>647</v>
      </c>
      <c r="B28" s="867"/>
      <c r="C28" s="868" t="s">
        <v>637</v>
      </c>
      <c r="D28" s="868" t="s">
        <v>637</v>
      </c>
      <c r="E28" s="868" t="s">
        <v>637</v>
      </c>
      <c r="F28" s="868" t="s">
        <v>637</v>
      </c>
      <c r="G28" s="868" t="s">
        <v>637</v>
      </c>
      <c r="H28" s="868" t="s">
        <v>637</v>
      </c>
      <c r="I28" s="868" t="s">
        <v>637</v>
      </c>
      <c r="J28" s="868" t="s">
        <v>637</v>
      </c>
      <c r="K28" s="868" t="s">
        <v>637</v>
      </c>
      <c r="L28" s="868" t="s">
        <v>637</v>
      </c>
      <c r="M28" s="868" t="s">
        <v>637</v>
      </c>
      <c r="N28" s="868" t="s">
        <v>637</v>
      </c>
      <c r="O28" s="868" t="s">
        <v>637</v>
      </c>
      <c r="P28" s="868" t="s">
        <v>637</v>
      </c>
      <c r="Q28" s="868" t="s">
        <v>637</v>
      </c>
      <c r="R28" s="869" t="s">
        <v>637</v>
      </c>
      <c r="S28" s="562" t="s">
        <v>637</v>
      </c>
      <c r="T28" s="66"/>
    </row>
    <row r="29" spans="1:20" s="382" customFormat="1">
      <c r="A29" s="870" t="s">
        <v>107</v>
      </c>
      <c r="B29" s="867"/>
      <c r="C29" s="868" t="s">
        <v>637</v>
      </c>
      <c r="D29" s="868" t="s">
        <v>637</v>
      </c>
      <c r="E29" s="868" t="s">
        <v>637</v>
      </c>
      <c r="F29" s="868" t="s">
        <v>637</v>
      </c>
      <c r="G29" s="868" t="s">
        <v>637</v>
      </c>
      <c r="H29" s="868" t="s">
        <v>637</v>
      </c>
      <c r="I29" s="868" t="s">
        <v>637</v>
      </c>
      <c r="J29" s="868" t="s">
        <v>637</v>
      </c>
      <c r="K29" s="868" t="s">
        <v>637</v>
      </c>
      <c r="L29" s="868" t="s">
        <v>637</v>
      </c>
      <c r="M29" s="868" t="s">
        <v>637</v>
      </c>
      <c r="N29" s="868" t="s">
        <v>637</v>
      </c>
      <c r="O29" s="868" t="s">
        <v>637</v>
      </c>
      <c r="P29" s="868" t="s">
        <v>637</v>
      </c>
      <c r="Q29" s="868" t="s">
        <v>637</v>
      </c>
      <c r="R29" s="869" t="s">
        <v>637</v>
      </c>
      <c r="S29" s="562" t="s">
        <v>637</v>
      </c>
      <c r="T29" s="66"/>
    </row>
    <row r="30" spans="1:20" s="382" customFormat="1">
      <c r="A30" s="634" t="s">
        <v>263</v>
      </c>
      <c r="B30" s="867"/>
      <c r="C30" s="868">
        <f>SUM(C31:C35)</f>
        <v>43.464469011082279</v>
      </c>
      <c r="D30" s="868">
        <f t="shared" ref="D30:R30" si="9">SUM(D31:D35)</f>
        <v>0</v>
      </c>
      <c r="E30" s="868">
        <f t="shared" si="9"/>
        <v>11.293332462221965</v>
      </c>
      <c r="F30" s="868">
        <f t="shared" si="9"/>
        <v>5.2673958042981486</v>
      </c>
      <c r="G30" s="868">
        <f t="shared" si="9"/>
        <v>0</v>
      </c>
      <c r="H30" s="868">
        <f t="shared" si="9"/>
        <v>1683.840807868228</v>
      </c>
      <c r="I30" s="868">
        <f t="shared" si="9"/>
        <v>823.7459626493013</v>
      </c>
      <c r="J30" s="868">
        <f t="shared" si="9"/>
        <v>0</v>
      </c>
      <c r="K30" s="868">
        <f t="shared" si="9"/>
        <v>0</v>
      </c>
      <c r="L30" s="868">
        <f t="shared" si="9"/>
        <v>0</v>
      </c>
      <c r="M30" s="868">
        <f t="shared" si="9"/>
        <v>0</v>
      </c>
      <c r="N30" s="868">
        <f t="shared" si="9"/>
        <v>0</v>
      </c>
      <c r="O30" s="868">
        <f t="shared" si="9"/>
        <v>267.80415879158335</v>
      </c>
      <c r="P30" s="868">
        <f t="shared" si="9"/>
        <v>0</v>
      </c>
      <c r="Q30" s="868">
        <f t="shared" si="9"/>
        <v>0</v>
      </c>
      <c r="R30" s="869">
        <f t="shared" si="9"/>
        <v>0</v>
      </c>
      <c r="S30" s="562">
        <f>SUM(C30:R30)</f>
        <v>2835.4161265867151</v>
      </c>
      <c r="T30" s="66"/>
    </row>
    <row r="31" spans="1:20" s="382" customFormat="1">
      <c r="A31" s="870" t="s">
        <v>645</v>
      </c>
      <c r="B31" s="639"/>
      <c r="C31" s="531">
        <f>transport!B14</f>
        <v>43.464469011082279</v>
      </c>
      <c r="D31" s="531" t="str">
        <f>transport!C14</f>
        <v>NO</v>
      </c>
      <c r="E31" s="531">
        <f>transport!D14</f>
        <v>11.293332462221965</v>
      </c>
      <c r="F31" s="531">
        <f>transport!E14</f>
        <v>5.2673958042981486</v>
      </c>
      <c r="G31" s="531" t="str">
        <f>transport!F14</f>
        <v>NO</v>
      </c>
      <c r="H31" s="531">
        <f>transport!G14</f>
        <v>1683.840807868228</v>
      </c>
      <c r="I31" s="531">
        <f>transport!H14</f>
        <v>823.7459626493013</v>
      </c>
      <c r="J31" s="531" t="str">
        <f>transport!I14</f>
        <v>NO</v>
      </c>
      <c r="K31" s="531" t="str">
        <f>transport!J14</f>
        <v>NO</v>
      </c>
      <c r="L31" s="531" t="str">
        <f>transport!K14</f>
        <v>NO</v>
      </c>
      <c r="M31" s="531" t="str">
        <f>transport!L14</f>
        <v>NO</v>
      </c>
      <c r="N31" s="531" t="str">
        <f>transport!M14</f>
        <v>NO</v>
      </c>
      <c r="O31" s="531">
        <f>transport!N14</f>
        <v>267.80415879158335</v>
      </c>
      <c r="P31" s="531" t="str">
        <f>transport!O14</f>
        <v>NO</v>
      </c>
      <c r="Q31" s="531" t="str">
        <f>transport!P14</f>
        <v>NO</v>
      </c>
      <c r="R31" s="869" t="str">
        <f>transport!Q14</f>
        <v>NO</v>
      </c>
      <c r="S31" s="562">
        <f>SUM(C31:R31)</f>
        <v>2835.4161265867151</v>
      </c>
      <c r="T31" s="66"/>
    </row>
    <row r="32" spans="1:20" s="382" customFormat="1">
      <c r="A32" s="870" t="s">
        <v>646</v>
      </c>
      <c r="B32" s="639"/>
      <c r="C32" s="531" t="s">
        <v>637</v>
      </c>
      <c r="D32" s="531" t="s">
        <v>637</v>
      </c>
      <c r="E32" s="531" t="s">
        <v>637</v>
      </c>
      <c r="F32" s="531" t="s">
        <v>637</v>
      </c>
      <c r="G32" s="531" t="s">
        <v>637</v>
      </c>
      <c r="H32" s="531" t="s">
        <v>637</v>
      </c>
      <c r="I32" s="531" t="s">
        <v>637</v>
      </c>
      <c r="J32" s="531" t="s">
        <v>637</v>
      </c>
      <c r="K32" s="531" t="s">
        <v>637</v>
      </c>
      <c r="L32" s="531" t="s">
        <v>637</v>
      </c>
      <c r="M32" s="531" t="s">
        <v>637</v>
      </c>
      <c r="N32" s="531" t="s">
        <v>637</v>
      </c>
      <c r="O32" s="531" t="s">
        <v>637</v>
      </c>
      <c r="P32" s="531" t="s">
        <v>637</v>
      </c>
      <c r="Q32" s="531" t="s">
        <v>637</v>
      </c>
      <c r="R32" s="869" t="s">
        <v>637</v>
      </c>
      <c r="S32" s="562" t="s">
        <v>637</v>
      </c>
      <c r="T32" s="66"/>
    </row>
    <row r="33" spans="1:20" s="382" customFormat="1">
      <c r="A33" s="870" t="s">
        <v>647</v>
      </c>
      <c r="B33" s="639"/>
      <c r="C33" s="531" t="s">
        <v>637</v>
      </c>
      <c r="D33" s="531" t="s">
        <v>637</v>
      </c>
      <c r="E33" s="531" t="s">
        <v>637</v>
      </c>
      <c r="F33" s="531" t="s">
        <v>637</v>
      </c>
      <c r="G33" s="531" t="s">
        <v>637</v>
      </c>
      <c r="H33" s="531" t="s">
        <v>637</v>
      </c>
      <c r="I33" s="531" t="s">
        <v>637</v>
      </c>
      <c r="J33" s="531" t="s">
        <v>637</v>
      </c>
      <c r="K33" s="531" t="s">
        <v>637</v>
      </c>
      <c r="L33" s="531" t="s">
        <v>637</v>
      </c>
      <c r="M33" s="531" t="s">
        <v>637</v>
      </c>
      <c r="N33" s="531" t="s">
        <v>637</v>
      </c>
      <c r="O33" s="531" t="s">
        <v>637</v>
      </c>
      <c r="P33" s="531" t="s">
        <v>637</v>
      </c>
      <c r="Q33" s="531" t="s">
        <v>637</v>
      </c>
      <c r="R33" s="869" t="s">
        <v>637</v>
      </c>
      <c r="S33" s="562" t="s">
        <v>637</v>
      </c>
      <c r="T33" s="66"/>
    </row>
    <row r="34" spans="1:20" s="382" customFormat="1">
      <c r="A34" s="870" t="s">
        <v>648</v>
      </c>
      <c r="B34" s="639"/>
      <c r="C34" s="531" t="s">
        <v>637</v>
      </c>
      <c r="D34" s="531" t="s">
        <v>637</v>
      </c>
      <c r="E34" s="531" t="s">
        <v>637</v>
      </c>
      <c r="F34" s="531" t="s">
        <v>637</v>
      </c>
      <c r="G34" s="531" t="s">
        <v>637</v>
      </c>
      <c r="H34" s="531" t="s">
        <v>637</v>
      </c>
      <c r="I34" s="531" t="s">
        <v>637</v>
      </c>
      <c r="J34" s="531" t="s">
        <v>637</v>
      </c>
      <c r="K34" s="531" t="s">
        <v>637</v>
      </c>
      <c r="L34" s="531" t="s">
        <v>637</v>
      </c>
      <c r="M34" s="531" t="s">
        <v>637</v>
      </c>
      <c r="N34" s="531" t="s">
        <v>637</v>
      </c>
      <c r="O34" s="531" t="s">
        <v>637</v>
      </c>
      <c r="P34" s="531" t="s">
        <v>637</v>
      </c>
      <c r="Q34" s="531" t="s">
        <v>637</v>
      </c>
      <c r="R34" s="869" t="s">
        <v>637</v>
      </c>
      <c r="S34" s="562" t="s">
        <v>637</v>
      </c>
      <c r="T34" s="66"/>
    </row>
    <row r="35" spans="1:20" s="382" customFormat="1">
      <c r="A35" s="870" t="s">
        <v>107</v>
      </c>
      <c r="B35" s="867"/>
      <c r="C35" s="531" t="s">
        <v>637</v>
      </c>
      <c r="D35" s="531" t="s">
        <v>637</v>
      </c>
      <c r="E35" s="531" t="s">
        <v>637</v>
      </c>
      <c r="F35" s="531" t="s">
        <v>637</v>
      </c>
      <c r="G35" s="531" t="s">
        <v>637</v>
      </c>
      <c r="H35" s="531" t="s">
        <v>637</v>
      </c>
      <c r="I35" s="531" t="s">
        <v>637</v>
      </c>
      <c r="J35" s="531" t="s">
        <v>637</v>
      </c>
      <c r="K35" s="531" t="s">
        <v>637</v>
      </c>
      <c r="L35" s="531" t="s">
        <v>637</v>
      </c>
      <c r="M35" s="531" t="s">
        <v>637</v>
      </c>
      <c r="N35" s="531" t="s">
        <v>637</v>
      </c>
      <c r="O35" s="531" t="s">
        <v>637</v>
      </c>
      <c r="P35" s="531" t="s">
        <v>637</v>
      </c>
      <c r="Q35" s="531" t="s">
        <v>637</v>
      </c>
      <c r="R35" s="869" t="s">
        <v>637</v>
      </c>
      <c r="S35" s="562" t="s">
        <v>637</v>
      </c>
      <c r="T35" s="66"/>
    </row>
    <row r="36" spans="1:20" s="382" customFormat="1" ht="15" thickBot="1">
      <c r="A36" s="634" t="s">
        <v>539</v>
      </c>
      <c r="B36" s="639"/>
      <c r="C36" s="531" t="s">
        <v>637</v>
      </c>
      <c r="D36" s="531" t="s">
        <v>637</v>
      </c>
      <c r="E36" s="531" t="s">
        <v>637</v>
      </c>
      <c r="F36" s="531" t="s">
        <v>637</v>
      </c>
      <c r="G36" s="531" t="s">
        <v>637</v>
      </c>
      <c r="H36" s="531" t="s">
        <v>637</v>
      </c>
      <c r="I36" s="531" t="s">
        <v>637</v>
      </c>
      <c r="J36" s="531" t="s">
        <v>637</v>
      </c>
      <c r="K36" s="531" t="s">
        <v>637</v>
      </c>
      <c r="L36" s="531" t="s">
        <v>637</v>
      </c>
      <c r="M36" s="531" t="s">
        <v>637</v>
      </c>
      <c r="N36" s="531" t="s">
        <v>637</v>
      </c>
      <c r="O36" s="531" t="s">
        <v>637</v>
      </c>
      <c r="P36" s="531" t="s">
        <v>637</v>
      </c>
      <c r="Q36" s="531" t="s">
        <v>637</v>
      </c>
      <c r="R36" s="869" t="s">
        <v>637</v>
      </c>
      <c r="S36" s="952" t="s">
        <v>637</v>
      </c>
      <c r="T36" s="66"/>
    </row>
    <row r="37" spans="1:20" s="382" customFormat="1" ht="15.75" thickBot="1">
      <c r="A37" s="537" t="s">
        <v>203</v>
      </c>
      <c r="B37" s="642"/>
      <c r="C37" s="637">
        <f>SUM(C22,C25,C30,C36)</f>
        <v>44.35477115492975</v>
      </c>
      <c r="D37" s="637">
        <f t="shared" ref="D37:R37" si="10">SUM(D22,D25,D30,D36)</f>
        <v>0</v>
      </c>
      <c r="E37" s="637">
        <f t="shared" si="10"/>
        <v>11.293332462221965</v>
      </c>
      <c r="F37" s="637">
        <f t="shared" si="10"/>
        <v>5.2673958042981486</v>
      </c>
      <c r="G37" s="637">
        <f t="shared" si="10"/>
        <v>0</v>
      </c>
      <c r="H37" s="637">
        <f t="shared" si="10"/>
        <v>1719.6042153953174</v>
      </c>
      <c r="I37" s="637">
        <f t="shared" si="10"/>
        <v>823.7459626493013</v>
      </c>
      <c r="J37" s="637">
        <f t="shared" si="10"/>
        <v>0</v>
      </c>
      <c r="K37" s="637">
        <f t="shared" si="10"/>
        <v>0</v>
      </c>
      <c r="L37" s="637">
        <f t="shared" si="10"/>
        <v>0</v>
      </c>
      <c r="M37" s="637">
        <f t="shared" si="10"/>
        <v>0</v>
      </c>
      <c r="N37" s="637">
        <f t="shared" si="10"/>
        <v>0</v>
      </c>
      <c r="O37" s="637">
        <f t="shared" si="10"/>
        <v>272.08557485811468</v>
      </c>
      <c r="P37" s="637">
        <f t="shared" si="10"/>
        <v>0</v>
      </c>
      <c r="Q37" s="637">
        <f t="shared" si="10"/>
        <v>0</v>
      </c>
      <c r="R37" s="637">
        <f t="shared" si="10"/>
        <v>0</v>
      </c>
      <c r="S37" s="637">
        <f>SUM(C37:R37)</f>
        <v>2876.3512523241834</v>
      </c>
      <c r="T37" s="66"/>
    </row>
    <row r="38" spans="1:20" s="382" customFormat="1" ht="15.75">
      <c r="A38" s="636" t="s">
        <v>210</v>
      </c>
      <c r="B38" s="568"/>
      <c r="C38" s="1065"/>
      <c r="D38" s="1065"/>
      <c r="E38" s="1065"/>
      <c r="F38" s="1065"/>
      <c r="G38" s="1065"/>
      <c r="H38" s="1065"/>
      <c r="I38" s="1065"/>
      <c r="J38" s="1065"/>
      <c r="K38" s="1065"/>
      <c r="L38" s="1065"/>
      <c r="M38" s="1065"/>
      <c r="N38" s="1065"/>
      <c r="O38" s="1065"/>
      <c r="P38" s="1065"/>
      <c r="Q38" s="1065"/>
      <c r="R38" s="1065"/>
      <c r="S38" s="535"/>
      <c r="T38" s="66"/>
    </row>
    <row r="39" spans="1:20" s="382" customFormat="1">
      <c r="A39" s="634" t="s">
        <v>491</v>
      </c>
      <c r="B39" s="639"/>
      <c r="C39" s="531">
        <f>+landbouw!B9</f>
        <v>346.41040035735296</v>
      </c>
      <c r="D39" s="531">
        <f>+landbouw!C9</f>
        <v>0</v>
      </c>
      <c r="E39" s="531">
        <f>+landbouw!D9</f>
        <v>0</v>
      </c>
      <c r="F39" s="531">
        <f>+landbouw!E9</f>
        <v>12.97377661716142</v>
      </c>
      <c r="G39" s="531">
        <f>+landbouw!F9</f>
        <v>1313.3959735563915</v>
      </c>
      <c r="H39" s="531" t="str">
        <f>+landbouw!G9</f>
        <v>NE</v>
      </c>
      <c r="I39" s="531" t="str">
        <f>+landbouw!H9</f>
        <v>NE</v>
      </c>
      <c r="J39" s="531" t="str">
        <f>+landbouw!I9</f>
        <v>NE</v>
      </c>
      <c r="K39" s="531">
        <f>+landbouw!J9</f>
        <v>41.77152164839066</v>
      </c>
      <c r="L39" s="531" t="str">
        <f>+landbouw!K9</f>
        <v>NE</v>
      </c>
      <c r="M39" s="531" t="str">
        <f>+landbouw!L9</f>
        <v>IE</v>
      </c>
      <c r="N39" s="531" t="str">
        <f>+landbouw!M9</f>
        <v>IE</v>
      </c>
      <c r="O39" s="531" t="str">
        <f>+landbouw!N9</f>
        <v>IE</v>
      </c>
      <c r="P39" s="531">
        <f>+landbouw!O9</f>
        <v>0</v>
      </c>
      <c r="Q39" s="531" t="str">
        <f>+landbouw!P9</f>
        <v>NE</v>
      </c>
      <c r="R39" s="532" t="str">
        <f>+landbouw!Q9</f>
        <v>NE</v>
      </c>
      <c r="S39" s="533">
        <f>SUM(C39:R39)</f>
        <v>1714.5516721792965</v>
      </c>
      <c r="T39" s="66"/>
    </row>
    <row r="40" spans="1:20" s="382" customFormat="1" ht="15" thickBot="1">
      <c r="A40" s="654" t="s">
        <v>537</v>
      </c>
      <c r="B40" s="748"/>
      <c r="C40" s="749">
        <f>IF(Onbekend_ele_kWh="---",0,Onbekend_ele_kWh)/1000+IF(REST_rest_ele_kWh="---",0,REST_rest_ele_kWh)/1000</f>
        <v>43.115230000000004</v>
      </c>
      <c r="D40" s="749" t="s">
        <v>637</v>
      </c>
      <c r="E40" s="749">
        <f>IF(onbekend_gas_kWh="---",0,onbekend_gas_kWh)/1000+IF(REST_rest_gas_kWh="---",0,REST_rest_gas_kWh)/1000</f>
        <v>50.806899999999999</v>
      </c>
      <c r="F40" s="749" t="s">
        <v>637</v>
      </c>
      <c r="G40" s="749" t="s">
        <v>637</v>
      </c>
      <c r="H40" s="749" t="s">
        <v>637</v>
      </c>
      <c r="I40" s="749" t="s">
        <v>637</v>
      </c>
      <c r="J40" s="749" t="s">
        <v>637</v>
      </c>
      <c r="K40" s="749" t="s">
        <v>637</v>
      </c>
      <c r="L40" s="749" t="s">
        <v>637</v>
      </c>
      <c r="M40" s="749" t="s">
        <v>637</v>
      </c>
      <c r="N40" s="749" t="s">
        <v>637</v>
      </c>
      <c r="O40" s="749" t="s">
        <v>637</v>
      </c>
      <c r="P40" s="749" t="s">
        <v>637</v>
      </c>
      <c r="Q40" s="749" t="s">
        <v>637</v>
      </c>
      <c r="R40" s="749" t="s">
        <v>637</v>
      </c>
      <c r="S40" s="533">
        <f>SUM(C40:R40)</f>
        <v>93.92213000000001</v>
      </c>
      <c r="T40" s="66"/>
    </row>
    <row r="41" spans="1:20" s="382" customFormat="1" ht="15.75" thickBot="1">
      <c r="A41" s="537" t="s">
        <v>538</v>
      </c>
      <c r="B41" s="642"/>
      <c r="C41" s="637">
        <f>SUM(C39:C40)</f>
        <v>389.52563035735295</v>
      </c>
      <c r="D41" s="637">
        <f t="shared" ref="D41:R41" si="11">SUM(D39:D40)</f>
        <v>0</v>
      </c>
      <c r="E41" s="637">
        <f t="shared" si="11"/>
        <v>50.806899999999999</v>
      </c>
      <c r="F41" s="637">
        <f t="shared" si="11"/>
        <v>12.97377661716142</v>
      </c>
      <c r="G41" s="637">
        <f t="shared" si="11"/>
        <v>1313.3959735563915</v>
      </c>
      <c r="H41" s="637">
        <f t="shared" si="11"/>
        <v>0</v>
      </c>
      <c r="I41" s="637">
        <f t="shared" si="11"/>
        <v>0</v>
      </c>
      <c r="J41" s="637">
        <f t="shared" si="11"/>
        <v>0</v>
      </c>
      <c r="K41" s="637">
        <f t="shared" si="11"/>
        <v>41.77152164839066</v>
      </c>
      <c r="L41" s="637">
        <f t="shared" si="11"/>
        <v>0</v>
      </c>
      <c r="M41" s="637">
        <f t="shared" si="11"/>
        <v>0</v>
      </c>
      <c r="N41" s="637">
        <f t="shared" si="11"/>
        <v>0</v>
      </c>
      <c r="O41" s="637">
        <f t="shared" si="11"/>
        <v>0</v>
      </c>
      <c r="P41" s="637">
        <f t="shared" si="11"/>
        <v>0</v>
      </c>
      <c r="Q41" s="637">
        <f t="shared" si="11"/>
        <v>0</v>
      </c>
      <c r="R41" s="637">
        <f t="shared" si="11"/>
        <v>0</v>
      </c>
      <c r="S41" s="637">
        <f>SUM(C41:R41)</f>
        <v>1808.4738021792966</v>
      </c>
      <c r="T41" s="66"/>
    </row>
    <row r="42" spans="1:20" s="382" customFormat="1" ht="17.25" thickTop="1" thickBot="1">
      <c r="A42" s="538" t="s">
        <v>96</v>
      </c>
      <c r="B42" s="630"/>
      <c r="C42" s="539">
        <f t="shared" ref="C42:S42" si="12">C37+C20+C41</f>
        <v>2385.494897751561</v>
      </c>
      <c r="D42" s="539">
        <f t="shared" si="12"/>
        <v>0</v>
      </c>
      <c r="E42" s="539">
        <f t="shared" si="12"/>
        <v>5188.0197624522216</v>
      </c>
      <c r="F42" s="539">
        <f t="shared" si="12"/>
        <v>71.922352848678869</v>
      </c>
      <c r="G42" s="539">
        <f t="shared" si="12"/>
        <v>2269.8316377429924</v>
      </c>
      <c r="H42" s="539">
        <f t="shared" si="12"/>
        <v>1719.6042153953174</v>
      </c>
      <c r="I42" s="539">
        <f t="shared" si="12"/>
        <v>823.77544706432229</v>
      </c>
      <c r="J42" s="539">
        <f t="shared" si="12"/>
        <v>0</v>
      </c>
      <c r="K42" s="539">
        <f t="shared" si="12"/>
        <v>48.345540444204168</v>
      </c>
      <c r="L42" s="539">
        <f t="shared" si="12"/>
        <v>0</v>
      </c>
      <c r="M42" s="539">
        <f t="shared" si="12"/>
        <v>0</v>
      </c>
      <c r="N42" s="539">
        <f t="shared" si="12"/>
        <v>0</v>
      </c>
      <c r="O42" s="539">
        <f t="shared" si="12"/>
        <v>272.08557485811468</v>
      </c>
      <c r="P42" s="539">
        <f t="shared" si="12"/>
        <v>534.46501265510437</v>
      </c>
      <c r="Q42" s="539">
        <f t="shared" si="12"/>
        <v>0</v>
      </c>
      <c r="R42" s="539">
        <f t="shared" si="12"/>
        <v>0</v>
      </c>
      <c r="S42" s="539">
        <f t="shared" si="12"/>
        <v>13313.544441212516</v>
      </c>
      <c r="T42" s="66"/>
    </row>
    <row r="43" spans="1:20" ht="15.75" customHeight="1" thickBot="1">
      <c r="A43" s="540"/>
      <c r="B43" s="540"/>
      <c r="C43" s="541"/>
      <c r="D43" s="541"/>
      <c r="E43" s="541"/>
      <c r="F43" s="541"/>
      <c r="G43" s="541"/>
      <c r="H43" s="541"/>
      <c r="I43" s="541"/>
      <c r="J43" s="541"/>
      <c r="K43" s="541"/>
      <c r="L43" s="541"/>
      <c r="M43" s="541"/>
      <c r="N43" s="541"/>
      <c r="O43" s="541"/>
      <c r="P43" s="541"/>
      <c r="Q43" s="541"/>
      <c r="R43" s="541"/>
      <c r="S43" s="541"/>
    </row>
    <row r="44" spans="1:20" ht="75" customHeight="1" thickTop="1" thickBot="1">
      <c r="A44" s="540"/>
      <c r="B44" s="872" t="s">
        <v>649</v>
      </c>
      <c r="C44" s="872" t="s">
        <v>656</v>
      </c>
      <c r="D44" s="541"/>
      <c r="E44" s="541"/>
      <c r="F44" s="541"/>
      <c r="G44" s="541"/>
      <c r="H44" s="541"/>
      <c r="I44" s="541"/>
      <c r="J44" s="541"/>
      <c r="K44" s="541"/>
      <c r="L44" s="541"/>
      <c r="M44" s="541"/>
      <c r="N44" s="541"/>
      <c r="O44" s="541"/>
      <c r="P44" s="541"/>
      <c r="Q44" s="541"/>
      <c r="R44" s="541"/>
      <c r="S44" s="541"/>
    </row>
    <row r="45" spans="1:20" ht="41.25" customHeight="1" thickTop="1" thickBot="1">
      <c r="A45" s="542" t="s">
        <v>651</v>
      </c>
      <c r="B45" s="543">
        <f>'Eigen informatie GS &amp; warmtenet'!B4</f>
        <v>0</v>
      </c>
      <c r="C45" s="543">
        <v>0</v>
      </c>
      <c r="D45" s="380"/>
      <c r="E45" s="545"/>
      <c r="F45" s="544"/>
      <c r="G45" s="544"/>
      <c r="H45" s="544"/>
      <c r="I45" s="544"/>
      <c r="J45" s="544"/>
      <c r="K45" s="544"/>
      <c r="L45" s="544"/>
      <c r="M45" s="544"/>
      <c r="N45" s="544"/>
      <c r="O45" s="544"/>
      <c r="P45" s="544"/>
      <c r="Q45" s="544"/>
      <c r="R45" s="544"/>
      <c r="S45" s="544"/>
    </row>
    <row r="46" spans="1:20" ht="39.6" customHeight="1" thickTop="1" thickBot="1">
      <c r="A46" s="546" t="s">
        <v>650</v>
      </c>
      <c r="B46" s="543">
        <f>'Eigen informatie GS &amp; warmtenet'!B5</f>
        <v>0</v>
      </c>
      <c r="C46" s="543">
        <v>0</v>
      </c>
      <c r="D46" s="380"/>
      <c r="E46" s="547"/>
      <c r="F46" s="547"/>
      <c r="G46" s="547"/>
      <c r="H46" s="548"/>
      <c r="I46" s="549"/>
      <c r="J46" s="549"/>
      <c r="K46" s="549"/>
      <c r="L46" s="549"/>
      <c r="M46" s="549"/>
      <c r="N46" s="549"/>
      <c r="O46" s="549"/>
      <c r="P46" s="549"/>
      <c r="Q46" s="549"/>
      <c r="R46" s="549"/>
      <c r="S46" s="549"/>
    </row>
    <row r="47" spans="1:20" ht="15" thickTop="1">
      <c r="A47" s="1066"/>
      <c r="B47" s="1066"/>
      <c r="C47" s="1066"/>
      <c r="D47" s="550"/>
      <c r="E47" s="549"/>
      <c r="F47" s="549"/>
      <c r="G47" s="549"/>
      <c r="H47" s="549"/>
      <c r="I47" s="549"/>
      <c r="J47" s="549"/>
      <c r="K47" s="549"/>
      <c r="L47" s="549"/>
      <c r="M47" s="549"/>
      <c r="N47" s="549"/>
      <c r="O47" s="549"/>
      <c r="P47" s="549"/>
      <c r="Q47" s="549"/>
      <c r="R47" s="549"/>
      <c r="S47" s="549"/>
    </row>
    <row r="48" spans="1:20" ht="15.75">
      <c r="A48" s="551" t="s">
        <v>204</v>
      </c>
      <c r="B48" s="551"/>
      <c r="C48" s="550"/>
      <c r="D48" s="550"/>
      <c r="E48" s="549"/>
      <c r="F48" s="549"/>
      <c r="G48" s="549"/>
      <c r="H48" s="549"/>
      <c r="I48" s="549"/>
      <c r="J48" s="549"/>
      <c r="K48" s="549"/>
      <c r="L48" s="549"/>
      <c r="M48" s="549"/>
      <c r="N48" s="549"/>
      <c r="O48" s="549"/>
      <c r="P48" s="549"/>
      <c r="Q48" s="549"/>
      <c r="R48" s="549"/>
      <c r="S48" s="549"/>
    </row>
    <row r="49" spans="1:19">
      <c r="A49" s="1043"/>
      <c r="B49" s="1043"/>
      <c r="C49" s="1043"/>
      <c r="D49" s="1043"/>
      <c r="E49" s="1043"/>
      <c r="F49" s="1043"/>
      <c r="G49" s="1043"/>
      <c r="H49" s="1043"/>
      <c r="I49" s="1043"/>
      <c r="J49" s="1043"/>
      <c r="K49" s="1043"/>
      <c r="L49" s="1043"/>
      <c r="M49" s="1043"/>
      <c r="N49" s="1043"/>
      <c r="O49" s="1043"/>
      <c r="P49" s="1043"/>
      <c r="Q49" s="1043"/>
      <c r="R49" s="1043"/>
      <c r="S49" s="1043"/>
    </row>
    <row r="50" spans="1:19" ht="15.75" thickBot="1">
      <c r="A50" s="552"/>
      <c r="B50" s="552"/>
      <c r="C50" s="553"/>
      <c r="D50" s="553"/>
      <c r="E50" s="553"/>
      <c r="F50" s="553"/>
      <c r="G50" s="553"/>
      <c r="H50" s="553"/>
      <c r="I50" s="553"/>
      <c r="J50" s="553"/>
      <c r="K50" s="553"/>
      <c r="L50" s="553"/>
      <c r="M50" s="553"/>
      <c r="N50" s="553"/>
      <c r="O50" s="553"/>
      <c r="P50" s="553"/>
      <c r="Q50" s="553"/>
      <c r="R50" s="553"/>
      <c r="S50" s="553"/>
    </row>
    <row r="51" spans="1:19" ht="17.25" thickTop="1" thickBot="1">
      <c r="A51" s="1095"/>
      <c r="B51" s="644"/>
      <c r="C51" s="1067" t="s">
        <v>299</v>
      </c>
      <c r="D51" s="1068"/>
      <c r="E51" s="1068"/>
      <c r="F51" s="1068"/>
      <c r="G51" s="1068"/>
      <c r="H51" s="1068"/>
      <c r="I51" s="1068"/>
      <c r="J51" s="1068"/>
      <c r="K51" s="1068"/>
      <c r="L51" s="1068"/>
      <c r="M51" s="1068"/>
      <c r="N51" s="1068"/>
      <c r="O51" s="1068"/>
      <c r="P51" s="1068"/>
      <c r="Q51" s="1068"/>
      <c r="R51" s="1068"/>
      <c r="S51" s="1069"/>
    </row>
    <row r="52" spans="1:19" ht="16.5" thickTop="1">
      <c r="A52" s="1096"/>
      <c r="B52" s="645"/>
      <c r="C52" s="1070" t="s">
        <v>20</v>
      </c>
      <c r="D52" s="1072" t="s">
        <v>205</v>
      </c>
      <c r="E52" s="1074" t="s">
        <v>177</v>
      </c>
      <c r="F52" s="1075"/>
      <c r="G52" s="1075"/>
      <c r="H52" s="1075"/>
      <c r="I52" s="1075"/>
      <c r="J52" s="1075"/>
      <c r="K52" s="1075"/>
      <c r="L52" s="1076"/>
      <c r="M52" s="844"/>
      <c r="N52" s="1074" t="s">
        <v>178</v>
      </c>
      <c r="O52" s="1075"/>
      <c r="P52" s="1075"/>
      <c r="Q52" s="1075"/>
      <c r="R52" s="1075"/>
      <c r="S52" s="1044" t="s">
        <v>96</v>
      </c>
    </row>
    <row r="53" spans="1:19" ht="45.75" thickBot="1">
      <c r="A53" s="1096"/>
      <c r="B53" s="645"/>
      <c r="C53" s="1071"/>
      <c r="D53" s="1073"/>
      <c r="E53" s="554" t="s">
        <v>179</v>
      </c>
      <c r="F53" s="554" t="s">
        <v>180</v>
      </c>
      <c r="G53" s="554" t="s">
        <v>181</v>
      </c>
      <c r="H53" s="554" t="s">
        <v>182</v>
      </c>
      <c r="I53" s="554" t="s">
        <v>100</v>
      </c>
      <c r="J53" s="554" t="s">
        <v>183</v>
      </c>
      <c r="K53" s="555" t="s">
        <v>206</v>
      </c>
      <c r="L53" s="555" t="s">
        <v>185</v>
      </c>
      <c r="M53" s="874" t="s">
        <v>652</v>
      </c>
      <c r="N53" s="63" t="s">
        <v>186</v>
      </c>
      <c r="O53" s="64" t="s">
        <v>187</v>
      </c>
      <c r="P53" s="554" t="s">
        <v>207</v>
      </c>
      <c r="Q53" s="554" t="s">
        <v>208</v>
      </c>
      <c r="R53" s="555" t="s">
        <v>190</v>
      </c>
      <c r="S53" s="1046"/>
    </row>
    <row r="54" spans="1:19" ht="17.25" thickTop="1" thickBot="1">
      <c r="A54" s="655" t="s">
        <v>298</v>
      </c>
      <c r="B54" s="656"/>
      <c r="C54" s="556" t="s">
        <v>209</v>
      </c>
      <c r="D54" s="557"/>
      <c r="E54" s="558"/>
      <c r="F54" s="558"/>
      <c r="G54" s="558"/>
      <c r="H54" s="558"/>
      <c r="I54" s="558"/>
      <c r="J54" s="558"/>
      <c r="K54" s="558"/>
      <c r="L54" s="558"/>
      <c r="M54" s="875"/>
      <c r="N54" s="559"/>
      <c r="O54" s="559"/>
      <c r="P54" s="558"/>
      <c r="Q54" s="559"/>
      <c r="R54" s="560"/>
      <c r="S54" s="561"/>
    </row>
    <row r="55" spans="1:19" ht="15" thickTop="1">
      <c r="A55" s="901" t="s">
        <v>197</v>
      </c>
      <c r="B55" s="652"/>
      <c r="C55" s="531">
        <f>SUM(C56:C58)</f>
        <v>15.590386704201192</v>
      </c>
      <c r="D55" s="531">
        <f t="shared" ref="D55:R55" si="13">SUM(D56:D58)</f>
        <v>0</v>
      </c>
      <c r="E55" s="531">
        <f t="shared" si="13"/>
        <v>40.455722198710781</v>
      </c>
      <c r="F55" s="531">
        <f t="shared" si="13"/>
        <v>0</v>
      </c>
      <c r="G55" s="531">
        <f t="shared" si="13"/>
        <v>0</v>
      </c>
      <c r="H55" s="531">
        <f t="shared" si="13"/>
        <v>0</v>
      </c>
      <c r="I55" s="531">
        <f t="shared" si="13"/>
        <v>0</v>
      </c>
      <c r="J55" s="531">
        <f t="shared" si="13"/>
        <v>0</v>
      </c>
      <c r="K55" s="531">
        <f t="shared" si="13"/>
        <v>0</v>
      </c>
      <c r="L55" s="531">
        <f t="shared" si="13"/>
        <v>0</v>
      </c>
      <c r="M55" s="531">
        <f t="shared" si="13"/>
        <v>0</v>
      </c>
      <c r="N55" s="531">
        <f t="shared" si="13"/>
        <v>0</v>
      </c>
      <c r="O55" s="531">
        <f t="shared" si="13"/>
        <v>0</v>
      </c>
      <c r="P55" s="531">
        <f t="shared" si="13"/>
        <v>0</v>
      </c>
      <c r="Q55" s="531">
        <f t="shared" si="13"/>
        <v>0</v>
      </c>
      <c r="R55" s="869">
        <f t="shared" si="13"/>
        <v>0</v>
      </c>
      <c r="S55" s="950">
        <f t="shared" ref="S55:S63" si="14">SUM(C55:R55)</f>
        <v>56.046108902911975</v>
      </c>
    </row>
    <row r="56" spans="1:19">
      <c r="A56" s="899" t="s">
        <v>197</v>
      </c>
      <c r="B56" s="652"/>
      <c r="C56" s="531">
        <f>'Eigen gebouwen'!B10</f>
        <v>5.8803741355509338</v>
      </c>
      <c r="D56" s="531">
        <f>'Eigen gebouwen'!C10</f>
        <v>0</v>
      </c>
      <c r="E56" s="531">
        <f>'Eigen gebouwen'!D10</f>
        <v>40.455722198710781</v>
      </c>
      <c r="F56" s="531">
        <f>'Eigen gebouwen'!E10</f>
        <v>0</v>
      </c>
      <c r="G56" s="531">
        <f>'Eigen gebouwen'!F10</f>
        <v>0</v>
      </c>
      <c r="H56" s="531" t="str">
        <f>'Eigen gebouwen'!G10</f>
        <v>NO</v>
      </c>
      <c r="I56" s="531" t="str">
        <f>'Eigen gebouwen'!H10</f>
        <v>NO</v>
      </c>
      <c r="J56" s="531" t="str">
        <f>'Eigen gebouwen'!I10</f>
        <v>NO</v>
      </c>
      <c r="K56" s="531" t="str">
        <f>'Eigen gebouwen'!J10</f>
        <v>NO</v>
      </c>
      <c r="L56" s="531" t="str">
        <f>'Eigen gebouwen'!K10</f>
        <v>NO</v>
      </c>
      <c r="M56" s="531" t="str">
        <f>'Eigen gebouwen'!L10</f>
        <v>IE</v>
      </c>
      <c r="N56" s="531" t="str">
        <f>'Eigen gebouwen'!M10</f>
        <v>NO</v>
      </c>
      <c r="O56" s="531">
        <f>'Eigen gebouwen'!N10</f>
        <v>0</v>
      </c>
      <c r="P56" s="531">
        <f>'Eigen gebouwen'!O10</f>
        <v>0</v>
      </c>
      <c r="Q56" s="531" t="str">
        <f>'Eigen gebouwen'!P10</f>
        <v>NE</v>
      </c>
      <c r="R56" s="949" t="str">
        <f>'Eigen gebouwen'!Q10</f>
        <v>NE</v>
      </c>
      <c r="S56" s="951">
        <f t="shared" si="14"/>
        <v>46.336096334261711</v>
      </c>
    </row>
    <row r="57" spans="1:19">
      <c r="A57" s="900" t="s">
        <v>410</v>
      </c>
      <c r="B57" s="652"/>
      <c r="C57" s="531">
        <f>'Eigen openbare verlichting'!B10</f>
        <v>9.7100125686502583</v>
      </c>
      <c r="D57" s="531" t="str">
        <f>'Eigen openbare verlichting'!C10</f>
        <v>NO</v>
      </c>
      <c r="E57" s="531" t="str">
        <f>'Eigen openbare verlichting'!D10</f>
        <v>NO</v>
      </c>
      <c r="F57" s="531" t="str">
        <f>'Eigen openbare verlichting'!E10</f>
        <v>NO</v>
      </c>
      <c r="G57" s="531" t="str">
        <f>'Eigen openbare verlichting'!F10</f>
        <v>NO</v>
      </c>
      <c r="H57" s="531" t="str">
        <f>'Eigen openbare verlichting'!G10</f>
        <v>NO</v>
      </c>
      <c r="I57" s="531" t="str">
        <f>'Eigen openbare verlichting'!H10</f>
        <v>NO</v>
      </c>
      <c r="J57" s="531" t="str">
        <f>'Eigen openbare verlichting'!I10</f>
        <v>NO</v>
      </c>
      <c r="K57" s="531" t="str">
        <f>'Eigen openbare verlichting'!J10</f>
        <v>NO</v>
      </c>
      <c r="L57" s="531" t="str">
        <f>'Eigen openbare verlichting'!K10</f>
        <v>NO</v>
      </c>
      <c r="M57" s="531" t="str">
        <f>'Eigen openbare verlichting'!L10</f>
        <v>NO</v>
      </c>
      <c r="N57" s="531" t="str">
        <f>'Eigen openbare verlichting'!M10</f>
        <v>NO</v>
      </c>
      <c r="O57" s="531" t="str">
        <f>'Eigen openbare verlichting'!N10</f>
        <v>NO</v>
      </c>
      <c r="P57" s="531" t="str">
        <f>'Eigen openbare verlichting'!O10</f>
        <v>NO</v>
      </c>
      <c r="Q57" s="531" t="str">
        <f>'Eigen openbare verlichting'!P10</f>
        <v>NO</v>
      </c>
      <c r="R57" s="869" t="str">
        <f>'Eigen openbare verlichting'!Q10</f>
        <v>NO</v>
      </c>
      <c r="S57" s="562">
        <f>SUM(C57:R57)</f>
        <v>9.7100125686502583</v>
      </c>
    </row>
    <row r="58" spans="1:19">
      <c r="A58" s="902" t="s">
        <v>107</v>
      </c>
      <c r="B58" s="898"/>
      <c r="C58" s="868" t="s">
        <v>668</v>
      </c>
      <c r="D58" s="868" t="s">
        <v>668</v>
      </c>
      <c r="E58" s="868" t="s">
        <v>668</v>
      </c>
      <c r="F58" s="868" t="s">
        <v>668</v>
      </c>
      <c r="G58" s="868" t="s">
        <v>668</v>
      </c>
      <c r="H58" s="868" t="s">
        <v>668</v>
      </c>
      <c r="I58" s="868" t="s">
        <v>668</v>
      </c>
      <c r="J58" s="868" t="s">
        <v>668</v>
      </c>
      <c r="K58" s="868" t="s">
        <v>668</v>
      </c>
      <c r="L58" s="868" t="s">
        <v>668</v>
      </c>
      <c r="M58" s="868" t="s">
        <v>668</v>
      </c>
      <c r="N58" s="868" t="s">
        <v>668</v>
      </c>
      <c r="O58" s="868" t="s">
        <v>668</v>
      </c>
      <c r="P58" s="868" t="s">
        <v>668</v>
      </c>
      <c r="Q58" s="868" t="s">
        <v>668</v>
      </c>
      <c r="R58" s="869" t="s">
        <v>668</v>
      </c>
      <c r="S58" s="562" t="s">
        <v>668</v>
      </c>
    </row>
    <row r="59" spans="1:19">
      <c r="A59" s="635" t="s">
        <v>198</v>
      </c>
      <c r="B59" s="898"/>
      <c r="C59" s="868">
        <f>SUM(C60:C61)</f>
        <v>80.355402332235357</v>
      </c>
      <c r="D59" s="868">
        <f t="shared" ref="D59:R59" si="15">SUM(D60:D61)</f>
        <v>0</v>
      </c>
      <c r="E59" s="868">
        <f t="shared" si="15"/>
        <v>103.59182821168925</v>
      </c>
      <c r="F59" s="868">
        <f t="shared" si="15"/>
        <v>0.67537312246276093</v>
      </c>
      <c r="G59" s="868">
        <f t="shared" si="15"/>
        <v>32.586618908962073</v>
      </c>
      <c r="H59" s="868">
        <f t="shared" si="15"/>
        <v>0</v>
      </c>
      <c r="I59" s="868">
        <f t="shared" si="15"/>
        <v>7.3416193402258394E-3</v>
      </c>
      <c r="J59" s="868">
        <f t="shared" si="15"/>
        <v>0</v>
      </c>
      <c r="K59" s="868">
        <f t="shared" si="15"/>
        <v>4.9731200882361011E-4</v>
      </c>
      <c r="L59" s="868">
        <f t="shared" si="15"/>
        <v>0</v>
      </c>
      <c r="M59" s="868">
        <f t="shared" si="15"/>
        <v>0</v>
      </c>
      <c r="N59" s="868">
        <f t="shared" si="15"/>
        <v>0</v>
      </c>
      <c r="O59" s="868">
        <f t="shared" si="15"/>
        <v>0</v>
      </c>
      <c r="P59" s="868">
        <f t="shared" si="15"/>
        <v>0</v>
      </c>
      <c r="Q59" s="868">
        <f t="shared" si="15"/>
        <v>0</v>
      </c>
      <c r="R59" s="869">
        <f t="shared" si="15"/>
        <v>0</v>
      </c>
      <c r="S59" s="562">
        <f t="shared" ref="S59" si="16">SUM(C59:R59)</f>
        <v>217.21706150669849</v>
      </c>
    </row>
    <row r="60" spans="1:19">
      <c r="A60" s="902" t="s">
        <v>643</v>
      </c>
      <c r="B60" s="898"/>
      <c r="C60" s="868" t="s">
        <v>668</v>
      </c>
      <c r="D60" s="868" t="s">
        <v>668</v>
      </c>
      <c r="E60" s="868" t="s">
        <v>668</v>
      </c>
      <c r="F60" s="868" t="s">
        <v>668</v>
      </c>
      <c r="G60" s="868" t="s">
        <v>668</v>
      </c>
      <c r="H60" s="868" t="s">
        <v>668</v>
      </c>
      <c r="I60" s="868" t="s">
        <v>668</v>
      </c>
      <c r="J60" s="868" t="s">
        <v>668</v>
      </c>
      <c r="K60" s="868" t="s">
        <v>668</v>
      </c>
      <c r="L60" s="868" t="s">
        <v>668</v>
      </c>
      <c r="M60" s="868" t="s">
        <v>668</v>
      </c>
      <c r="N60" s="868" t="s">
        <v>668</v>
      </c>
      <c r="O60" s="868" t="s">
        <v>668</v>
      </c>
      <c r="P60" s="868" t="s">
        <v>668</v>
      </c>
      <c r="Q60" s="868" t="s">
        <v>668</v>
      </c>
      <c r="R60" s="869" t="s">
        <v>668</v>
      </c>
      <c r="S60" s="562" t="s">
        <v>668</v>
      </c>
    </row>
    <row r="61" spans="1:19">
      <c r="A61" s="871" t="s">
        <v>107</v>
      </c>
      <c r="B61" s="653"/>
      <c r="C61" s="531">
        <f>tertiair!B21+'openbare verlichting'!B12</f>
        <v>80.355402332235357</v>
      </c>
      <c r="D61" s="531">
        <f>tertiair!C21</f>
        <v>0</v>
      </c>
      <c r="E61" s="531">
        <f>tertiair!D21</f>
        <v>103.59182821168925</v>
      </c>
      <c r="F61" s="531">
        <f>tertiair!E21</f>
        <v>0.67537312246276093</v>
      </c>
      <c r="G61" s="531">
        <f>tertiair!F21</f>
        <v>32.586618908962073</v>
      </c>
      <c r="H61" s="531" t="str">
        <f>tertiair!G21</f>
        <v>NE</v>
      </c>
      <c r="I61" s="531">
        <f>tertiair!H21</f>
        <v>7.3416193402258394E-3</v>
      </c>
      <c r="J61" s="531" t="str">
        <f>tertiair!I21</f>
        <v>NE</v>
      </c>
      <c r="K61" s="531">
        <f>tertiair!J21</f>
        <v>4.9731200882361011E-4</v>
      </c>
      <c r="L61" s="531" t="str">
        <f>tertiair!K21</f>
        <v>NE</v>
      </c>
      <c r="M61" s="531" t="str">
        <f>tertiair!L21</f>
        <v xml:space="preserve">IE </v>
      </c>
      <c r="N61" s="531" t="str">
        <f>tertiair!M21</f>
        <v>IE</v>
      </c>
      <c r="O61" s="531" t="str">
        <f>tertiair!N21</f>
        <v>IE</v>
      </c>
      <c r="P61" s="531">
        <f>tertiair!O21</f>
        <v>0</v>
      </c>
      <c r="Q61" s="531" t="str">
        <f>tertiair!P21</f>
        <v>NE</v>
      </c>
      <c r="R61" s="949" t="str">
        <f>tertiair!Q21</f>
        <v>NE</v>
      </c>
      <c r="S61" s="562">
        <f t="shared" si="14"/>
        <v>217.21706150669849</v>
      </c>
    </row>
    <row r="62" spans="1:19" ht="14.45" customHeight="1">
      <c r="A62" s="647" t="s">
        <v>644</v>
      </c>
      <c r="B62" s="652"/>
      <c r="C62" s="531">
        <f>huishoudens!B13</f>
        <v>237.79365579223932</v>
      </c>
      <c r="D62" s="531">
        <f>huishoudens!C13</f>
        <v>0</v>
      </c>
      <c r="E62" s="531">
        <f>huishoudens!D13</f>
        <v>873.26608011299993</v>
      </c>
      <c r="F62" s="531">
        <f>huishoudens!E13</f>
        <v>11.412245653783529</v>
      </c>
      <c r="G62" s="531">
        <f>huishoudens!F13</f>
        <v>218.11845084937491</v>
      </c>
      <c r="H62" s="531" t="str">
        <f>huishoudens!G13</f>
        <v>NE</v>
      </c>
      <c r="I62" s="531" t="str">
        <f>huishoudens!H13</f>
        <v>NE</v>
      </c>
      <c r="J62" s="531" t="str">
        <f>huishoudens!I13</f>
        <v>NE</v>
      </c>
      <c r="K62" s="531">
        <f>huishoudens!J13</f>
        <v>2.3182601826671214</v>
      </c>
      <c r="L62" s="531" t="str">
        <f>huishoudens!K13</f>
        <v>NE</v>
      </c>
      <c r="M62" s="531">
        <f>huishoudens!L13</f>
        <v>0</v>
      </c>
      <c r="N62" s="531">
        <f>huishoudens!M13</f>
        <v>0</v>
      </c>
      <c r="O62" s="531" t="str">
        <f>huishoudens!N13</f>
        <v>NE</v>
      </c>
      <c r="P62" s="531">
        <f>huishoudens!O13</f>
        <v>0</v>
      </c>
      <c r="Q62" s="531" t="str">
        <f>huishoudens!P13</f>
        <v>NE</v>
      </c>
      <c r="R62" s="949" t="str">
        <f>huishoudens!Q13</f>
        <v>NE</v>
      </c>
      <c r="S62" s="562">
        <f t="shared" si="14"/>
        <v>1342.9086925910647</v>
      </c>
    </row>
    <row r="63" spans="1:19">
      <c r="A63" s="647" t="s">
        <v>496</v>
      </c>
      <c r="B63" s="660" t="s">
        <v>493</v>
      </c>
      <c r="C63" s="531">
        <f>industrie!B23</f>
        <v>4.0959586556002048</v>
      </c>
      <c r="D63" s="531">
        <f>industrie!C23</f>
        <v>0</v>
      </c>
      <c r="E63" s="531">
        <f>industrie!D23</f>
        <v>18.12211453458</v>
      </c>
      <c r="F63" s="531">
        <f>industrie!E23</f>
        <v>9.8009180732491541E-2</v>
      </c>
      <c r="G63" s="531">
        <f>industrie!F23</f>
        <v>4.6632525794855058</v>
      </c>
      <c r="H63" s="531" t="str">
        <f>industrie!G23</f>
        <v>NE</v>
      </c>
      <c r="I63" s="531">
        <f>industrie!H23</f>
        <v>0</v>
      </c>
      <c r="J63" s="531" t="str">
        <f>industrie!I23</f>
        <v>NE</v>
      </c>
      <c r="K63" s="531">
        <f>industrie!J23</f>
        <v>8.4451590420368088E-3</v>
      </c>
      <c r="L63" s="531" t="str">
        <f>industrie!K23</f>
        <v>NE</v>
      </c>
      <c r="M63" s="531" t="str">
        <f>industrie!L23</f>
        <v>IE</v>
      </c>
      <c r="N63" s="531" t="str">
        <f>industrie!M23</f>
        <v>IE</v>
      </c>
      <c r="O63" s="531" t="str">
        <f>industrie!N23</f>
        <v>IE</v>
      </c>
      <c r="P63" s="531">
        <f>industrie!O23</f>
        <v>0</v>
      </c>
      <c r="Q63" s="531" t="str">
        <f>industrie!P23</f>
        <v>NE</v>
      </c>
      <c r="R63" s="949" t="str">
        <f>industrie!Q23</f>
        <v>NE</v>
      </c>
      <c r="S63" s="951">
        <f t="shared" si="14"/>
        <v>26.987780109440241</v>
      </c>
    </row>
    <row r="64" spans="1:19">
      <c r="A64" s="647"/>
      <c r="B64" s="652" t="s">
        <v>494</v>
      </c>
      <c r="C64" s="531" t="s">
        <v>637</v>
      </c>
      <c r="D64" s="531" t="s">
        <v>637</v>
      </c>
      <c r="E64" s="531" t="s">
        <v>637</v>
      </c>
      <c r="F64" s="531" t="s">
        <v>637</v>
      </c>
      <c r="G64" s="531" t="s">
        <v>637</v>
      </c>
      <c r="H64" s="531" t="s">
        <v>637</v>
      </c>
      <c r="I64" s="531" t="s">
        <v>637</v>
      </c>
      <c r="J64" s="531" t="s">
        <v>637</v>
      </c>
      <c r="K64" s="531" t="s">
        <v>637</v>
      </c>
      <c r="L64" s="531" t="s">
        <v>637</v>
      </c>
      <c r="M64" s="531" t="s">
        <v>637</v>
      </c>
      <c r="N64" s="531" t="s">
        <v>637</v>
      </c>
      <c r="O64" s="531" t="s">
        <v>637</v>
      </c>
      <c r="P64" s="531" t="s">
        <v>637</v>
      </c>
      <c r="Q64" s="531" t="s">
        <v>637</v>
      </c>
      <c r="R64" s="869" t="s">
        <v>637</v>
      </c>
      <c r="S64" s="562" t="s">
        <v>637</v>
      </c>
    </row>
    <row r="65" spans="1:19" ht="15" thickBot="1">
      <c r="A65" s="747" t="s">
        <v>536</v>
      </c>
      <c r="B65" s="750"/>
      <c r="C65" s="531" t="s">
        <v>637</v>
      </c>
      <c r="D65" s="531" t="s">
        <v>637</v>
      </c>
      <c r="E65" s="531" t="s">
        <v>637</v>
      </c>
      <c r="F65" s="531" t="s">
        <v>637</v>
      </c>
      <c r="G65" s="531" t="s">
        <v>637</v>
      </c>
      <c r="H65" s="531" t="s">
        <v>637</v>
      </c>
      <c r="I65" s="531" t="s">
        <v>637</v>
      </c>
      <c r="J65" s="531" t="s">
        <v>637</v>
      </c>
      <c r="K65" s="531" t="s">
        <v>637</v>
      </c>
      <c r="L65" s="531" t="s">
        <v>637</v>
      </c>
      <c r="M65" s="531" t="s">
        <v>637</v>
      </c>
      <c r="N65" s="531" t="s">
        <v>637</v>
      </c>
      <c r="O65" s="531" t="s">
        <v>637</v>
      </c>
      <c r="P65" s="531" t="s">
        <v>637</v>
      </c>
      <c r="Q65" s="531" t="s">
        <v>637</v>
      </c>
      <c r="R65" s="869" t="s">
        <v>637</v>
      </c>
      <c r="S65" s="952" t="s">
        <v>637</v>
      </c>
    </row>
    <row r="66" spans="1:19" ht="15.75" thickBot="1">
      <c r="A66" s="648" t="s">
        <v>199</v>
      </c>
      <c r="B66" s="659"/>
      <c r="C66" s="564">
        <f>SUM(C55,C59,C62,C63,C64,C65)</f>
        <v>337.83540348427607</v>
      </c>
      <c r="D66" s="564">
        <f t="shared" ref="D66:E66" si="17">SUM(D55,D59,D62,D63,D64,D65)</f>
        <v>0</v>
      </c>
      <c r="E66" s="564">
        <f t="shared" si="17"/>
        <v>1035.4357450579801</v>
      </c>
      <c r="F66" s="564">
        <f t="shared" ref="F66" si="18">SUM(F55,F59,F62,F63,F64,F65)</f>
        <v>12.185627956978781</v>
      </c>
      <c r="G66" s="564">
        <f t="shared" ref="G66" si="19">SUM(G55,G59,G62,G63,G64,G65)</f>
        <v>255.36832233782249</v>
      </c>
      <c r="H66" s="564">
        <f t="shared" ref="H66" si="20">SUM(H55,H59,H62,H63,H64,H65)</f>
        <v>0</v>
      </c>
      <c r="I66" s="564">
        <f t="shared" ref="I66" si="21">SUM(I55,I59,I62,I63,I64,I65)</f>
        <v>7.3416193402258394E-3</v>
      </c>
      <c r="J66" s="564">
        <f t="shared" ref="J66" si="22">SUM(J55,J59,J62,J63,J64,J65)</f>
        <v>0</v>
      </c>
      <c r="K66" s="564">
        <f t="shared" ref="K66" si="23">SUM(K55,K59,K62,K63,K64,K65)</f>
        <v>2.3272026537179817</v>
      </c>
      <c r="L66" s="564">
        <f t="shared" ref="L66" si="24">SUM(L55,L59,L62,L63,L64,L65)</f>
        <v>0</v>
      </c>
      <c r="M66" s="564">
        <f t="shared" ref="M66" si="25">SUM(M55,M59,M62,M63,M64,M65)</f>
        <v>0</v>
      </c>
      <c r="N66" s="564">
        <f t="shared" ref="N66" si="26">SUM(N55,N59,N62,N63,N64,N65)</f>
        <v>0</v>
      </c>
      <c r="O66" s="564">
        <f t="shared" ref="O66" si="27">SUM(O55,O59,O62,O63,O64,O65)</f>
        <v>0</v>
      </c>
      <c r="P66" s="564">
        <f t="shared" ref="P66" si="28">SUM(P55,P59,P62,P63,P64,P65)</f>
        <v>0</v>
      </c>
      <c r="Q66" s="564">
        <f t="shared" ref="Q66" si="29">SUM(Q55,Q59,Q62,Q63,Q64,Q65)</f>
        <v>0</v>
      </c>
      <c r="R66" s="564">
        <f t="shared" ref="R66" si="30">SUM(R55,R59,R62,R63,R64,R65)</f>
        <v>0</v>
      </c>
      <c r="S66" s="564">
        <f>SUM(C66:R66)</f>
        <v>1643.1596431101154</v>
      </c>
    </row>
    <row r="67" spans="1:19" ht="15.75">
      <c r="A67" s="649" t="s">
        <v>200</v>
      </c>
      <c r="B67" s="657"/>
      <c r="C67" s="556"/>
      <c r="D67" s="557"/>
      <c r="E67" s="557"/>
      <c r="F67" s="557"/>
      <c r="G67" s="557"/>
      <c r="H67" s="557"/>
      <c r="I67" s="557"/>
      <c r="J67" s="557"/>
      <c r="K67" s="557"/>
      <c r="L67" s="557"/>
      <c r="M67" s="567"/>
      <c r="N67" s="567"/>
      <c r="O67" s="567"/>
      <c r="P67" s="557"/>
      <c r="Q67" s="567"/>
      <c r="R67" s="567"/>
      <c r="S67" s="561"/>
    </row>
    <row r="68" spans="1:19">
      <c r="A68" s="647" t="s">
        <v>201</v>
      </c>
      <c r="B68" s="652"/>
      <c r="C68" s="531">
        <f>SUM(C69:C70)</f>
        <v>0</v>
      </c>
      <c r="D68" s="531">
        <f t="shared" ref="D68:R68" si="31">SUM(D69:D70)</f>
        <v>0</v>
      </c>
      <c r="E68" s="531">
        <f t="shared" si="31"/>
        <v>0</v>
      </c>
      <c r="F68" s="531">
        <f t="shared" si="31"/>
        <v>0</v>
      </c>
      <c r="G68" s="531">
        <f t="shared" si="31"/>
        <v>0</v>
      </c>
      <c r="H68" s="531">
        <f t="shared" si="31"/>
        <v>0</v>
      </c>
      <c r="I68" s="531">
        <f t="shared" si="31"/>
        <v>0</v>
      </c>
      <c r="J68" s="531">
        <f t="shared" si="31"/>
        <v>0</v>
      </c>
      <c r="K68" s="531">
        <f t="shared" si="31"/>
        <v>0</v>
      </c>
      <c r="L68" s="531">
        <f t="shared" si="31"/>
        <v>0</v>
      </c>
      <c r="M68" s="531">
        <f t="shared" si="31"/>
        <v>0</v>
      </c>
      <c r="N68" s="531">
        <f t="shared" si="31"/>
        <v>0</v>
      </c>
      <c r="O68" s="531">
        <f t="shared" si="31"/>
        <v>0</v>
      </c>
      <c r="P68" s="531">
        <f t="shared" si="31"/>
        <v>0</v>
      </c>
      <c r="Q68" s="531">
        <f t="shared" si="31"/>
        <v>0</v>
      </c>
      <c r="R68" s="531">
        <f t="shared" si="31"/>
        <v>0</v>
      </c>
      <c r="S68" s="562">
        <f>SUM(C68:R68)</f>
        <v>0</v>
      </c>
    </row>
    <row r="69" spans="1:19">
      <c r="A69" s="900" t="s">
        <v>645</v>
      </c>
      <c r="B69" s="652"/>
      <c r="C69" s="531">
        <f>'Eigen vloot'!B31</f>
        <v>0</v>
      </c>
      <c r="D69" s="531" t="str">
        <f>'Eigen vloot'!C31</f>
        <v>NO</v>
      </c>
      <c r="E69" s="531">
        <f>'Eigen vloot'!D31</f>
        <v>0</v>
      </c>
      <c r="F69" s="531">
        <f>'Eigen vloot'!E31</f>
        <v>0</v>
      </c>
      <c r="G69" s="531" t="str">
        <f>'Eigen vloot'!F31</f>
        <v>NO</v>
      </c>
      <c r="H69" s="531">
        <f>'Eigen vloot'!G31</f>
        <v>0</v>
      </c>
      <c r="I69" s="531">
        <f>'Eigen vloot'!H31</f>
        <v>0</v>
      </c>
      <c r="J69" s="531" t="str">
        <f>'Eigen vloot'!I31</f>
        <v>NO</v>
      </c>
      <c r="K69" s="531" t="str">
        <f>'Eigen vloot'!J31</f>
        <v>NO</v>
      </c>
      <c r="L69" s="531" t="str">
        <f>'Eigen vloot'!K31</f>
        <v>NO</v>
      </c>
      <c r="M69" s="531" t="str">
        <f>'Eigen vloot'!M31</f>
        <v>NO</v>
      </c>
      <c r="N69" s="531">
        <f>'Eigen vloot'!N31</f>
        <v>0</v>
      </c>
      <c r="O69" s="531" t="str">
        <f>'Eigen vloot'!O31</f>
        <v>NO</v>
      </c>
      <c r="P69" s="531" t="str">
        <f>'Eigen vloot'!P31</f>
        <v>NO</v>
      </c>
      <c r="Q69" s="531" t="str">
        <f>'Eigen vloot'!Q31</f>
        <v>NO</v>
      </c>
      <c r="R69" s="531">
        <f>'Eigen vloot'!R31</f>
        <v>0</v>
      </c>
      <c r="S69" s="562">
        <f>SUM(C69:R69)</f>
        <v>0</v>
      </c>
    </row>
    <row r="70" spans="1:19">
      <c r="A70" s="900" t="s">
        <v>107</v>
      </c>
      <c r="B70" s="898"/>
      <c r="C70" s="868" t="s">
        <v>637</v>
      </c>
      <c r="D70" s="868" t="s">
        <v>637</v>
      </c>
      <c r="E70" s="868" t="s">
        <v>637</v>
      </c>
      <c r="F70" s="868" t="s">
        <v>637</v>
      </c>
      <c r="G70" s="868" t="s">
        <v>637</v>
      </c>
      <c r="H70" s="868" t="s">
        <v>637</v>
      </c>
      <c r="I70" s="868" t="s">
        <v>637</v>
      </c>
      <c r="J70" s="868" t="s">
        <v>637</v>
      </c>
      <c r="K70" s="868" t="s">
        <v>637</v>
      </c>
      <c r="L70" s="868" t="s">
        <v>637</v>
      </c>
      <c r="M70" s="868" t="s">
        <v>637</v>
      </c>
      <c r="N70" s="868" t="s">
        <v>637</v>
      </c>
      <c r="O70" s="868" t="s">
        <v>637</v>
      </c>
      <c r="P70" s="868" t="s">
        <v>637</v>
      </c>
      <c r="Q70" s="868" t="s">
        <v>637</v>
      </c>
      <c r="R70" s="868" t="s">
        <v>637</v>
      </c>
      <c r="S70" s="562" t="s">
        <v>637</v>
      </c>
    </row>
    <row r="71" spans="1:19">
      <c r="A71" s="647" t="s">
        <v>202</v>
      </c>
      <c r="B71" s="652"/>
      <c r="C71" s="531">
        <f>SUM(C72:C75)</f>
        <v>0.15411628913866635</v>
      </c>
      <c r="D71" s="531">
        <f t="shared" ref="D71:R71" si="32">SUM(D72:D75)</f>
        <v>0</v>
      </c>
      <c r="E71" s="531">
        <f t="shared" si="32"/>
        <v>0</v>
      </c>
      <c r="F71" s="531">
        <f t="shared" si="32"/>
        <v>0</v>
      </c>
      <c r="G71" s="531">
        <f t="shared" si="32"/>
        <v>0</v>
      </c>
      <c r="H71" s="531">
        <f t="shared" si="32"/>
        <v>9.548829809732867</v>
      </c>
      <c r="I71" s="531">
        <f t="shared" si="32"/>
        <v>0</v>
      </c>
      <c r="J71" s="531">
        <f t="shared" si="32"/>
        <v>0</v>
      </c>
      <c r="K71" s="531">
        <f t="shared" si="32"/>
        <v>0</v>
      </c>
      <c r="L71" s="531">
        <f t="shared" si="32"/>
        <v>0</v>
      </c>
      <c r="M71" s="531">
        <f t="shared" si="32"/>
        <v>0</v>
      </c>
      <c r="N71" s="531">
        <f t="shared" si="32"/>
        <v>0</v>
      </c>
      <c r="O71" s="531">
        <f t="shared" si="32"/>
        <v>0</v>
      </c>
      <c r="P71" s="531">
        <f t="shared" si="32"/>
        <v>0</v>
      </c>
      <c r="Q71" s="531">
        <f t="shared" si="32"/>
        <v>0</v>
      </c>
      <c r="R71" s="531">
        <f t="shared" si="32"/>
        <v>0</v>
      </c>
      <c r="S71" s="562">
        <f>SUM(C71:R71)</f>
        <v>9.7029460988715339</v>
      </c>
    </row>
    <row r="72" spans="1:19">
      <c r="A72" s="904" t="s">
        <v>645</v>
      </c>
      <c r="B72" s="903"/>
      <c r="C72" s="876">
        <f>transport!B51*transport!B56*10^9/3600</f>
        <v>0.15411628913866635</v>
      </c>
      <c r="D72" s="876">
        <f>transport!C51*transport!C56*10^9/3600</f>
        <v>0</v>
      </c>
      <c r="E72" s="876">
        <f>transport!D51*transport!D56*10^9/3600</f>
        <v>0</v>
      </c>
      <c r="F72" s="876">
        <f>transport!E51*transport!E56*10^9/3600</f>
        <v>0</v>
      </c>
      <c r="G72" s="876">
        <f>transport!F51*transport!F56*10^9/3600</f>
        <v>0</v>
      </c>
      <c r="H72" s="876">
        <f>transport!G51*transport!G56*10^9/3600</f>
        <v>9.548829809732867</v>
      </c>
      <c r="I72" s="876">
        <f>transport!H51*transport!H56*10^9/3600</f>
        <v>0</v>
      </c>
      <c r="J72" s="876">
        <f>transport!I51*transport!I56*10^9/3600</f>
        <v>0</v>
      </c>
      <c r="K72" s="876">
        <f>transport!J51*transport!J56*10^9/3600</f>
        <v>0</v>
      </c>
      <c r="L72" s="876">
        <f>transport!K51*transport!K56*10^9/3600</f>
        <v>0</v>
      </c>
      <c r="M72" s="876">
        <f>transport!L51*transport!L56*10^9/3600</f>
        <v>0</v>
      </c>
      <c r="N72" s="876">
        <f>transport!M51*transport!M56*10^9/3600</f>
        <v>0</v>
      </c>
      <c r="O72" s="876">
        <f>transport!N51*transport!N56*10^9/3600</f>
        <v>0</v>
      </c>
      <c r="P72" s="876">
        <f>transport!O51*transport!O56*10^9/3600</f>
        <v>0</v>
      </c>
      <c r="Q72" s="876">
        <f>transport!P51*transport!P56*10^9/3600</f>
        <v>0</v>
      </c>
      <c r="R72" s="876">
        <f>transport!Q51*transport!Q56*10^9/3600</f>
        <v>0</v>
      </c>
      <c r="S72" s="562">
        <f t="shared" ref="S72:S73" si="33">SUM(C72:R72)</f>
        <v>9.7029460988715339</v>
      </c>
    </row>
    <row r="73" spans="1:19">
      <c r="A73" s="904" t="s">
        <v>646</v>
      </c>
      <c r="B73" s="903"/>
      <c r="C73" s="876">
        <f>transport!B52*transport!B56*10^9/3600</f>
        <v>0</v>
      </c>
      <c r="D73" s="876">
        <f>transport!C52*transport!C56*10^9/3600</f>
        <v>0</v>
      </c>
      <c r="E73" s="876">
        <f>transport!D52*transport!D56*10^9/3600</f>
        <v>0</v>
      </c>
      <c r="F73" s="876">
        <f>transport!E52*transport!E56*10^9/3600</f>
        <v>0</v>
      </c>
      <c r="G73" s="876">
        <f>transport!F52*transport!F56*10^9/3600</f>
        <v>0</v>
      </c>
      <c r="H73" s="876">
        <f>transport!G52*transport!G56*10^9/3600</f>
        <v>0</v>
      </c>
      <c r="I73" s="876">
        <f>transport!H52*transport!H56*10^9/3600</f>
        <v>0</v>
      </c>
      <c r="J73" s="876">
        <f>transport!I52*transport!I56*10^9/3600</f>
        <v>0</v>
      </c>
      <c r="K73" s="876">
        <f>transport!J52*transport!J56*10^9/3600</f>
        <v>0</v>
      </c>
      <c r="L73" s="876">
        <f>transport!K52*transport!K56*10^9/3600</f>
        <v>0</v>
      </c>
      <c r="M73" s="876">
        <f>transport!L52*transport!L56*10^9/3600</f>
        <v>0</v>
      </c>
      <c r="N73" s="876">
        <f>transport!M52*transport!M56*10^9/3600</f>
        <v>0</v>
      </c>
      <c r="O73" s="876">
        <f>transport!N52*transport!N56*10^9/3600</f>
        <v>0</v>
      </c>
      <c r="P73" s="876">
        <f>transport!O52*transport!O56*10^9/3600</f>
        <v>0</v>
      </c>
      <c r="Q73" s="876">
        <f>transport!P52*transport!P56*10^9/3600</f>
        <v>0</v>
      </c>
      <c r="R73" s="876">
        <f>transport!Q52*transport!Q56*10^9/3600</f>
        <v>0</v>
      </c>
      <c r="S73" s="562">
        <f t="shared" si="33"/>
        <v>0</v>
      </c>
    </row>
    <row r="74" spans="1:19">
      <c r="A74" s="904" t="s">
        <v>647</v>
      </c>
      <c r="B74" s="903"/>
      <c r="C74" s="876" t="s">
        <v>637</v>
      </c>
      <c r="D74" s="876" t="s">
        <v>637</v>
      </c>
      <c r="E74" s="876" t="s">
        <v>637</v>
      </c>
      <c r="F74" s="876" t="s">
        <v>637</v>
      </c>
      <c r="G74" s="876" t="s">
        <v>637</v>
      </c>
      <c r="H74" s="876" t="s">
        <v>637</v>
      </c>
      <c r="I74" s="876" t="s">
        <v>637</v>
      </c>
      <c r="J74" s="876" t="s">
        <v>637</v>
      </c>
      <c r="K74" s="876" t="s">
        <v>637</v>
      </c>
      <c r="L74" s="876" t="s">
        <v>637</v>
      </c>
      <c r="M74" s="876" t="s">
        <v>637</v>
      </c>
      <c r="N74" s="876" t="s">
        <v>637</v>
      </c>
      <c r="O74" s="876" t="s">
        <v>637</v>
      </c>
      <c r="P74" s="876" t="s">
        <v>637</v>
      </c>
      <c r="Q74" s="876" t="s">
        <v>637</v>
      </c>
      <c r="R74" s="876" t="s">
        <v>637</v>
      </c>
      <c r="S74" s="562" t="s">
        <v>637</v>
      </c>
    </row>
    <row r="75" spans="1:19">
      <c r="A75" s="904" t="s">
        <v>107</v>
      </c>
      <c r="B75" s="903"/>
      <c r="C75" s="876" t="s">
        <v>637</v>
      </c>
      <c r="D75" s="876" t="s">
        <v>637</v>
      </c>
      <c r="E75" s="876" t="s">
        <v>637</v>
      </c>
      <c r="F75" s="876" t="s">
        <v>637</v>
      </c>
      <c r="G75" s="876" t="s">
        <v>637</v>
      </c>
      <c r="H75" s="876" t="s">
        <v>637</v>
      </c>
      <c r="I75" s="876" t="s">
        <v>637</v>
      </c>
      <c r="J75" s="876" t="s">
        <v>637</v>
      </c>
      <c r="K75" s="876" t="s">
        <v>637</v>
      </c>
      <c r="L75" s="876" t="s">
        <v>637</v>
      </c>
      <c r="M75" s="876" t="s">
        <v>637</v>
      </c>
      <c r="N75" s="876" t="s">
        <v>637</v>
      </c>
      <c r="O75" s="876" t="s">
        <v>637</v>
      </c>
      <c r="P75" s="876" t="s">
        <v>637</v>
      </c>
      <c r="Q75" s="876" t="s">
        <v>637</v>
      </c>
      <c r="R75" s="876" t="s">
        <v>637</v>
      </c>
      <c r="S75" s="562" t="s">
        <v>637</v>
      </c>
    </row>
    <row r="76" spans="1:19">
      <c r="A76" s="650" t="s">
        <v>263</v>
      </c>
      <c r="B76" s="903"/>
      <c r="C76" s="876">
        <f>SUM(C77:C81)</f>
        <v>7.523943101408733</v>
      </c>
      <c r="D76" s="876">
        <f t="shared" ref="D76:R76" si="34">SUM(D77:D81)</f>
        <v>0</v>
      </c>
      <c r="E76" s="876">
        <f t="shared" si="34"/>
        <v>2.281253157368837</v>
      </c>
      <c r="F76" s="876">
        <f t="shared" si="34"/>
        <v>1.1956988475756798</v>
      </c>
      <c r="G76" s="876">
        <f t="shared" si="34"/>
        <v>0</v>
      </c>
      <c r="H76" s="876">
        <f t="shared" si="34"/>
        <v>449.58549570081692</v>
      </c>
      <c r="I76" s="876">
        <f t="shared" si="34"/>
        <v>205.11274469967603</v>
      </c>
      <c r="J76" s="876">
        <f t="shared" si="34"/>
        <v>0</v>
      </c>
      <c r="K76" s="876">
        <f t="shared" si="34"/>
        <v>0</v>
      </c>
      <c r="L76" s="876">
        <f t="shared" si="34"/>
        <v>0</v>
      </c>
      <c r="M76" s="876">
        <f t="shared" si="34"/>
        <v>0</v>
      </c>
      <c r="N76" s="876">
        <f t="shared" si="34"/>
        <v>0</v>
      </c>
      <c r="O76" s="876">
        <f t="shared" si="34"/>
        <v>0</v>
      </c>
      <c r="P76" s="876">
        <f t="shared" si="34"/>
        <v>0</v>
      </c>
      <c r="Q76" s="876">
        <f t="shared" si="34"/>
        <v>0</v>
      </c>
      <c r="R76" s="876">
        <f t="shared" si="34"/>
        <v>0</v>
      </c>
      <c r="S76" s="563">
        <f>SUM(C76:R76)</f>
        <v>665.69913550684623</v>
      </c>
    </row>
    <row r="77" spans="1:19">
      <c r="A77" s="905" t="s">
        <v>645</v>
      </c>
      <c r="B77" s="658"/>
      <c r="C77" s="536">
        <f>transport!B18</f>
        <v>7.523943101408733</v>
      </c>
      <c r="D77" s="536" t="str">
        <f>transport!C18</f>
        <v>NO</v>
      </c>
      <c r="E77" s="536">
        <f>transport!D18</f>
        <v>2.281253157368837</v>
      </c>
      <c r="F77" s="536">
        <f>transport!E18</f>
        <v>1.1956988475756798</v>
      </c>
      <c r="G77" s="536" t="str">
        <f>transport!F18</f>
        <v>NO</v>
      </c>
      <c r="H77" s="536">
        <f>transport!G18</f>
        <v>449.58549570081692</v>
      </c>
      <c r="I77" s="536">
        <f>transport!H18</f>
        <v>205.11274469967603</v>
      </c>
      <c r="J77" s="536" t="str">
        <f>transport!I18</f>
        <v>NO</v>
      </c>
      <c r="K77" s="536" t="str">
        <f>transport!J18</f>
        <v>NO</v>
      </c>
      <c r="L77" s="536" t="str">
        <f>transport!K18</f>
        <v>NO</v>
      </c>
      <c r="M77" s="536" t="str">
        <f>transport!L18</f>
        <v>NO</v>
      </c>
      <c r="N77" s="536" t="str">
        <f>transport!M18</f>
        <v>NO</v>
      </c>
      <c r="O77" s="536">
        <f>transport!N18</f>
        <v>0</v>
      </c>
      <c r="P77" s="536" t="str">
        <f>transport!O18</f>
        <v>NO</v>
      </c>
      <c r="Q77" s="536" t="str">
        <f>transport!P18</f>
        <v>NO</v>
      </c>
      <c r="R77" s="536" t="str">
        <f>transport!Q18</f>
        <v>NO</v>
      </c>
      <c r="S77" s="563">
        <f>SUM(C77:R77)</f>
        <v>665.69913550684623</v>
      </c>
    </row>
    <row r="78" spans="1:19">
      <c r="A78" s="904" t="s">
        <v>646</v>
      </c>
      <c r="B78" s="903"/>
      <c r="C78" s="876" t="s">
        <v>637</v>
      </c>
      <c r="D78" s="876" t="s">
        <v>637</v>
      </c>
      <c r="E78" s="876" t="s">
        <v>637</v>
      </c>
      <c r="F78" s="876" t="s">
        <v>637</v>
      </c>
      <c r="G78" s="876" t="s">
        <v>637</v>
      </c>
      <c r="H78" s="876" t="s">
        <v>637</v>
      </c>
      <c r="I78" s="876" t="s">
        <v>637</v>
      </c>
      <c r="J78" s="876" t="s">
        <v>637</v>
      </c>
      <c r="K78" s="876" t="s">
        <v>637</v>
      </c>
      <c r="L78" s="876" t="s">
        <v>637</v>
      </c>
      <c r="M78" s="876" t="s">
        <v>637</v>
      </c>
      <c r="N78" s="876" t="s">
        <v>637</v>
      </c>
      <c r="O78" s="876" t="s">
        <v>637</v>
      </c>
      <c r="P78" s="876" t="s">
        <v>637</v>
      </c>
      <c r="Q78" s="876" t="s">
        <v>637</v>
      </c>
      <c r="R78" s="876" t="s">
        <v>637</v>
      </c>
      <c r="S78" s="563" t="s">
        <v>637</v>
      </c>
    </row>
    <row r="79" spans="1:19">
      <c r="A79" s="904" t="s">
        <v>647</v>
      </c>
      <c r="B79" s="903"/>
      <c r="C79" s="876" t="s">
        <v>637</v>
      </c>
      <c r="D79" s="876" t="s">
        <v>637</v>
      </c>
      <c r="E79" s="876" t="s">
        <v>637</v>
      </c>
      <c r="F79" s="876" t="s">
        <v>637</v>
      </c>
      <c r="G79" s="876" t="s">
        <v>637</v>
      </c>
      <c r="H79" s="876" t="s">
        <v>637</v>
      </c>
      <c r="I79" s="876" t="s">
        <v>637</v>
      </c>
      <c r="J79" s="876" t="s">
        <v>637</v>
      </c>
      <c r="K79" s="876" t="s">
        <v>637</v>
      </c>
      <c r="L79" s="876" t="s">
        <v>637</v>
      </c>
      <c r="M79" s="876" t="s">
        <v>637</v>
      </c>
      <c r="N79" s="876" t="s">
        <v>637</v>
      </c>
      <c r="O79" s="876" t="s">
        <v>637</v>
      </c>
      <c r="P79" s="876" t="s">
        <v>637</v>
      </c>
      <c r="Q79" s="876" t="s">
        <v>637</v>
      </c>
      <c r="R79" s="876" t="s">
        <v>637</v>
      </c>
      <c r="S79" s="563" t="s">
        <v>637</v>
      </c>
    </row>
    <row r="80" spans="1:19">
      <c r="A80" s="904" t="s">
        <v>648</v>
      </c>
      <c r="B80" s="903"/>
      <c r="C80" s="876" t="s">
        <v>637</v>
      </c>
      <c r="D80" s="876" t="s">
        <v>637</v>
      </c>
      <c r="E80" s="876" t="s">
        <v>637</v>
      </c>
      <c r="F80" s="876" t="s">
        <v>637</v>
      </c>
      <c r="G80" s="876" t="s">
        <v>637</v>
      </c>
      <c r="H80" s="876" t="s">
        <v>637</v>
      </c>
      <c r="I80" s="876" t="s">
        <v>637</v>
      </c>
      <c r="J80" s="876" t="s">
        <v>637</v>
      </c>
      <c r="K80" s="876" t="s">
        <v>637</v>
      </c>
      <c r="L80" s="876" t="s">
        <v>637</v>
      </c>
      <c r="M80" s="876" t="s">
        <v>637</v>
      </c>
      <c r="N80" s="876" t="s">
        <v>637</v>
      </c>
      <c r="O80" s="876" t="s">
        <v>637</v>
      </c>
      <c r="P80" s="876" t="s">
        <v>637</v>
      </c>
      <c r="Q80" s="876" t="s">
        <v>637</v>
      </c>
      <c r="R80" s="876" t="s">
        <v>637</v>
      </c>
      <c r="S80" s="563" t="s">
        <v>637</v>
      </c>
    </row>
    <row r="81" spans="1:20">
      <c r="A81" s="904" t="s">
        <v>107</v>
      </c>
      <c r="B81" s="903"/>
      <c r="C81" s="876" t="s">
        <v>637</v>
      </c>
      <c r="D81" s="876" t="s">
        <v>637</v>
      </c>
      <c r="E81" s="876" t="s">
        <v>637</v>
      </c>
      <c r="F81" s="876" t="s">
        <v>637</v>
      </c>
      <c r="G81" s="876" t="s">
        <v>637</v>
      </c>
      <c r="H81" s="876" t="s">
        <v>637</v>
      </c>
      <c r="I81" s="876" t="s">
        <v>637</v>
      </c>
      <c r="J81" s="876" t="s">
        <v>637</v>
      </c>
      <c r="K81" s="876" t="s">
        <v>637</v>
      </c>
      <c r="L81" s="876" t="s">
        <v>637</v>
      </c>
      <c r="M81" s="876" t="s">
        <v>637</v>
      </c>
      <c r="N81" s="876" t="s">
        <v>637</v>
      </c>
      <c r="O81" s="876" t="s">
        <v>637</v>
      </c>
      <c r="P81" s="876" t="s">
        <v>637</v>
      </c>
      <c r="Q81" s="876" t="s">
        <v>637</v>
      </c>
      <c r="R81" s="876" t="s">
        <v>637</v>
      </c>
      <c r="S81" s="563" t="s">
        <v>637</v>
      </c>
    </row>
    <row r="82" spans="1:20" ht="15" thickBot="1">
      <c r="A82" s="647" t="s">
        <v>539</v>
      </c>
      <c r="B82" s="652"/>
      <c r="C82" s="531" t="s">
        <v>637</v>
      </c>
      <c r="D82" s="531" t="s">
        <v>637</v>
      </c>
      <c r="E82" s="531" t="s">
        <v>637</v>
      </c>
      <c r="F82" s="531" t="s">
        <v>637</v>
      </c>
      <c r="G82" s="531" t="s">
        <v>637</v>
      </c>
      <c r="H82" s="531" t="s">
        <v>637</v>
      </c>
      <c r="I82" s="531" t="s">
        <v>637</v>
      </c>
      <c r="J82" s="531" t="s">
        <v>637</v>
      </c>
      <c r="K82" s="531" t="s">
        <v>637</v>
      </c>
      <c r="L82" s="531" t="s">
        <v>637</v>
      </c>
      <c r="M82" s="531" t="s">
        <v>637</v>
      </c>
      <c r="N82" s="531" t="s">
        <v>637</v>
      </c>
      <c r="O82" s="531" t="s">
        <v>637</v>
      </c>
      <c r="P82" s="531" t="s">
        <v>637</v>
      </c>
      <c r="Q82" s="531" t="s">
        <v>637</v>
      </c>
      <c r="R82" s="531" t="s">
        <v>637</v>
      </c>
      <c r="S82" s="563" t="s">
        <v>637</v>
      </c>
    </row>
    <row r="83" spans="1:20" ht="15.75" thickBot="1">
      <c r="A83" s="648" t="s">
        <v>203</v>
      </c>
      <c r="B83" s="659"/>
      <c r="C83" s="564">
        <f>SUM(C68,C71,C76,C82)</f>
        <v>7.6780593905473991</v>
      </c>
      <c r="D83" s="564">
        <f t="shared" ref="D83:R83" si="35">SUM(D68,D71,D76,D82)</f>
        <v>0</v>
      </c>
      <c r="E83" s="564">
        <f t="shared" si="35"/>
        <v>2.281253157368837</v>
      </c>
      <c r="F83" s="564">
        <f t="shared" si="35"/>
        <v>1.1956988475756798</v>
      </c>
      <c r="G83" s="564">
        <f t="shared" si="35"/>
        <v>0</v>
      </c>
      <c r="H83" s="564">
        <f t="shared" si="35"/>
        <v>459.13432551054979</v>
      </c>
      <c r="I83" s="564">
        <f t="shared" si="35"/>
        <v>205.11274469967603</v>
      </c>
      <c r="J83" s="564">
        <f t="shared" si="35"/>
        <v>0</v>
      </c>
      <c r="K83" s="564">
        <f t="shared" si="35"/>
        <v>0</v>
      </c>
      <c r="L83" s="564">
        <f t="shared" si="35"/>
        <v>0</v>
      </c>
      <c r="M83" s="564">
        <f t="shared" si="35"/>
        <v>0</v>
      </c>
      <c r="N83" s="564">
        <f t="shared" si="35"/>
        <v>0</v>
      </c>
      <c r="O83" s="564">
        <f t="shared" si="35"/>
        <v>0</v>
      </c>
      <c r="P83" s="564">
        <f t="shared" si="35"/>
        <v>0</v>
      </c>
      <c r="Q83" s="564">
        <f t="shared" si="35"/>
        <v>0</v>
      </c>
      <c r="R83" s="564">
        <f t="shared" si="35"/>
        <v>0</v>
      </c>
      <c r="S83" s="564">
        <f>SUM(C82:R83)</f>
        <v>675.40208160571774</v>
      </c>
    </row>
    <row r="84" spans="1:20" ht="15.75">
      <c r="A84" s="649" t="s">
        <v>210</v>
      </c>
      <c r="B84" s="629"/>
      <c r="C84" s="556"/>
      <c r="D84" s="557"/>
      <c r="E84" s="557"/>
      <c r="F84" s="557"/>
      <c r="G84" s="557"/>
      <c r="H84" s="557"/>
      <c r="I84" s="557"/>
      <c r="J84" s="557"/>
      <c r="K84" s="557"/>
      <c r="L84" s="557"/>
      <c r="M84" s="567"/>
      <c r="N84" s="567"/>
      <c r="O84" s="567"/>
      <c r="P84" s="557"/>
      <c r="Q84" s="567"/>
      <c r="R84" s="567"/>
      <c r="S84" s="561"/>
    </row>
    <row r="85" spans="1:20">
      <c r="A85" s="650" t="s">
        <v>491</v>
      </c>
      <c r="B85" s="658"/>
      <c r="C85" s="536">
        <f>+landbouw!B13</f>
        <v>59.965581113170572</v>
      </c>
      <c r="D85" s="536">
        <f>+landbouw!C13</f>
        <v>0</v>
      </c>
      <c r="E85" s="536">
        <f>+landbouw!D13</f>
        <v>0</v>
      </c>
      <c r="F85" s="536">
        <f>+landbouw!E13</f>
        <v>2.9450472920956425</v>
      </c>
      <c r="G85" s="536">
        <f>+landbouw!F13</f>
        <v>350.67672493955655</v>
      </c>
      <c r="H85" s="536" t="str">
        <f>+landbouw!G13</f>
        <v>NE</v>
      </c>
      <c r="I85" s="536" t="str">
        <f>+landbouw!H13</f>
        <v>NE</v>
      </c>
      <c r="J85" s="536" t="str">
        <f>+landbouw!I13</f>
        <v>NE</v>
      </c>
      <c r="K85" s="536">
        <f>+landbouw!J13</f>
        <v>14.787118663530293</v>
      </c>
      <c r="L85" s="536" t="str">
        <f>+landbouw!K13</f>
        <v>NE</v>
      </c>
      <c r="M85" s="536" t="str">
        <f>+landbouw!L13</f>
        <v>IE</v>
      </c>
      <c r="N85" s="536" t="str">
        <f>+landbouw!M13</f>
        <v>IE</v>
      </c>
      <c r="O85" s="536" t="str">
        <f>+landbouw!N13</f>
        <v>IE</v>
      </c>
      <c r="P85" s="536">
        <f>+landbouw!O13</f>
        <v>0</v>
      </c>
      <c r="Q85" s="536" t="str">
        <f>+landbouw!P13</f>
        <v>NE</v>
      </c>
      <c r="R85" s="536" t="str">
        <f>+landbouw!Q13</f>
        <v>NE</v>
      </c>
      <c r="S85" s="563">
        <f>SUM(C85:R85)</f>
        <v>428.37447200835305</v>
      </c>
    </row>
    <row r="86" spans="1:20" ht="15" thickBot="1">
      <c r="A86" s="650" t="s">
        <v>537</v>
      </c>
      <c r="B86" s="658"/>
      <c r="C86" s="536">
        <f>C40*'EF ele_warmte'!B13</f>
        <v>7.4634878719314024</v>
      </c>
      <c r="D86" s="536" t="s">
        <v>637</v>
      </c>
      <c r="E86" s="536">
        <f>E40*EF_CO2_aardgas</f>
        <v>10.2629938</v>
      </c>
      <c r="F86" s="536" t="s">
        <v>637</v>
      </c>
      <c r="G86" s="536" t="s">
        <v>637</v>
      </c>
      <c r="H86" s="536" t="s">
        <v>637</v>
      </c>
      <c r="I86" s="536" t="s">
        <v>637</v>
      </c>
      <c r="J86" s="536" t="s">
        <v>637</v>
      </c>
      <c r="K86" s="536" t="s">
        <v>637</v>
      </c>
      <c r="L86" s="536" t="s">
        <v>637</v>
      </c>
      <c r="M86" s="536" t="s">
        <v>637</v>
      </c>
      <c r="N86" s="536" t="s">
        <v>637</v>
      </c>
      <c r="O86" s="536" t="s">
        <v>637</v>
      </c>
      <c r="P86" s="536" t="s">
        <v>637</v>
      </c>
      <c r="Q86" s="536" t="s">
        <v>637</v>
      </c>
      <c r="R86" s="536" t="s">
        <v>637</v>
      </c>
      <c r="S86" s="563">
        <f>SUM(C86:R86)</f>
        <v>17.726481671931403</v>
      </c>
    </row>
    <row r="87" spans="1:20" ht="15.75" thickBot="1">
      <c r="A87" s="648" t="s">
        <v>538</v>
      </c>
      <c r="B87" s="659"/>
      <c r="C87" s="564">
        <f>SUM(C85:C86)</f>
        <v>67.429068985101978</v>
      </c>
      <c r="D87" s="564">
        <f t="shared" ref="D87:R87" si="36">SUM(D85:D86)</f>
        <v>0</v>
      </c>
      <c r="E87" s="564">
        <f t="shared" si="36"/>
        <v>10.2629938</v>
      </c>
      <c r="F87" s="564">
        <f t="shared" si="36"/>
        <v>2.9450472920956425</v>
      </c>
      <c r="G87" s="564">
        <f t="shared" si="36"/>
        <v>350.67672493955655</v>
      </c>
      <c r="H87" s="564">
        <f t="shared" si="36"/>
        <v>0</v>
      </c>
      <c r="I87" s="564">
        <f t="shared" si="36"/>
        <v>0</v>
      </c>
      <c r="J87" s="564">
        <f t="shared" si="36"/>
        <v>0</v>
      </c>
      <c r="K87" s="564">
        <f t="shared" si="36"/>
        <v>14.787118663530293</v>
      </c>
      <c r="L87" s="564">
        <f t="shared" si="36"/>
        <v>0</v>
      </c>
      <c r="M87" s="564">
        <f t="shared" si="36"/>
        <v>0</v>
      </c>
      <c r="N87" s="564">
        <f t="shared" si="36"/>
        <v>0</v>
      </c>
      <c r="O87" s="564">
        <f t="shared" si="36"/>
        <v>0</v>
      </c>
      <c r="P87" s="564">
        <f t="shared" si="36"/>
        <v>0</v>
      </c>
      <c r="Q87" s="564">
        <f t="shared" si="36"/>
        <v>0</v>
      </c>
      <c r="R87" s="565">
        <f t="shared" si="36"/>
        <v>0</v>
      </c>
      <c r="S87" s="566">
        <f>SUM(S85:S86)</f>
        <v>446.10095368028448</v>
      </c>
    </row>
    <row r="88" spans="1:20" ht="16.5" thickBot="1">
      <c r="A88" s="661" t="s">
        <v>96</v>
      </c>
      <c r="B88" s="662"/>
      <c r="C88" s="569">
        <f t="shared" ref="C88:S88" si="37">C66+C83+C87</f>
        <v>412.94253185992545</v>
      </c>
      <c r="D88" s="569">
        <f t="shared" si="37"/>
        <v>0</v>
      </c>
      <c r="E88" s="569">
        <f t="shared" si="37"/>
        <v>1047.9799920153489</v>
      </c>
      <c r="F88" s="569">
        <f t="shared" si="37"/>
        <v>16.326374096650103</v>
      </c>
      <c r="G88" s="569">
        <f t="shared" si="37"/>
        <v>606.04504727737901</v>
      </c>
      <c r="H88" s="569">
        <f t="shared" si="37"/>
        <v>459.13432551054979</v>
      </c>
      <c r="I88" s="569">
        <f t="shared" si="37"/>
        <v>205.12008631901625</v>
      </c>
      <c r="J88" s="569">
        <f t="shared" si="37"/>
        <v>0</v>
      </c>
      <c r="K88" s="569">
        <f t="shared" si="37"/>
        <v>17.114321317248276</v>
      </c>
      <c r="L88" s="569">
        <f t="shared" si="37"/>
        <v>0</v>
      </c>
      <c r="M88" s="569">
        <f t="shared" si="37"/>
        <v>0</v>
      </c>
      <c r="N88" s="569">
        <f t="shared" si="37"/>
        <v>0</v>
      </c>
      <c r="O88" s="569">
        <f t="shared" si="37"/>
        <v>0</v>
      </c>
      <c r="P88" s="569">
        <f t="shared" si="37"/>
        <v>0</v>
      </c>
      <c r="Q88" s="569">
        <f t="shared" si="37"/>
        <v>0</v>
      </c>
      <c r="R88" s="569">
        <f t="shared" si="37"/>
        <v>0</v>
      </c>
      <c r="S88" s="569">
        <f t="shared" si="37"/>
        <v>2764.6626783961178</v>
      </c>
    </row>
    <row r="89" spans="1:20" ht="15.75" thickTop="1" thickBot="1">
      <c r="A89" s="622"/>
      <c r="B89" s="622"/>
      <c r="C89" s="571"/>
      <c r="D89" s="571"/>
      <c r="E89" s="572"/>
      <c r="F89" s="572"/>
      <c r="G89" s="572"/>
      <c r="H89" s="572"/>
      <c r="I89" s="572"/>
      <c r="J89" s="572"/>
      <c r="K89" s="572"/>
      <c r="L89" s="572"/>
      <c r="M89" s="572"/>
      <c r="N89" s="572"/>
      <c r="O89" s="572"/>
      <c r="P89" s="572"/>
      <c r="Q89" s="572"/>
      <c r="R89" s="572"/>
      <c r="S89" s="572"/>
    </row>
    <row r="90" spans="1:20" ht="20.25" thickTop="1" thickBot="1">
      <c r="A90" s="573" t="s">
        <v>300</v>
      </c>
      <c r="B90" s="646"/>
      <c r="C90" s="896">
        <f t="shared" ref="C90:R90" si="38">IF(ISERROR(C88/C42),0,C88/C42)</f>
        <v>0.17310560263580646</v>
      </c>
      <c r="D90" s="613">
        <f t="shared" si="38"/>
        <v>0</v>
      </c>
      <c r="E90" s="758">
        <f t="shared" si="38"/>
        <v>0.20200000000000001</v>
      </c>
      <c r="F90" s="613">
        <f t="shared" si="38"/>
        <v>0.22699999999999998</v>
      </c>
      <c r="G90" s="613">
        <f t="shared" si="38"/>
        <v>0.26700000000000002</v>
      </c>
      <c r="H90" s="613">
        <f t="shared" si="38"/>
        <v>0.26700000000000002</v>
      </c>
      <c r="I90" s="613">
        <f t="shared" si="38"/>
        <v>0.249</v>
      </c>
      <c r="J90" s="613">
        <f t="shared" si="38"/>
        <v>0</v>
      </c>
      <c r="K90" s="613">
        <f t="shared" si="38"/>
        <v>0.35399999999999998</v>
      </c>
      <c r="L90" s="613">
        <f t="shared" si="38"/>
        <v>0</v>
      </c>
      <c r="M90" s="613">
        <f t="shared" si="38"/>
        <v>0</v>
      </c>
      <c r="N90" s="613">
        <f t="shared" si="38"/>
        <v>0</v>
      </c>
      <c r="O90" s="613">
        <f t="shared" si="38"/>
        <v>0</v>
      </c>
      <c r="P90" s="613">
        <f t="shared" si="38"/>
        <v>0</v>
      </c>
      <c r="Q90" s="613">
        <f t="shared" si="38"/>
        <v>0</v>
      </c>
      <c r="R90" s="613">
        <f t="shared" si="38"/>
        <v>0</v>
      </c>
      <c r="S90" s="572"/>
    </row>
    <row r="91" spans="1:20" ht="33" thickTop="1" thickBot="1">
      <c r="A91" s="651" t="s">
        <v>301</v>
      </c>
      <c r="B91" s="631"/>
      <c r="C91" s="897">
        <f>'EF ele_warmte'!B7</f>
        <v>0.221</v>
      </c>
      <c r="D91" s="614"/>
      <c r="E91" s="615"/>
      <c r="F91" s="616"/>
      <c r="G91" s="616"/>
      <c r="H91" s="616"/>
      <c r="I91" s="616"/>
      <c r="J91" s="616"/>
      <c r="K91" s="616"/>
      <c r="L91" s="616"/>
      <c r="M91" s="616"/>
      <c r="N91" s="616"/>
      <c r="O91" s="616"/>
      <c r="P91" s="616"/>
      <c r="Q91" s="616"/>
      <c r="R91" s="616"/>
      <c r="S91" s="572"/>
    </row>
    <row r="92" spans="1:20" ht="15" thickTop="1">
      <c r="A92" s="574"/>
      <c r="B92" s="574"/>
      <c r="C92" s="572"/>
      <c r="D92" s="572"/>
      <c r="E92" s="572"/>
      <c r="F92" s="572"/>
      <c r="G92" s="572"/>
      <c r="H92" s="572"/>
      <c r="I92" s="572"/>
      <c r="J92" s="572"/>
      <c r="K92" s="572"/>
      <c r="L92" s="572"/>
      <c r="M92" s="572"/>
      <c r="N92" s="572"/>
      <c r="O92" s="572"/>
      <c r="P92" s="572"/>
      <c r="Q92" s="572"/>
      <c r="R92" s="572"/>
      <c r="S92" s="572"/>
    </row>
    <row r="93" spans="1:20" ht="18.75">
      <c r="A93" s="575" t="s">
        <v>302</v>
      </c>
      <c r="B93" s="575"/>
      <c r="C93" s="549"/>
      <c r="D93" s="576"/>
      <c r="E93" s="549"/>
      <c r="F93" s="549"/>
      <c r="G93" s="549"/>
      <c r="H93" s="549"/>
      <c r="I93" s="549"/>
      <c r="J93" s="549"/>
      <c r="K93" s="549"/>
      <c r="L93" s="549"/>
      <c r="M93" s="549"/>
      <c r="N93" s="549"/>
      <c r="O93" s="549"/>
      <c r="P93" s="549"/>
      <c r="Q93" s="577"/>
      <c r="R93" s="577"/>
      <c r="S93" s="577"/>
    </row>
    <row r="94" spans="1:20">
      <c r="A94" s="1043"/>
      <c r="B94" s="1043"/>
      <c r="C94" s="1043"/>
      <c r="D94" s="1043"/>
      <c r="E94" s="1043"/>
      <c r="F94" s="1043"/>
      <c r="G94" s="1043"/>
      <c r="H94" s="1043"/>
      <c r="I94" s="1043"/>
      <c r="J94" s="1043"/>
      <c r="K94" s="1043"/>
      <c r="L94" s="1043"/>
      <c r="M94" s="1043"/>
      <c r="N94" s="1043"/>
      <c r="O94" s="1043"/>
      <c r="P94" s="1043"/>
      <c r="Q94" s="1043"/>
      <c r="R94" s="1043"/>
      <c r="S94" s="578"/>
    </row>
    <row r="95" spans="1:20" ht="16.5" customHeight="1" thickBot="1">
      <c r="A95" s="552"/>
      <c r="B95" s="552"/>
      <c r="C95" s="553"/>
      <c r="D95" s="553"/>
      <c r="E95" s="553"/>
      <c r="F95" s="553"/>
      <c r="G95" s="553"/>
      <c r="H95" s="553"/>
      <c r="I95" s="553"/>
      <c r="J95" s="553"/>
      <c r="K95" s="553"/>
      <c r="L95" s="553"/>
      <c r="M95" s="553"/>
      <c r="N95" s="553"/>
      <c r="O95" s="553"/>
      <c r="P95" s="553"/>
      <c r="Q95" s="553"/>
      <c r="R95" s="553"/>
      <c r="S95" s="553"/>
    </row>
    <row r="96" spans="1:20" ht="48.75" customHeight="1" thickTop="1" thickBot="1">
      <c r="A96" s="1044" t="s">
        <v>211</v>
      </c>
      <c r="B96" s="1080" t="s">
        <v>303</v>
      </c>
      <c r="C96" s="1081"/>
      <c r="D96" s="1037" t="s">
        <v>304</v>
      </c>
      <c r="E96" s="1038"/>
      <c r="F96" s="1038"/>
      <c r="G96" s="1038"/>
      <c r="H96" s="1038"/>
      <c r="I96" s="1038"/>
      <c r="J96" s="1038"/>
      <c r="K96" s="1038"/>
      <c r="L96" s="1038"/>
      <c r="M96" s="1038"/>
      <c r="N96" s="1039"/>
      <c r="O96" s="1097" t="s">
        <v>498</v>
      </c>
      <c r="P96" s="1098"/>
      <c r="T96" s="380"/>
    </row>
    <row r="97" spans="1:20" ht="31.5" thickTop="1" thickBot="1">
      <c r="A97" s="1045"/>
      <c r="B97" s="1082"/>
      <c r="C97" s="1083"/>
      <c r="D97" s="1077" t="s">
        <v>177</v>
      </c>
      <c r="E97" s="1078"/>
      <c r="F97" s="1078"/>
      <c r="G97" s="1078"/>
      <c r="H97" s="1079"/>
      <c r="I97" s="579" t="s">
        <v>215</v>
      </c>
      <c r="J97" s="740" t="s">
        <v>216</v>
      </c>
      <c r="K97" s="845" t="s">
        <v>207</v>
      </c>
      <c r="L97" s="845" t="s">
        <v>652</v>
      </c>
      <c r="M97" s="740" t="s">
        <v>217</v>
      </c>
      <c r="N97" s="742" t="s">
        <v>107</v>
      </c>
      <c r="O97" s="673"/>
      <c r="P97" s="674"/>
      <c r="T97" s="380"/>
    </row>
    <row r="98" spans="1:20" ht="95.25" customHeight="1" thickTop="1" thickBot="1">
      <c r="A98" s="1046"/>
      <c r="B98" s="743" t="s">
        <v>497</v>
      </c>
      <c r="C98" s="743" t="s">
        <v>541</v>
      </c>
      <c r="D98" s="751" t="s">
        <v>179</v>
      </c>
      <c r="E98" s="752" t="s">
        <v>180</v>
      </c>
      <c r="F98" s="740" t="s">
        <v>181</v>
      </c>
      <c r="G98" s="739" t="s">
        <v>183</v>
      </c>
      <c r="H98" s="753" t="s">
        <v>184</v>
      </c>
      <c r="I98" s="581"/>
      <c r="J98" s="741"/>
      <c r="K98" s="843"/>
      <c r="L98" s="843"/>
      <c r="M98" s="741"/>
      <c r="N98" s="744"/>
      <c r="O98" s="745" t="s">
        <v>499</v>
      </c>
      <c r="P98" s="744" t="s">
        <v>500</v>
      </c>
      <c r="T98" s="380"/>
    </row>
    <row r="99" spans="1:20" ht="13.9" customHeight="1" thickTop="1">
      <c r="A99" s="582" t="s">
        <v>219</v>
      </c>
      <c r="B99" s="663">
        <f>'lokale energieproductie'!B4</f>
        <v>0</v>
      </c>
      <c r="C99" s="1092"/>
      <c r="D99" s="1092"/>
      <c r="E99" s="1106"/>
      <c r="F99" s="1106"/>
      <c r="G99" s="1107"/>
      <c r="H99" s="1110"/>
      <c r="I99" s="1100"/>
      <c r="J99" s="1099"/>
      <c r="K99" s="847"/>
      <c r="L99" s="847"/>
      <c r="M99" s="1100"/>
      <c r="N99" s="1103"/>
      <c r="O99" s="756"/>
      <c r="P99" s="668">
        <v>0</v>
      </c>
      <c r="T99" s="380"/>
    </row>
    <row r="100" spans="1:20" ht="15">
      <c r="A100" s="583" t="s">
        <v>220</v>
      </c>
      <c r="B100" s="582">
        <f>'lokale energieproductie'!B5</f>
        <v>0</v>
      </c>
      <c r="C100" s="1093"/>
      <c r="D100" s="1093"/>
      <c r="E100" s="1101"/>
      <c r="F100" s="1101"/>
      <c r="G100" s="1108"/>
      <c r="H100" s="1111"/>
      <c r="I100" s="1101"/>
      <c r="J100" s="1093"/>
      <c r="K100" s="848"/>
      <c r="L100" s="848"/>
      <c r="M100" s="1101"/>
      <c r="N100" s="1104"/>
      <c r="O100" s="675"/>
      <c r="P100" s="669">
        <v>0</v>
      </c>
      <c r="T100" s="380"/>
    </row>
    <row r="101" spans="1:20" ht="15">
      <c r="A101" s="583" t="s">
        <v>221</v>
      </c>
      <c r="B101" s="582">
        <f>'lokale energieproductie'!B6</f>
        <v>516.97665404149075</v>
      </c>
      <c r="C101" s="1093"/>
      <c r="D101" s="1093"/>
      <c r="E101" s="1101"/>
      <c r="F101" s="1101"/>
      <c r="G101" s="1108"/>
      <c r="H101" s="1111"/>
      <c r="I101" s="1101"/>
      <c r="J101" s="1093"/>
      <c r="K101" s="848"/>
      <c r="L101" s="848"/>
      <c r="M101" s="1101"/>
      <c r="N101" s="1104"/>
      <c r="O101" s="675"/>
      <c r="P101" s="669">
        <v>0</v>
      </c>
      <c r="T101" s="380"/>
    </row>
    <row r="102" spans="1:20" ht="15.75" thickBot="1">
      <c r="A102" s="583" t="s">
        <v>540</v>
      </c>
      <c r="B102" s="582" t="str">
        <f>'lokale energieproductie'!B7</f>
        <v>NO</v>
      </c>
      <c r="C102" s="1094"/>
      <c r="D102" s="1094"/>
      <c r="E102" s="1102"/>
      <c r="F102" s="1102"/>
      <c r="G102" s="1109"/>
      <c r="H102" s="1112"/>
      <c r="I102" s="1102"/>
      <c r="J102" s="1094"/>
      <c r="K102" s="849"/>
      <c r="L102" s="849"/>
      <c r="M102" s="1102"/>
      <c r="N102" s="1105"/>
      <c r="O102" s="757"/>
      <c r="P102" s="669">
        <v>0</v>
      </c>
      <c r="T102" s="380"/>
    </row>
    <row r="103" spans="1:20" ht="15">
      <c r="A103" s="584" t="s">
        <v>222</v>
      </c>
      <c r="B103" s="582">
        <f>'lokale energieproductie'!B8*IFERROR(SUM(J103:L103)/SUM(D103:F103,I103:L103),0)</f>
        <v>0</v>
      </c>
      <c r="C103" s="582">
        <f>'lokale energieproductie'!B8*IFERROR(SUM(D103:F103,I103)/SUM(D103:F103,I103:L103),0)</f>
        <v>0</v>
      </c>
      <c r="D103" s="754">
        <f>'lokale energieproductie'!C8</f>
        <v>0</v>
      </c>
      <c r="E103" s="755">
        <f>'lokale energieproductie'!D8</f>
        <v>0</v>
      </c>
      <c r="F103" s="755">
        <f>'lokale energieproductie'!E8</f>
        <v>0</v>
      </c>
      <c r="G103" s="755">
        <f>'lokale energieproductie'!F8</f>
        <v>0</v>
      </c>
      <c r="H103" s="755">
        <f>'lokale energieproductie'!G8</f>
        <v>0</v>
      </c>
      <c r="I103" s="755">
        <f>'lokale energieproductie'!H8</f>
        <v>0</v>
      </c>
      <c r="J103" s="755">
        <f>'lokale energieproductie'!I8</f>
        <v>0</v>
      </c>
      <c r="K103" s="755">
        <f>'lokale energieproductie'!J8</f>
        <v>0</v>
      </c>
      <c r="L103" s="755">
        <f>'lokale energieproductie'!K8</f>
        <v>0</v>
      </c>
      <c r="M103" s="755">
        <f>'lokale energieproductie'!L8</f>
        <v>0</v>
      </c>
      <c r="N103" s="755">
        <f>'lokale energieproductie'!M8</f>
        <v>0</v>
      </c>
      <c r="O103" s="670">
        <f>D103*EF_CO2_aardgas+E103*EF_VLgas_CO2+'SECAP template'!F103*EF_stookolie_CO2+I103*'EF brandstof'!N4+'SECAP template'!N103*EF_anderfossiel_CO2+EF_bruinkool_CO2*'SECAP template'!G103+'SECAP template'!H103*EF_steenkool_CO2</f>
        <v>0</v>
      </c>
      <c r="P103" s="669">
        <v>0</v>
      </c>
      <c r="T103" s="380"/>
    </row>
    <row r="104" spans="1:20" ht="15.75" thickBot="1">
      <c r="A104" s="585" t="s">
        <v>560</v>
      </c>
      <c r="B104" s="582" t="s">
        <v>668</v>
      </c>
      <c r="C104" s="582" t="s">
        <v>668</v>
      </c>
      <c r="D104" s="608" t="str">
        <f>'lokale energieproductie'!C9</f>
        <v>IE</v>
      </c>
      <c r="E104" s="609" t="str">
        <f>'lokale energieproductie'!D9</f>
        <v>IE</v>
      </c>
      <c r="F104" s="609" t="str">
        <f>'lokale energieproductie'!E9</f>
        <v>IE</v>
      </c>
      <c r="G104" s="609" t="str">
        <f>'lokale energieproductie'!F9</f>
        <v>NO</v>
      </c>
      <c r="H104" s="609" t="str">
        <f>'lokale energieproductie'!G9</f>
        <v>NO</v>
      </c>
      <c r="I104" s="755" t="str">
        <f>'lokale energieproductie'!H9</f>
        <v>IE</v>
      </c>
      <c r="J104" s="755" t="str">
        <f>'lokale energieproductie'!I9</f>
        <v>IE</v>
      </c>
      <c r="K104" s="755" t="str">
        <f>'lokale energieproductie'!J9</f>
        <v>IE</v>
      </c>
      <c r="L104" s="755" t="str">
        <f>'lokale energieproductie'!K9</f>
        <v>IE</v>
      </c>
      <c r="M104" s="755" t="str">
        <f>'lokale energieproductie'!L9</f>
        <v>NO</v>
      </c>
      <c r="N104" s="755" t="str">
        <f>'lokale energieproductie'!M9</f>
        <v>NO</v>
      </c>
      <c r="O104" s="670" t="s">
        <v>668</v>
      </c>
      <c r="P104" s="672" t="s">
        <v>668</v>
      </c>
      <c r="T104" s="380"/>
    </row>
    <row r="105" spans="1:20" ht="16.5" thickTop="1" thickBot="1">
      <c r="A105" s="586" t="s">
        <v>96</v>
      </c>
      <c r="B105" s="587">
        <f>SUM(B99:B104)</f>
        <v>516.97665404149075</v>
      </c>
      <c r="C105" s="587">
        <f>SUM(C99:C104)</f>
        <v>0</v>
      </c>
      <c r="D105" s="588">
        <f t="shared" ref="D105:N105" si="39">SUM(D103:D104)</f>
        <v>0</v>
      </c>
      <c r="E105" s="588">
        <f t="shared" si="39"/>
        <v>0</v>
      </c>
      <c r="F105" s="588">
        <f t="shared" si="39"/>
        <v>0</v>
      </c>
      <c r="G105" s="588">
        <f t="shared" si="39"/>
        <v>0</v>
      </c>
      <c r="H105" s="588">
        <f t="shared" si="39"/>
        <v>0</v>
      </c>
      <c r="I105" s="588">
        <f t="shared" si="39"/>
        <v>0</v>
      </c>
      <c r="J105" s="588">
        <f t="shared" si="39"/>
        <v>0</v>
      </c>
      <c r="K105" s="588">
        <f t="shared" si="39"/>
        <v>0</v>
      </c>
      <c r="L105" s="588">
        <f t="shared" si="39"/>
        <v>0</v>
      </c>
      <c r="M105" s="588">
        <f t="shared" si="39"/>
        <v>0</v>
      </c>
      <c r="N105" s="588">
        <f t="shared" si="39"/>
        <v>0</v>
      </c>
      <c r="O105" s="589">
        <f>SUM(O103:O104)</f>
        <v>0</v>
      </c>
      <c r="P105" s="589">
        <f>SUM(P99:P104)</f>
        <v>0</v>
      </c>
      <c r="T105" s="380"/>
    </row>
    <row r="106" spans="1:20" ht="15.75" thickTop="1">
      <c r="A106" s="590"/>
      <c r="B106" s="632"/>
      <c r="C106" s="591"/>
      <c r="D106" s="591"/>
      <c r="E106" s="550"/>
      <c r="F106" s="549"/>
      <c r="G106" s="549"/>
      <c r="H106" s="549"/>
      <c r="I106" s="592"/>
      <c r="J106" s="549"/>
      <c r="K106" s="549"/>
      <c r="L106" s="549"/>
      <c r="M106" s="549"/>
      <c r="N106" s="549"/>
      <c r="O106" s="593"/>
      <c r="P106" s="549"/>
      <c r="Q106" s="549"/>
      <c r="R106" s="549"/>
      <c r="S106" s="549"/>
    </row>
    <row r="107" spans="1:20" ht="15">
      <c r="A107" s="570"/>
      <c r="B107" s="622"/>
      <c r="C107" s="591"/>
      <c r="D107" s="591"/>
      <c r="E107" s="549"/>
      <c r="F107" s="549"/>
      <c r="G107" s="549"/>
      <c r="H107" s="549"/>
      <c r="I107" s="549"/>
      <c r="J107" s="549"/>
      <c r="K107" s="549"/>
      <c r="L107" s="549"/>
      <c r="M107" s="549"/>
      <c r="N107" s="549"/>
      <c r="O107" s="549"/>
      <c r="P107" s="549"/>
      <c r="Q107" s="549"/>
      <c r="R107" s="549"/>
      <c r="S107" s="549"/>
    </row>
    <row r="108" spans="1:20" ht="18.75">
      <c r="A108" s="594" t="s">
        <v>306</v>
      </c>
      <c r="B108" s="594"/>
      <c r="C108" s="595"/>
      <c r="D108" s="576"/>
      <c r="E108" s="549"/>
      <c r="F108" s="549"/>
      <c r="G108" s="549"/>
      <c r="H108" s="549"/>
      <c r="I108" s="549"/>
      <c r="J108" s="549"/>
      <c r="K108" s="549"/>
      <c r="L108" s="549"/>
      <c r="M108" s="549"/>
      <c r="N108" s="549"/>
      <c r="O108" s="549"/>
      <c r="P108" s="549"/>
      <c r="Q108" s="549"/>
      <c r="R108" s="549"/>
      <c r="S108" s="549"/>
    </row>
    <row r="109" spans="1:20">
      <c r="A109" s="1043"/>
      <c r="B109" s="1043"/>
      <c r="C109" s="1043"/>
      <c r="D109" s="1043"/>
      <c r="E109" s="1043"/>
      <c r="F109" s="1043"/>
      <c r="G109" s="1043"/>
      <c r="H109" s="1043"/>
      <c r="I109" s="1043"/>
      <c r="J109" s="1043"/>
      <c r="K109" s="1043"/>
      <c r="L109" s="1043"/>
      <c r="M109" s="1043"/>
      <c r="N109" s="1043"/>
      <c r="O109" s="1043"/>
      <c r="P109" s="1043"/>
      <c r="Q109" s="1043"/>
      <c r="R109" s="578"/>
      <c r="S109" s="578"/>
    </row>
    <row r="110" spans="1:20" ht="15.75" thickBot="1">
      <c r="A110" s="552"/>
      <c r="B110" s="552"/>
      <c r="C110" s="553"/>
      <c r="D110" s="553"/>
      <c r="E110" s="553"/>
      <c r="F110" s="553"/>
      <c r="G110" s="553"/>
      <c r="H110" s="553"/>
      <c r="I110" s="553"/>
      <c r="J110" s="553"/>
      <c r="K110" s="553"/>
      <c r="L110" s="553"/>
      <c r="M110" s="553"/>
      <c r="N110" s="553"/>
      <c r="O110" s="553"/>
      <c r="P110" s="553"/>
      <c r="Q110" s="553"/>
      <c r="R110" s="553"/>
      <c r="S110" s="553"/>
    </row>
    <row r="111" spans="1:20" ht="48.2" customHeight="1" thickTop="1" thickBot="1">
      <c r="A111" s="1044" t="s">
        <v>223</v>
      </c>
      <c r="B111" s="1080" t="s">
        <v>307</v>
      </c>
      <c r="C111" s="1089"/>
      <c r="D111" s="1040" t="s">
        <v>308</v>
      </c>
      <c r="E111" s="1041"/>
      <c r="F111" s="1041"/>
      <c r="G111" s="1041"/>
      <c r="H111" s="1041"/>
      <c r="I111" s="1041"/>
      <c r="J111" s="1041"/>
      <c r="K111" s="1041"/>
      <c r="L111" s="1041"/>
      <c r="M111" s="1041"/>
      <c r="N111" s="1042"/>
      <c r="O111" s="1080" t="s">
        <v>498</v>
      </c>
      <c r="P111" s="1081"/>
      <c r="T111" s="380"/>
    </row>
    <row r="112" spans="1:20" ht="28.9" customHeight="1" thickTop="1" thickBot="1">
      <c r="A112" s="1045"/>
      <c r="B112" s="1090"/>
      <c r="C112" s="1091"/>
      <c r="D112" s="1086" t="s">
        <v>177</v>
      </c>
      <c r="E112" s="1087"/>
      <c r="F112" s="1087"/>
      <c r="G112" s="1087"/>
      <c r="H112" s="1088"/>
      <c r="I112" s="846" t="s">
        <v>215</v>
      </c>
      <c r="J112" s="845" t="s">
        <v>216</v>
      </c>
      <c r="K112" s="845" t="s">
        <v>207</v>
      </c>
      <c r="L112" s="845" t="s">
        <v>652</v>
      </c>
      <c r="M112" s="845" t="s">
        <v>226</v>
      </c>
      <c r="N112" s="1084" t="s">
        <v>107</v>
      </c>
      <c r="O112" s="673"/>
      <c r="P112" s="674"/>
      <c r="T112" s="380"/>
    </row>
    <row r="113" spans="1:20" ht="110.25" customHeight="1" thickTop="1" thickBot="1">
      <c r="A113" s="1046"/>
      <c r="B113" s="664" t="s">
        <v>497</v>
      </c>
      <c r="C113" s="664" t="s">
        <v>541</v>
      </c>
      <c r="D113" s="596" t="s">
        <v>179</v>
      </c>
      <c r="E113" s="580" t="s">
        <v>180</v>
      </c>
      <c r="F113" s="597" t="s">
        <v>181</v>
      </c>
      <c r="G113" s="580" t="s">
        <v>183</v>
      </c>
      <c r="H113" s="598" t="s">
        <v>184</v>
      </c>
      <c r="I113" s="843"/>
      <c r="J113" s="843"/>
      <c r="K113" s="843"/>
      <c r="L113" s="843"/>
      <c r="M113" s="843"/>
      <c r="N113" s="1085"/>
      <c r="O113" s="623" t="s">
        <v>499</v>
      </c>
      <c r="P113" s="621" t="s">
        <v>500</v>
      </c>
      <c r="T113" s="380"/>
    </row>
    <row r="114" spans="1:20" ht="15.75" thickTop="1">
      <c r="A114" s="599" t="s">
        <v>222</v>
      </c>
      <c r="B114" s="600">
        <f>'lokale energieproductie'!B17*IFERROR(SUM(J114:L114)/SUM(D114:F114,I114:L114),0)</f>
        <v>0</v>
      </c>
      <c r="C114" s="600">
        <f>'lokale energieproductie'!B17*IFERROR(SUM(D114:F114,I114)/SUM(D114:F114,I114:L114),0)</f>
        <v>0</v>
      </c>
      <c r="D114" s="610">
        <f>'lokale energieproductie'!C17</f>
        <v>0</v>
      </c>
      <c r="E114" s="610">
        <f>'lokale energieproductie'!D17</f>
        <v>0</v>
      </c>
      <c r="F114" s="610">
        <f>'lokale energieproductie'!E17</f>
        <v>0</v>
      </c>
      <c r="G114" s="610">
        <f>'lokale energieproductie'!F17</f>
        <v>0</v>
      </c>
      <c r="H114" s="610">
        <f>'lokale energieproductie'!G17</f>
        <v>0</v>
      </c>
      <c r="I114" s="610">
        <f>'lokale energieproductie'!H17</f>
        <v>0</v>
      </c>
      <c r="J114" s="610">
        <f>'lokale energieproductie'!I17</f>
        <v>0</v>
      </c>
      <c r="K114" s="610">
        <f>'lokale energieproductie'!J17</f>
        <v>0</v>
      </c>
      <c r="L114" s="610">
        <f>'lokale energieproductie'!K17</f>
        <v>0</v>
      </c>
      <c r="M114" s="610">
        <f>'lokale energieproductie'!L17</f>
        <v>0</v>
      </c>
      <c r="N114" s="610">
        <f>'lokale energieproductie'!M17</f>
        <v>0</v>
      </c>
      <c r="O114" s="676">
        <f>D114*EF_CO2_aardgas+E114*EF_VLgas_CO2+'SECAP template'!F114*EF_stookolie_CO2+'EF brandstof'!N4*'SECAP template'!I114+'SECAP template'!N114*EF_anderfossiel_CO2+EF_bruinkool_CO2*'SECAP template'!G114+'SECAP template'!H114*EF_steenkool_CO2</f>
        <v>0</v>
      </c>
      <c r="P114" s="665">
        <v>0</v>
      </c>
      <c r="T114" s="380"/>
    </row>
    <row r="115" spans="1:20" ht="15">
      <c r="A115" s="601" t="s">
        <v>227</v>
      </c>
      <c r="B115" s="600">
        <f>'lokale energieproductie'!B18*IFERROR(SUM(J115:N115)/SUM(D115:N115),0)</f>
        <v>0</v>
      </c>
      <c r="C115" s="600">
        <f>'lokale energieproductie'!B18*IFERROR(SUM(D115:H115,I115)/SUM(D115:N115),0)</f>
        <v>0</v>
      </c>
      <c r="D115" s="610">
        <f>'lokale energieproductie'!C18</f>
        <v>0</v>
      </c>
      <c r="E115" s="610">
        <f>'lokale energieproductie'!D18</f>
        <v>0</v>
      </c>
      <c r="F115" s="610">
        <f>'lokale energieproductie'!E18</f>
        <v>0</v>
      </c>
      <c r="G115" s="610">
        <f>'lokale energieproductie'!F18</f>
        <v>0</v>
      </c>
      <c r="H115" s="610">
        <f>'lokale energieproductie'!G18</f>
        <v>0</v>
      </c>
      <c r="I115" s="610">
        <f>'lokale energieproductie'!H18</f>
        <v>0</v>
      </c>
      <c r="J115" s="610">
        <f>'lokale energieproductie'!I18</f>
        <v>0</v>
      </c>
      <c r="K115" s="610">
        <f>'lokale energieproductie'!J18</f>
        <v>0</v>
      </c>
      <c r="L115" s="610">
        <f>'lokale energieproductie'!K18</f>
        <v>0</v>
      </c>
      <c r="M115" s="610">
        <f>'lokale energieproductie'!L18</f>
        <v>0</v>
      </c>
      <c r="N115" s="610">
        <f>'lokale energieproductie'!M18</f>
        <v>0</v>
      </c>
      <c r="O115" s="670">
        <f>D115*EF_CO2_aardgas+E115*EF_VLgas_CO2+'SECAP template'!F115*EF_stookolie_CO2+EF_bruinkool_CO2*'SECAP template'!G115+'SECAP template'!H115*EF_steenkool_CO2+'EF brandstof'!N4*'SECAP template'!I115+'SECAP template'!N115*EF_anderfossiel_CO2</f>
        <v>0</v>
      </c>
      <c r="P115" s="666">
        <v>0</v>
      </c>
      <c r="T115" s="380"/>
    </row>
    <row r="116" spans="1:20" ht="30" thickBot="1">
      <c r="A116" s="585" t="s">
        <v>305</v>
      </c>
      <c r="B116" s="600" t="s">
        <v>667</v>
      </c>
      <c r="C116" s="600" t="s">
        <v>667</v>
      </c>
      <c r="D116" s="610" t="str">
        <f>'lokale energieproductie'!C19</f>
        <v>NO</v>
      </c>
      <c r="E116" s="610" t="str">
        <f>'lokale energieproductie'!D19</f>
        <v>NO</v>
      </c>
      <c r="F116" s="610" t="str">
        <f>'lokale energieproductie'!E19</f>
        <v>NO</v>
      </c>
      <c r="G116" s="610" t="str">
        <f>'lokale energieproductie'!F19</f>
        <v>NO</v>
      </c>
      <c r="H116" s="610" t="str">
        <f>'lokale energieproductie'!G19</f>
        <v>NO</v>
      </c>
      <c r="I116" s="610" t="str">
        <f>'lokale energieproductie'!H19</f>
        <v>NO</v>
      </c>
      <c r="J116" s="610" t="str">
        <f>'lokale energieproductie'!I19</f>
        <v>NO</v>
      </c>
      <c r="K116" s="610" t="str">
        <f>'lokale energieproductie'!J19</f>
        <v>NO</v>
      </c>
      <c r="L116" s="610" t="str">
        <f>'lokale energieproductie'!K19</f>
        <v>NO</v>
      </c>
      <c r="M116" s="610" t="str">
        <f>'lokale energieproductie'!L19</f>
        <v>NO</v>
      </c>
      <c r="N116" s="610" t="str">
        <f>'lokale energieproductie'!M19</f>
        <v>NO</v>
      </c>
      <c r="O116" s="671" t="s">
        <v>667</v>
      </c>
      <c r="P116" s="667">
        <v>0</v>
      </c>
      <c r="T116" s="380"/>
    </row>
    <row r="117" spans="1:20" ht="16.5" thickTop="1" thickBot="1">
      <c r="A117" s="602" t="s">
        <v>96</v>
      </c>
      <c r="B117" s="587">
        <f>SUM(B114:B116)</f>
        <v>0</v>
      </c>
      <c r="C117" s="587">
        <f>SUM(C114:C116)</f>
        <v>0</v>
      </c>
      <c r="D117" s="587">
        <f t="shared" ref="D117:N117" si="40">SUM(D114:D116)</f>
        <v>0</v>
      </c>
      <c r="E117" s="587">
        <f t="shared" si="40"/>
        <v>0</v>
      </c>
      <c r="F117" s="587">
        <f t="shared" si="40"/>
        <v>0</v>
      </c>
      <c r="G117" s="587">
        <f t="shared" si="40"/>
        <v>0</v>
      </c>
      <c r="H117" s="587">
        <f t="shared" si="40"/>
        <v>0</v>
      </c>
      <c r="I117" s="587">
        <f t="shared" si="40"/>
        <v>0</v>
      </c>
      <c r="J117" s="587">
        <f t="shared" si="40"/>
        <v>0</v>
      </c>
      <c r="K117" s="587">
        <f t="shared" si="40"/>
        <v>0</v>
      </c>
      <c r="L117" s="587">
        <f t="shared" si="40"/>
        <v>0</v>
      </c>
      <c r="M117" s="587">
        <f t="shared" si="40"/>
        <v>0</v>
      </c>
      <c r="N117" s="587">
        <f t="shared" si="40"/>
        <v>0</v>
      </c>
      <c r="O117" s="587">
        <f>SUM(O114:O116)</f>
        <v>0</v>
      </c>
      <c r="P117" s="677">
        <f>SUM(P114:P116)</f>
        <v>0</v>
      </c>
      <c r="T117" s="380"/>
    </row>
    <row r="118" spans="1:20" ht="15.75" thickTop="1">
      <c r="A118" s="603"/>
      <c r="B118" s="603"/>
      <c r="C118" s="604"/>
      <c r="D118" s="605"/>
      <c r="E118" s="606"/>
      <c r="F118" s="592"/>
      <c r="G118" s="592"/>
      <c r="H118" s="592"/>
      <c r="I118" s="592"/>
      <c r="J118" s="592"/>
      <c r="K118" s="592"/>
      <c r="L118" s="592"/>
      <c r="M118" s="549"/>
      <c r="N118" s="549"/>
      <c r="R118" s="592"/>
      <c r="S118" s="549"/>
      <c r="T118" s="577"/>
    </row>
  </sheetData>
  <mergeCells count="44">
    <mergeCell ref="N99:N102"/>
    <mergeCell ref="E99:E102"/>
    <mergeCell ref="F99:F102"/>
    <mergeCell ref="G99:G102"/>
    <mergeCell ref="H99:H102"/>
    <mergeCell ref="C38:R38"/>
    <mergeCell ref="D97:H97"/>
    <mergeCell ref="B96:C97"/>
    <mergeCell ref="O111:P111"/>
    <mergeCell ref="N112:N113"/>
    <mergeCell ref="A109:Q109"/>
    <mergeCell ref="A111:A113"/>
    <mergeCell ref="D112:H112"/>
    <mergeCell ref="B111:C112"/>
    <mergeCell ref="D99:D102"/>
    <mergeCell ref="A51:A53"/>
    <mergeCell ref="O96:P96"/>
    <mergeCell ref="C99:C102"/>
    <mergeCell ref="J99:J102"/>
    <mergeCell ref="I99:I102"/>
    <mergeCell ref="M99:M102"/>
    <mergeCell ref="A49:S49"/>
    <mergeCell ref="C51:S51"/>
    <mergeCell ref="C52:C53"/>
    <mergeCell ref="D52:D53"/>
    <mergeCell ref="E52:L52"/>
    <mergeCell ref="N52:R52"/>
    <mergeCell ref="S52:S53"/>
    <mergeCell ref="D96:N96"/>
    <mergeCell ref="D111:N111"/>
    <mergeCell ref="A94:R94"/>
    <mergeCell ref="A96:A98"/>
    <mergeCell ref="A2:C2"/>
    <mergeCell ref="A3:S3"/>
    <mergeCell ref="A5:A7"/>
    <mergeCell ref="C5:S5"/>
    <mergeCell ref="C6:C7"/>
    <mergeCell ref="D6:D7"/>
    <mergeCell ref="E6:L6"/>
    <mergeCell ref="N6:R6"/>
    <mergeCell ref="S6:S7"/>
    <mergeCell ref="C8:R8"/>
    <mergeCell ref="C21:R21"/>
    <mergeCell ref="A47:C4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R33"/>
  <sheetViews>
    <sheetView workbookViewId="0">
      <selection activeCell="H13" sqref="H13"/>
    </sheetView>
  </sheetViews>
  <sheetFormatPr defaultColWidth="9.140625" defaultRowHeight="15"/>
  <cols>
    <col min="1" max="1" width="35.7109375" style="384" bestFit="1" customWidth="1"/>
    <col min="2" max="2" width="11.28515625" style="384" bestFit="1" customWidth="1"/>
    <col min="3" max="3" width="15.42578125" style="384" bestFit="1" customWidth="1"/>
    <col min="4" max="4" width="9.140625" style="384"/>
    <col min="5" max="5" width="16.28515625" style="384" customWidth="1"/>
    <col min="6" max="8" width="9.140625" style="384"/>
    <col min="9" max="9" width="14.28515625" style="384" customWidth="1"/>
    <col min="10" max="10" width="18.5703125" style="384" customWidth="1"/>
    <col min="11" max="12" width="15.140625" style="384" customWidth="1"/>
    <col min="13" max="13" width="15.42578125" style="384" customWidth="1"/>
    <col min="14" max="14" width="17" style="384" customWidth="1"/>
    <col min="15" max="15" width="16.42578125" style="384" customWidth="1"/>
    <col min="16" max="16" width="13.42578125" style="384" customWidth="1"/>
    <col min="17" max="17" width="18.28515625" style="384" customWidth="1"/>
    <col min="18" max="18" width="10.5703125" style="384" bestFit="1" customWidth="1"/>
    <col min="19" max="19" width="9.5703125" style="384" bestFit="1" customWidth="1"/>
    <col min="20" max="16384" width="9.140625" style="384"/>
  </cols>
  <sheetData>
    <row r="1" spans="1:18" ht="15.75">
      <c r="A1" s="1113" t="s">
        <v>446</v>
      </c>
      <c r="B1" s="1114" t="s">
        <v>444</v>
      </c>
      <c r="C1" s="1114"/>
      <c r="D1" s="1114"/>
      <c r="E1" s="1114"/>
      <c r="F1" s="1114"/>
      <c r="G1" s="1114"/>
      <c r="H1" s="1114"/>
      <c r="I1" s="1114"/>
      <c r="J1" s="1114"/>
      <c r="K1" s="1114"/>
      <c r="L1" s="1115"/>
      <c r="M1" s="1114"/>
      <c r="N1" s="1114"/>
      <c r="O1" s="1114"/>
      <c r="P1" s="1114"/>
      <c r="Q1" s="1116"/>
      <c r="R1" s="383"/>
    </row>
    <row r="2" spans="1:18">
      <c r="A2" s="1113"/>
      <c r="B2" s="1117" t="s">
        <v>20</v>
      </c>
      <c r="C2" s="1119" t="s">
        <v>176</v>
      </c>
      <c r="D2" s="1121" t="s">
        <v>177</v>
      </c>
      <c r="E2" s="1122"/>
      <c r="F2" s="1122"/>
      <c r="G2" s="1122"/>
      <c r="H2" s="1122"/>
      <c r="I2" s="1122"/>
      <c r="J2" s="1122"/>
      <c r="K2" s="1118"/>
      <c r="L2" s="850"/>
      <c r="M2" s="1121" t="s">
        <v>178</v>
      </c>
      <c r="N2" s="1122"/>
      <c r="O2" s="1122"/>
      <c r="P2" s="1122"/>
      <c r="Q2" s="1118"/>
      <c r="R2" s="383"/>
    </row>
    <row r="3" spans="1:18" ht="45">
      <c r="A3" s="1113"/>
      <c r="B3" s="1118"/>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c r="R3" s="383" t="s">
        <v>96</v>
      </c>
    </row>
    <row r="4" spans="1:18">
      <c r="A4" s="385" t="s">
        <v>135</v>
      </c>
      <c r="B4" s="955">
        <f>huishoudens!B9</f>
        <v>1373.6912738320134</v>
      </c>
      <c r="C4" s="955">
        <f>huishoudens!C9</f>
        <v>0</v>
      </c>
      <c r="D4" s="955">
        <f>huishoudens!D9</f>
        <v>4323.0994064999995</v>
      </c>
      <c r="E4" s="955">
        <f>huishoudens!E9</f>
        <v>50.274209928561802</v>
      </c>
      <c r="F4" s="955">
        <f>huishoudens!F9</f>
        <v>816.92303688904451</v>
      </c>
      <c r="G4" s="955" t="str">
        <f>huishoudens!G9</f>
        <v>NE</v>
      </c>
      <c r="H4" s="955" t="str">
        <f>huishoudens!H9</f>
        <v>NE</v>
      </c>
      <c r="I4" s="955" t="str">
        <f>huishoudens!I9</f>
        <v xml:space="preserve">NE </v>
      </c>
      <c r="J4" s="955">
        <f>huishoudens!J9</f>
        <v>6.548757578155711</v>
      </c>
      <c r="K4" s="955" t="str">
        <f>huishoudens!K9</f>
        <v>NE</v>
      </c>
      <c r="L4" s="955">
        <f>huishoudens!L9</f>
        <v>0</v>
      </c>
      <c r="M4" s="955">
        <f>huishoudens!M9</f>
        <v>0</v>
      </c>
      <c r="N4" s="955" t="str">
        <f>huishoudens!N9</f>
        <v>NE</v>
      </c>
      <c r="O4" s="955">
        <f>huishoudens!O9</f>
        <v>479.79629826218695</v>
      </c>
      <c r="P4" s="955" t="str">
        <f>huishoudens!P9</f>
        <v>NE</v>
      </c>
      <c r="Q4" s="956" t="str">
        <f>huishoudens!Q9</f>
        <v>NE</v>
      </c>
      <c r="R4" s="957">
        <f>SUM(B4:Q4)</f>
        <v>7050.3329829899612</v>
      </c>
    </row>
    <row r="5" spans="1:18">
      <c r="A5" s="385" t="s">
        <v>136</v>
      </c>
      <c r="B5" s="955">
        <f>tertiair!B17</f>
        <v>464.19873827708227</v>
      </c>
      <c r="C5" s="955">
        <f>tertiair!C17</f>
        <v>0</v>
      </c>
      <c r="D5" s="955">
        <f>tertiair!D17</f>
        <v>512.83083273113482</v>
      </c>
      <c r="E5" s="955">
        <f>tertiair!E17</f>
        <v>2.9752119932280219</v>
      </c>
      <c r="F5" s="955">
        <f>tertiair!F17</f>
        <v>122.04726183131861</v>
      </c>
      <c r="G5" s="955" t="str">
        <f>tertiair!G17</f>
        <v>NE</v>
      </c>
      <c r="H5" s="955">
        <f>tertiair!H17</f>
        <v>2.9484415020987306E-2</v>
      </c>
      <c r="I5" s="955" t="str">
        <f>tertiair!I17</f>
        <v>NE</v>
      </c>
      <c r="J5" s="955">
        <f>tertiair!J17</f>
        <v>1.4048361831175428E-3</v>
      </c>
      <c r="K5" s="955" t="str">
        <f>tertiair!K17</f>
        <v>NE</v>
      </c>
      <c r="L5" s="955" t="str">
        <f>tertiair!L17</f>
        <v>IE</v>
      </c>
      <c r="M5" s="955" t="str">
        <f>tertiair!M17</f>
        <v>IE</v>
      </c>
      <c r="N5" s="955" t="str">
        <f>tertiair!N17</f>
        <v>IE</v>
      </c>
      <c r="O5" s="955">
        <f>tertiair!O17</f>
        <v>53.411127597027196</v>
      </c>
      <c r="P5" s="955" t="str">
        <f>tertiair!P17</f>
        <v>NE</v>
      </c>
      <c r="Q5" s="956" t="str">
        <f>tertiair!Q17</f>
        <v>NE</v>
      </c>
      <c r="R5" s="958">
        <f t="shared" ref="R5:R14" si="0">SUM(B5:Q5)</f>
        <v>1155.4940616809952</v>
      </c>
    </row>
    <row r="6" spans="1:18">
      <c r="A6" s="385" t="s">
        <v>174</v>
      </c>
      <c r="B6" s="955">
        <f>'openbare verlichting'!B8</f>
        <v>1.9895196601282805E-13</v>
      </c>
      <c r="C6" s="955" t="str">
        <f>'openbare verlichting'!C8</f>
        <v>NO</v>
      </c>
      <c r="D6" s="955" t="str">
        <f>'openbare verlichting'!D8</f>
        <v>NO</v>
      </c>
      <c r="E6" s="955" t="str">
        <f>'openbare verlichting'!E8</f>
        <v>NO</v>
      </c>
      <c r="F6" s="955" t="str">
        <f>'openbare verlichting'!F8</f>
        <v>NO</v>
      </c>
      <c r="G6" s="955" t="str">
        <f>'openbare verlichting'!G8</f>
        <v>NO</v>
      </c>
      <c r="H6" s="955" t="str">
        <f>'openbare verlichting'!H8</f>
        <v>NO</v>
      </c>
      <c r="I6" s="955" t="str">
        <f>'openbare verlichting'!I8</f>
        <v>NO</v>
      </c>
      <c r="J6" s="955" t="str">
        <f>'openbare verlichting'!J8</f>
        <v>NO</v>
      </c>
      <c r="K6" s="955" t="str">
        <f>'openbare verlichting'!K8</f>
        <v>NO</v>
      </c>
      <c r="L6" s="955" t="str">
        <f>'openbare verlichting'!L8</f>
        <v>NO</v>
      </c>
      <c r="M6" s="955" t="str">
        <f>'openbare verlichting'!M8</f>
        <v>NO</v>
      </c>
      <c r="N6" s="955" t="str">
        <f>'openbare verlichting'!N8</f>
        <v>NO</v>
      </c>
      <c r="O6" s="955" t="str">
        <f>'openbare verlichting'!O8</f>
        <v>NO</v>
      </c>
      <c r="P6" s="955" t="str">
        <f>'openbare verlichting'!P8</f>
        <v>NO</v>
      </c>
      <c r="Q6" s="955" t="str">
        <f>'openbare verlichting'!Q8</f>
        <v>NO</v>
      </c>
      <c r="R6" s="958">
        <f t="shared" si="0"/>
        <v>1.9895196601282805E-13</v>
      </c>
    </row>
    <row r="7" spans="1:18">
      <c r="A7" s="385" t="s">
        <v>92</v>
      </c>
      <c r="B7" s="955">
        <f>landbouw!B9</f>
        <v>346.41040035735296</v>
      </c>
      <c r="C7" s="955">
        <f>landbouw!C9</f>
        <v>0</v>
      </c>
      <c r="D7" s="955">
        <f>landbouw!D9</f>
        <v>0</v>
      </c>
      <c r="E7" s="955">
        <f>landbouw!E9</f>
        <v>12.97377661716142</v>
      </c>
      <c r="F7" s="955">
        <f>landbouw!F9</f>
        <v>1313.3959735563915</v>
      </c>
      <c r="G7" s="955" t="str">
        <f>landbouw!G9</f>
        <v>NE</v>
      </c>
      <c r="H7" s="955" t="str">
        <f>landbouw!H9</f>
        <v>NE</v>
      </c>
      <c r="I7" s="955" t="str">
        <f>landbouw!I9</f>
        <v>NE</v>
      </c>
      <c r="J7" s="955">
        <f>landbouw!J9</f>
        <v>41.77152164839066</v>
      </c>
      <c r="K7" s="955" t="str">
        <f>landbouw!K9</f>
        <v>NE</v>
      </c>
      <c r="L7" s="955" t="str">
        <f>landbouw!L9</f>
        <v>IE</v>
      </c>
      <c r="M7" s="955" t="str">
        <f>landbouw!M9</f>
        <v>IE</v>
      </c>
      <c r="N7" s="955" t="str">
        <f>landbouw!N9</f>
        <v>IE</v>
      </c>
      <c r="O7" s="955">
        <f>landbouw!O9</f>
        <v>0</v>
      </c>
      <c r="P7" s="955" t="str">
        <f>landbouw!P9</f>
        <v>NE</v>
      </c>
      <c r="Q7" s="956" t="str">
        <f>landbouw!Q9</f>
        <v>NE</v>
      </c>
      <c r="R7" s="958">
        <f t="shared" si="0"/>
        <v>1714.5516721792965</v>
      </c>
    </row>
    <row r="8" spans="1:18">
      <c r="A8" s="385" t="s">
        <v>492</v>
      </c>
      <c r="B8" s="955">
        <f>industrie!B19</f>
        <v>23.661618071470588</v>
      </c>
      <c r="C8" s="955">
        <f>industrie!C19</f>
        <v>0</v>
      </c>
      <c r="D8" s="955">
        <f>industrie!D19</f>
        <v>89.713438289999999</v>
      </c>
      <c r="E8" s="955">
        <f>industrie!E19</f>
        <v>0.43175850542947813</v>
      </c>
      <c r="F8" s="955">
        <f>industrie!F19</f>
        <v>17.465365466237849</v>
      </c>
      <c r="G8" s="955" t="str">
        <f>industrie!G19</f>
        <v>NE</v>
      </c>
      <c r="H8" s="955">
        <f>industrie!H19</f>
        <v>0</v>
      </c>
      <c r="I8" s="955" t="str">
        <f>industrie!I19</f>
        <v>NE</v>
      </c>
      <c r="J8" s="955">
        <f>industrie!J19</f>
        <v>2.3856381474680253E-2</v>
      </c>
      <c r="K8" s="955" t="str">
        <f>industrie!K19</f>
        <v>NE</v>
      </c>
      <c r="L8" s="955" t="str">
        <f>industrie!L19</f>
        <v>IE</v>
      </c>
      <c r="M8" s="955" t="str">
        <f>industrie!M19</f>
        <v>IE</v>
      </c>
      <c r="N8" s="955" t="str">
        <f>industrie!N19</f>
        <v>IE</v>
      </c>
      <c r="O8" s="955">
        <f>industrie!O19</f>
        <v>1.2575867958902038</v>
      </c>
      <c r="P8" s="955" t="str">
        <f>industrie!P19</f>
        <v>NE</v>
      </c>
      <c r="Q8" s="956" t="str">
        <f>industrie!Q19</f>
        <v>NE</v>
      </c>
      <c r="R8" s="958">
        <f t="shared" si="0"/>
        <v>132.55362351050277</v>
      </c>
    </row>
    <row r="9" spans="1:18" s="389" customFormat="1">
      <c r="A9" s="388" t="s">
        <v>457</v>
      </c>
      <c r="B9" s="959">
        <f>transport!B14</f>
        <v>43.464469011082279</v>
      </c>
      <c r="C9" s="959" t="str">
        <f>transport!C14</f>
        <v>NO</v>
      </c>
      <c r="D9" s="959">
        <f>transport!D14</f>
        <v>11.293332462221965</v>
      </c>
      <c r="E9" s="959">
        <f>transport!E14</f>
        <v>5.2673958042981486</v>
      </c>
      <c r="F9" s="959" t="str">
        <f>transport!F14</f>
        <v>NO</v>
      </c>
      <c r="G9" s="959">
        <f>transport!G14</f>
        <v>1683.840807868228</v>
      </c>
      <c r="H9" s="959">
        <f>transport!H14</f>
        <v>823.7459626493013</v>
      </c>
      <c r="I9" s="959" t="str">
        <f>transport!I14</f>
        <v>NO</v>
      </c>
      <c r="J9" s="959" t="str">
        <f>transport!J14</f>
        <v>NO</v>
      </c>
      <c r="K9" s="959" t="str">
        <f>transport!K14</f>
        <v>NO</v>
      </c>
      <c r="L9" s="959" t="str">
        <f>transport!L14</f>
        <v>NO</v>
      </c>
      <c r="M9" s="959" t="str">
        <f>transport!M14</f>
        <v>NO</v>
      </c>
      <c r="N9" s="959">
        <f>transport!N14</f>
        <v>267.80415879158335</v>
      </c>
      <c r="O9" s="959" t="str">
        <f>transport!O14</f>
        <v>NO</v>
      </c>
      <c r="P9" s="959" t="str">
        <f>transport!P14</f>
        <v>NO</v>
      </c>
      <c r="Q9" s="959" t="str">
        <f>transport!Q14</f>
        <v>NO</v>
      </c>
      <c r="R9" s="960">
        <f>SUM(B9:Q9)</f>
        <v>2835.4161265867151</v>
      </c>
    </row>
    <row r="10" spans="1:18">
      <c r="A10" s="385" t="s">
        <v>447</v>
      </c>
      <c r="B10" s="955">
        <f>transport!B54</f>
        <v>0.89030214384746775</v>
      </c>
      <c r="C10" s="955" t="str">
        <f>transport!C54</f>
        <v>NO</v>
      </c>
      <c r="D10" s="955" t="str">
        <f>transport!D54</f>
        <v>NO</v>
      </c>
      <c r="E10" s="955" t="str">
        <f>transport!E54</f>
        <v>NO</v>
      </c>
      <c r="F10" s="955" t="str">
        <f>transport!F54</f>
        <v>NO</v>
      </c>
      <c r="G10" s="955">
        <f>transport!G54</f>
        <v>35.763407527089385</v>
      </c>
      <c r="H10" s="955" t="str">
        <f>transport!H54</f>
        <v>NO</v>
      </c>
      <c r="I10" s="955" t="str">
        <f>transport!I54</f>
        <v>NO</v>
      </c>
      <c r="J10" s="955" t="str">
        <f>transport!J54</f>
        <v>NO</v>
      </c>
      <c r="K10" s="955" t="str">
        <f>transport!K54</f>
        <v>NO</v>
      </c>
      <c r="L10" s="955" t="str">
        <f>transport!L54</f>
        <v>NO</v>
      </c>
      <c r="M10" s="955" t="str">
        <f>transport!M54</f>
        <v>NO</v>
      </c>
      <c r="N10" s="955">
        <f>transport!N54</f>
        <v>4.281416066531361</v>
      </c>
      <c r="O10" s="955" t="str">
        <f>transport!O54</f>
        <v>NO</v>
      </c>
      <c r="P10" s="955" t="str">
        <f>transport!P54</f>
        <v>NO</v>
      </c>
      <c r="Q10" s="956" t="str">
        <f>transport!Q54</f>
        <v xml:space="preserve">NO </v>
      </c>
      <c r="R10" s="958">
        <f t="shared" si="0"/>
        <v>40.935125737468219</v>
      </c>
    </row>
    <row r="11" spans="1:18">
      <c r="A11" s="385" t="s">
        <v>448</v>
      </c>
      <c r="B11" s="955">
        <f>'Eigen gebouwen'!B6</f>
        <v>33.969866058711801</v>
      </c>
      <c r="C11" s="955">
        <f>'Eigen gebouwen'!C6</f>
        <v>0</v>
      </c>
      <c r="D11" s="955">
        <f>'Eigen gebouwen'!D6</f>
        <v>200.27585246886522</v>
      </c>
      <c r="E11" s="955">
        <f>'Eigen gebouwen'!E6</f>
        <v>0</v>
      </c>
      <c r="F11" s="955">
        <f>'Eigen gebouwen'!F6</f>
        <v>0</v>
      </c>
      <c r="G11" s="955" t="str">
        <f>'Eigen gebouwen'!G6</f>
        <v>NO</v>
      </c>
      <c r="H11" s="955" t="str">
        <f>'Eigen gebouwen'!H6</f>
        <v>NO</v>
      </c>
      <c r="I11" s="955" t="str">
        <f>'Eigen gebouwen'!I6</f>
        <v>NO</v>
      </c>
      <c r="J11" s="955" t="str">
        <f>'Eigen gebouwen'!J6</f>
        <v>NO</v>
      </c>
      <c r="K11" s="955">
        <f>'Eigen gebouwen'!K6</f>
        <v>0</v>
      </c>
      <c r="L11" s="955" t="str">
        <f>'Eigen gebouwen'!L6</f>
        <v>IE</v>
      </c>
      <c r="M11" s="955" t="str">
        <f>'Eigen gebouwen'!M6</f>
        <v>IE</v>
      </c>
      <c r="N11" s="955">
        <f>'Eigen gebouwen'!N6</f>
        <v>0</v>
      </c>
      <c r="O11" s="955">
        <f>'Eigen gebouwen'!O6</f>
        <v>0</v>
      </c>
      <c r="P11" s="955" t="str">
        <f>'Eigen gebouwen'!P6</f>
        <v>NE</v>
      </c>
      <c r="Q11" s="956" t="str">
        <f>'Eigen gebouwen'!Q6</f>
        <v>NE</v>
      </c>
      <c r="R11" s="958">
        <f t="shared" si="0"/>
        <v>234.24571852757703</v>
      </c>
    </row>
    <row r="12" spans="1:18">
      <c r="A12" s="385" t="s">
        <v>449</v>
      </c>
      <c r="B12" s="955">
        <f>'Eigen openbare verlichting'!B6</f>
        <v>56.092999999999805</v>
      </c>
      <c r="C12" s="955" t="str">
        <f>'Eigen openbare verlichting'!C6</f>
        <v>NO</v>
      </c>
      <c r="D12" s="955" t="str">
        <f>'Eigen openbare verlichting'!D6</f>
        <v>NO</v>
      </c>
      <c r="E12" s="955" t="str">
        <f>'Eigen openbare verlichting'!E6</f>
        <v>NO</v>
      </c>
      <c r="F12" s="955" t="str">
        <f>'Eigen openbare verlichting'!F6</f>
        <v>NO</v>
      </c>
      <c r="G12" s="955" t="str">
        <f>'Eigen openbare verlichting'!G6</f>
        <v>NO</v>
      </c>
      <c r="H12" s="955" t="str">
        <f>'Eigen openbare verlichting'!H6</f>
        <v>NO</v>
      </c>
      <c r="I12" s="955" t="str">
        <f>'Eigen openbare verlichting'!I6</f>
        <v>NO</v>
      </c>
      <c r="J12" s="955" t="str">
        <f>'Eigen openbare verlichting'!J6</f>
        <v>NO</v>
      </c>
      <c r="K12" s="955" t="str">
        <f>'Eigen openbare verlichting'!K6</f>
        <v>NO</v>
      </c>
      <c r="L12" s="955" t="str">
        <f>'Eigen openbare verlichting'!L6</f>
        <v>NO</v>
      </c>
      <c r="M12" s="955" t="str">
        <f>'Eigen openbare verlichting'!M6</f>
        <v>NO</v>
      </c>
      <c r="N12" s="955" t="str">
        <f>'Eigen openbare verlichting'!N6</f>
        <v>NO</v>
      </c>
      <c r="O12" s="955" t="str">
        <f>'Eigen openbare verlichting'!O6</f>
        <v>NO</v>
      </c>
      <c r="P12" s="955" t="str">
        <f>'Eigen openbare verlichting'!P6</f>
        <v>NO</v>
      </c>
      <c r="Q12" s="955" t="str">
        <f>'Eigen openbare verlichting'!Q6</f>
        <v>NO</v>
      </c>
      <c r="R12" s="958">
        <f t="shared" si="0"/>
        <v>56.092999999999805</v>
      </c>
    </row>
    <row r="13" spans="1:18">
      <c r="A13" s="385" t="s">
        <v>450</v>
      </c>
      <c r="B13" s="955">
        <f>'Eigen vloot'!B27</f>
        <v>0</v>
      </c>
      <c r="C13" s="955" t="str">
        <f>'Eigen vloot'!C27</f>
        <v>NO</v>
      </c>
      <c r="D13" s="955">
        <f>'Eigen vloot'!D27</f>
        <v>0</v>
      </c>
      <c r="E13" s="955">
        <f>'Eigen vloot'!E27</f>
        <v>0</v>
      </c>
      <c r="F13" s="955" t="str">
        <f>'Eigen vloot'!F27</f>
        <v>NO</v>
      </c>
      <c r="G13" s="955">
        <f>'Eigen vloot'!G27</f>
        <v>0</v>
      </c>
      <c r="H13" s="955">
        <f>'Eigen vloot'!H27</f>
        <v>0</v>
      </c>
      <c r="I13" s="955" t="str">
        <f>'Eigen vloot'!I27</f>
        <v>NO</v>
      </c>
      <c r="J13" s="955" t="str">
        <f>'Eigen vloot'!J27</f>
        <v>NO</v>
      </c>
      <c r="K13" s="955" t="str">
        <f>'Eigen vloot'!K27</f>
        <v>NO</v>
      </c>
      <c r="L13" s="955" t="str">
        <f>'Eigen vloot'!L27</f>
        <v>NO</v>
      </c>
      <c r="M13" s="955" t="str">
        <f>'Eigen vloot'!M27</f>
        <v>NO</v>
      </c>
      <c r="N13" s="955">
        <f>'Eigen vloot'!N27</f>
        <v>0</v>
      </c>
      <c r="O13" s="955" t="str">
        <f>'Eigen vloot'!O27</f>
        <v>NO</v>
      </c>
      <c r="P13" s="955" t="str">
        <f>'Eigen vloot'!P27</f>
        <v>NO</v>
      </c>
      <c r="Q13" s="955" t="str">
        <f>'Eigen vloot'!Q27</f>
        <v>NO</v>
      </c>
      <c r="R13" s="958">
        <f t="shared" si="0"/>
        <v>0</v>
      </c>
    </row>
    <row r="14" spans="1:18">
      <c r="A14" s="390" t="s">
        <v>553</v>
      </c>
      <c r="B14" s="961">
        <f>'SECAP template'!C40</f>
        <v>43.115230000000004</v>
      </c>
      <c r="C14" s="961" t="str">
        <f>'SECAP template'!D40</f>
        <v>NE</v>
      </c>
      <c r="D14" s="961">
        <f>'SECAP template'!E40</f>
        <v>50.806899999999999</v>
      </c>
      <c r="E14" s="961" t="str">
        <f>'SECAP template'!F40</f>
        <v>NE</v>
      </c>
      <c r="F14" s="961" t="str">
        <f>'SECAP template'!G40</f>
        <v>NE</v>
      </c>
      <c r="G14" s="961" t="str">
        <f>'SECAP template'!H40</f>
        <v>NE</v>
      </c>
      <c r="H14" s="961" t="str">
        <f>'SECAP template'!I40</f>
        <v>NE</v>
      </c>
      <c r="I14" s="961" t="str">
        <f>'SECAP template'!J40</f>
        <v>NE</v>
      </c>
      <c r="J14" s="961" t="str">
        <f>'SECAP template'!K40</f>
        <v>NE</v>
      </c>
      <c r="K14" s="961" t="str">
        <f>'SECAP template'!L40</f>
        <v>NE</v>
      </c>
      <c r="L14" s="961" t="str">
        <f>'SECAP template'!M40</f>
        <v>NE</v>
      </c>
      <c r="M14" s="961" t="str">
        <f>'SECAP template'!N40</f>
        <v>NE</v>
      </c>
      <c r="N14" s="961" t="str">
        <f>'SECAP template'!O40</f>
        <v>NE</v>
      </c>
      <c r="O14" s="961" t="str">
        <f>'SECAP template'!P40</f>
        <v>NE</v>
      </c>
      <c r="P14" s="961" t="str">
        <f>'SECAP template'!Q40</f>
        <v>NE</v>
      </c>
      <c r="Q14" s="961" t="str">
        <f>'SECAP template'!R40</f>
        <v>NE</v>
      </c>
      <c r="R14" s="958">
        <f t="shared" si="0"/>
        <v>93.92213000000001</v>
      </c>
    </row>
    <row r="15" spans="1:18" s="393" customFormat="1">
      <c r="A15" s="391" t="s">
        <v>451</v>
      </c>
      <c r="B15" s="962">
        <f>SUM(B4:B14)</f>
        <v>2385.4948977515601</v>
      </c>
      <c r="C15" s="962">
        <f t="shared" ref="C15:R15" si="1">SUM(C4:C14)</f>
        <v>0</v>
      </c>
      <c r="D15" s="962">
        <f t="shared" si="1"/>
        <v>5188.0197624522216</v>
      </c>
      <c r="E15" s="962">
        <f t="shared" si="1"/>
        <v>71.922352848678869</v>
      </c>
      <c r="F15" s="962">
        <f t="shared" si="1"/>
        <v>2269.8316377429924</v>
      </c>
      <c r="G15" s="962">
        <f t="shared" si="1"/>
        <v>1719.6042153953174</v>
      </c>
      <c r="H15" s="962">
        <f t="shared" si="1"/>
        <v>823.77544706432229</v>
      </c>
      <c r="I15" s="962">
        <f t="shared" si="1"/>
        <v>0</v>
      </c>
      <c r="J15" s="962">
        <f t="shared" si="1"/>
        <v>48.345540444204168</v>
      </c>
      <c r="K15" s="962">
        <f t="shared" si="1"/>
        <v>0</v>
      </c>
      <c r="L15" s="962">
        <f t="shared" si="1"/>
        <v>0</v>
      </c>
      <c r="M15" s="962">
        <f t="shared" si="1"/>
        <v>0</v>
      </c>
      <c r="N15" s="962">
        <f t="shared" si="1"/>
        <v>272.08557485811468</v>
      </c>
      <c r="O15" s="962">
        <f t="shared" si="1"/>
        <v>534.46501265510437</v>
      </c>
      <c r="P15" s="962">
        <f t="shared" si="1"/>
        <v>0</v>
      </c>
      <c r="Q15" s="962">
        <f t="shared" si="1"/>
        <v>0</v>
      </c>
      <c r="R15" s="962">
        <f t="shared" si="1"/>
        <v>13313.544441212514</v>
      </c>
    </row>
    <row r="17" spans="1:18">
      <c r="A17" s="394" t="s">
        <v>452</v>
      </c>
      <c r="B17" s="617">
        <f>huishoudens!B11</f>
        <v>0.17310560263580646</v>
      </c>
      <c r="C17" s="617">
        <f>huishoudens!C11</f>
        <v>0</v>
      </c>
      <c r="D17" s="617">
        <f>huishoudens!D11</f>
        <v>0.20200000000000001</v>
      </c>
      <c r="E17" s="617">
        <f>huishoudens!E11</f>
        <v>0.22700000000000001</v>
      </c>
      <c r="F17" s="617">
        <f>huishoudens!F11</f>
        <v>0.26700000000000002</v>
      </c>
      <c r="G17" s="617">
        <f>huishoudens!G11</f>
        <v>0.26700000000000002</v>
      </c>
      <c r="H17" s="617">
        <f>huishoudens!H11</f>
        <v>0.249</v>
      </c>
      <c r="I17" s="617">
        <f>huishoudens!I11</f>
        <v>0.35099999999999998</v>
      </c>
      <c r="J17" s="617">
        <f>huishoudens!J11</f>
        <v>0.35399999999999998</v>
      </c>
      <c r="K17" s="617">
        <f>huishoudens!K11</f>
        <v>0.26400000000000001</v>
      </c>
      <c r="L17" s="617">
        <f>huishoudens!L11</f>
        <v>0</v>
      </c>
      <c r="M17" s="617">
        <f>huishoudens!M11</f>
        <v>0</v>
      </c>
      <c r="N17" s="617">
        <f>huishoudens!N11</f>
        <v>0</v>
      </c>
      <c r="O17" s="617">
        <f>huishoudens!O11</f>
        <v>0</v>
      </c>
      <c r="P17" s="617">
        <f>huishoudens!P11</f>
        <v>0</v>
      </c>
      <c r="Q17" s="617">
        <f>huishoudens!Q11</f>
        <v>0</v>
      </c>
    </row>
    <row r="19" spans="1:18" ht="15.75">
      <c r="A19" s="1113" t="s">
        <v>454</v>
      </c>
      <c r="B19" s="1114" t="s">
        <v>453</v>
      </c>
      <c r="C19" s="1114"/>
      <c r="D19" s="1114"/>
      <c r="E19" s="1114"/>
      <c r="F19" s="1114"/>
      <c r="G19" s="1114"/>
      <c r="H19" s="1114"/>
      <c r="I19" s="1114"/>
      <c r="J19" s="1114"/>
      <c r="K19" s="1114"/>
      <c r="L19" s="1115"/>
      <c r="M19" s="1114"/>
      <c r="N19" s="1114"/>
      <c r="O19" s="1114"/>
      <c r="P19" s="1114"/>
      <c r="Q19" s="1116"/>
      <c r="R19" s="383"/>
    </row>
    <row r="20" spans="1:18" ht="15" customHeight="1">
      <c r="A20" s="1113"/>
      <c r="B20" s="1117" t="s">
        <v>20</v>
      </c>
      <c r="C20" s="1119" t="s">
        <v>176</v>
      </c>
      <c r="D20" s="1121" t="s">
        <v>177</v>
      </c>
      <c r="E20" s="1122"/>
      <c r="F20" s="1122"/>
      <c r="G20" s="1122"/>
      <c r="H20" s="1122"/>
      <c r="I20" s="1122"/>
      <c r="J20" s="1122"/>
      <c r="K20" s="1118"/>
      <c r="L20" s="850"/>
      <c r="M20" s="1121" t="s">
        <v>178</v>
      </c>
      <c r="N20" s="1122"/>
      <c r="O20" s="1122"/>
      <c r="P20" s="1122"/>
      <c r="Q20" s="1118"/>
      <c r="R20" s="383"/>
    </row>
    <row r="21" spans="1:18" ht="45">
      <c r="A21" s="1113"/>
      <c r="B21" s="1118"/>
      <c r="C21" s="1120"/>
      <c r="D21" s="383" t="s">
        <v>179</v>
      </c>
      <c r="E21" s="383" t="s">
        <v>180</v>
      </c>
      <c r="F21" s="383" t="s">
        <v>181</v>
      </c>
      <c r="G21" s="383" t="s">
        <v>182</v>
      </c>
      <c r="H21" s="383" t="s">
        <v>100</v>
      </c>
      <c r="I21" s="383" t="s">
        <v>183</v>
      </c>
      <c r="J21" s="383" t="s">
        <v>184</v>
      </c>
      <c r="K21" s="383" t="s">
        <v>185</v>
      </c>
      <c r="L21" s="878" t="s">
        <v>652</v>
      </c>
      <c r="M21" s="383" t="s">
        <v>186</v>
      </c>
      <c r="N21" s="383" t="s">
        <v>187</v>
      </c>
      <c r="O21" s="383" t="s">
        <v>188</v>
      </c>
      <c r="P21" s="383" t="s">
        <v>189</v>
      </c>
      <c r="Q21" s="383" t="s">
        <v>190</v>
      </c>
      <c r="R21" s="383" t="s">
        <v>96</v>
      </c>
    </row>
    <row r="22" spans="1:18">
      <c r="A22" s="385" t="s">
        <v>135</v>
      </c>
      <c r="B22" s="955">
        <f>B4*$B$17</f>
        <v>237.79365579223932</v>
      </c>
      <c r="C22" s="955">
        <f t="shared" ref="C22:C32" si="2">IFERROR(C4*$C$17,C4)</f>
        <v>0</v>
      </c>
      <c r="D22" s="955">
        <f t="shared" ref="D22:D32" si="3">IFERROR(D4*$D$17,D4)</f>
        <v>873.26608011299993</v>
      </c>
      <c r="E22" s="955">
        <f t="shared" ref="E22:E32" si="4">IFERROR(E4*$E$17,E4)</f>
        <v>11.412245653783529</v>
      </c>
      <c r="F22" s="955">
        <f t="shared" ref="F22:F32" si="5">IFERROR(F4*$F$17,F4)</f>
        <v>218.11845084937491</v>
      </c>
      <c r="G22" s="955" t="str">
        <f t="shared" ref="G22:G32" si="6">IFERROR(G4*$G$17,G4)</f>
        <v>NE</v>
      </c>
      <c r="H22" s="955" t="str">
        <f t="shared" ref="H22:H32" si="7">IFERROR(H4*$H$17,H4)</f>
        <v>NE</v>
      </c>
      <c r="I22" s="955" t="str">
        <f t="shared" ref="I22:I32" si="8">IFERROR(I4*$I$17,I4)</f>
        <v xml:space="preserve">NE </v>
      </c>
      <c r="J22" s="955">
        <f t="shared" ref="J22:J32" si="9">IFERROR(J4*$J$17,J4)</f>
        <v>2.3182601826671214</v>
      </c>
      <c r="K22" s="955" t="str">
        <f t="shared" ref="K22:K32" si="10">IFERROR(K4*$K$17,K4)</f>
        <v>NE</v>
      </c>
      <c r="L22" s="955">
        <f t="shared" ref="L22:L32" si="11">IFERROR(L4*$L$17,L4)</f>
        <v>0</v>
      </c>
      <c r="M22" s="955">
        <f t="shared" ref="M22:M23" si="12">IFERROR(M4*$M$17,M4)</f>
        <v>0</v>
      </c>
      <c r="N22" s="955" t="str">
        <f t="shared" ref="N22:N32" si="13">IFERROR(N4*$N$17,N4)</f>
        <v>NE</v>
      </c>
      <c r="O22" s="955">
        <f t="shared" ref="O22:O32" si="14">IFERROR(O4*$O$17,O4)</f>
        <v>0</v>
      </c>
      <c r="P22" s="955" t="str">
        <f t="shared" ref="P22:P32" si="15">IFERROR(P4*$P$17,P4)</f>
        <v>NE</v>
      </c>
      <c r="Q22" s="955" t="str">
        <f t="shared" ref="Q22:Q32" si="16">IFERROR(Q4*$Q$17,Q4)</f>
        <v>NE</v>
      </c>
      <c r="R22" s="387">
        <f>SUM(B22:Q22)</f>
        <v>1342.9086925910647</v>
      </c>
    </row>
    <row r="23" spans="1:18">
      <c r="A23" s="385" t="s">
        <v>136</v>
      </c>
      <c r="B23" s="955">
        <f t="shared" ref="B23:B32" si="17">B5*$B$17</f>
        <v>80.355402332235329</v>
      </c>
      <c r="C23" s="955">
        <f t="shared" si="2"/>
        <v>0</v>
      </c>
      <c r="D23" s="955">
        <f t="shared" si="3"/>
        <v>103.59182821168925</v>
      </c>
      <c r="E23" s="955">
        <f t="shared" si="4"/>
        <v>0.67537312246276093</v>
      </c>
      <c r="F23" s="955">
        <f t="shared" si="5"/>
        <v>32.586618908962073</v>
      </c>
      <c r="G23" s="955" t="str">
        <f t="shared" si="6"/>
        <v>NE</v>
      </c>
      <c r="H23" s="955">
        <f t="shared" si="7"/>
        <v>7.3416193402258394E-3</v>
      </c>
      <c r="I23" s="955" t="str">
        <f t="shared" si="8"/>
        <v>NE</v>
      </c>
      <c r="J23" s="955">
        <f t="shared" si="9"/>
        <v>4.9731200882361011E-4</v>
      </c>
      <c r="K23" s="955" t="str">
        <f t="shared" si="10"/>
        <v>NE</v>
      </c>
      <c r="L23" s="955" t="str">
        <f t="shared" si="11"/>
        <v>IE</v>
      </c>
      <c r="M23" s="955" t="str">
        <f t="shared" si="12"/>
        <v>IE</v>
      </c>
      <c r="N23" s="955" t="str">
        <f t="shared" si="13"/>
        <v>IE</v>
      </c>
      <c r="O23" s="955">
        <f t="shared" si="14"/>
        <v>0</v>
      </c>
      <c r="P23" s="955" t="str">
        <f t="shared" si="15"/>
        <v>NE</v>
      </c>
      <c r="Q23" s="955" t="str">
        <f t="shared" si="16"/>
        <v>NE</v>
      </c>
      <c r="R23" s="385">
        <f>SUM(B23:Q23)</f>
        <v>217.21706150669846</v>
      </c>
    </row>
    <row r="24" spans="1:18">
      <c r="A24" s="385" t="s">
        <v>174</v>
      </c>
      <c r="B24" s="955">
        <f t="shared" si="17"/>
        <v>3.4439699972229086E-14</v>
      </c>
      <c r="C24" s="955" t="str">
        <f>IFERROR(C6*$C$17,C6)</f>
        <v>NO</v>
      </c>
      <c r="D24" s="955" t="str">
        <f>IFERROR(D6*$D$17,D6)</f>
        <v>NO</v>
      </c>
      <c r="E24" s="955" t="str">
        <f>IFERROR(E6*$E$17,E6)</f>
        <v>NO</v>
      </c>
      <c r="F24" s="955" t="str">
        <f>IFERROR(F6*$F$17,F6)</f>
        <v>NO</v>
      </c>
      <c r="G24" s="955" t="str">
        <f>IFERROR(G6*$G$17,G6)</f>
        <v>NO</v>
      </c>
      <c r="H24" s="955" t="str">
        <f>IFERROR(H6*$H$17,H6)</f>
        <v>NO</v>
      </c>
      <c r="I24" s="955" t="str">
        <f>IFERROR(I6*$I$17,I6)</f>
        <v>NO</v>
      </c>
      <c r="J24" s="955" t="str">
        <f>IFERROR(J6*$J$17,J6)</f>
        <v>NO</v>
      </c>
      <c r="K24" s="955" t="str">
        <f>IFERROR(K6*$K$17,K6)</f>
        <v>NO</v>
      </c>
      <c r="L24" s="955" t="str">
        <f>IFERROR(L6*$L$17,L6)</f>
        <v>NO</v>
      </c>
      <c r="M24" s="955" t="str">
        <f>IFERROR(M6*$M$17,M6)</f>
        <v>NO</v>
      </c>
      <c r="N24" s="955" t="str">
        <f>IFERROR(N6*$N$17,N6)</f>
        <v>NO</v>
      </c>
      <c r="O24" s="955" t="str">
        <f>IFERROR(O6*$O$17,O6)</f>
        <v>NO</v>
      </c>
      <c r="P24" s="955" t="str">
        <f>IFERROR(P6*$P$17,P6)</f>
        <v>NO</v>
      </c>
      <c r="Q24" s="955" t="str">
        <f>IFERROR(Q6*$Q$17,Q6)</f>
        <v>NO</v>
      </c>
      <c r="R24" s="385">
        <f t="shared" ref="R24" si="18">IFERROR(R6*R17,R6)</f>
        <v>0</v>
      </c>
    </row>
    <row r="25" spans="1:18">
      <c r="A25" s="385" t="s">
        <v>92</v>
      </c>
      <c r="B25" s="955">
        <f t="shared" si="17"/>
        <v>59.965581113170572</v>
      </c>
      <c r="C25" s="955">
        <f t="shared" si="2"/>
        <v>0</v>
      </c>
      <c r="D25" s="955">
        <f t="shared" si="3"/>
        <v>0</v>
      </c>
      <c r="E25" s="955">
        <f t="shared" si="4"/>
        <v>2.9450472920956425</v>
      </c>
      <c r="F25" s="955">
        <f t="shared" si="5"/>
        <v>350.67672493955655</v>
      </c>
      <c r="G25" s="955" t="str">
        <f t="shared" si="6"/>
        <v>NE</v>
      </c>
      <c r="H25" s="955" t="str">
        <f t="shared" si="7"/>
        <v>NE</v>
      </c>
      <c r="I25" s="955" t="str">
        <f t="shared" si="8"/>
        <v>NE</v>
      </c>
      <c r="J25" s="955">
        <f t="shared" si="9"/>
        <v>14.787118663530293</v>
      </c>
      <c r="K25" s="955" t="str">
        <f t="shared" si="10"/>
        <v>NE</v>
      </c>
      <c r="L25" s="955" t="str">
        <f t="shared" si="11"/>
        <v>IE</v>
      </c>
      <c r="M25" s="955" t="str">
        <f t="shared" ref="M25:M32" si="19">IFERROR(M7*$M$17,M7)</f>
        <v>IE</v>
      </c>
      <c r="N25" s="955" t="str">
        <f t="shared" si="13"/>
        <v>IE</v>
      </c>
      <c r="O25" s="955">
        <f t="shared" si="14"/>
        <v>0</v>
      </c>
      <c r="P25" s="955" t="str">
        <f t="shared" si="15"/>
        <v>NE</v>
      </c>
      <c r="Q25" s="955" t="str">
        <f t="shared" si="16"/>
        <v>NE</v>
      </c>
      <c r="R25" s="385">
        <f t="shared" ref="R25:R31" si="20">SUM(B25:Q25)</f>
        <v>428.37447200835305</v>
      </c>
    </row>
    <row r="26" spans="1:18">
      <c r="A26" s="385" t="s">
        <v>492</v>
      </c>
      <c r="B26" s="955">
        <f t="shared" si="17"/>
        <v>4.0959586556002048</v>
      </c>
      <c r="C26" s="955">
        <f t="shared" si="2"/>
        <v>0</v>
      </c>
      <c r="D26" s="955">
        <f t="shared" si="3"/>
        <v>18.12211453458</v>
      </c>
      <c r="E26" s="955">
        <f t="shared" si="4"/>
        <v>9.8009180732491541E-2</v>
      </c>
      <c r="F26" s="955">
        <f t="shared" si="5"/>
        <v>4.6632525794855058</v>
      </c>
      <c r="G26" s="955" t="str">
        <f t="shared" si="6"/>
        <v>NE</v>
      </c>
      <c r="H26" s="955">
        <f t="shared" si="7"/>
        <v>0</v>
      </c>
      <c r="I26" s="955" t="str">
        <f t="shared" si="8"/>
        <v>NE</v>
      </c>
      <c r="J26" s="955">
        <f t="shared" si="9"/>
        <v>8.4451590420368088E-3</v>
      </c>
      <c r="K26" s="955" t="str">
        <f t="shared" si="10"/>
        <v>NE</v>
      </c>
      <c r="L26" s="955" t="str">
        <f t="shared" si="11"/>
        <v>IE</v>
      </c>
      <c r="M26" s="955" t="str">
        <f t="shared" si="19"/>
        <v>IE</v>
      </c>
      <c r="N26" s="955" t="str">
        <f t="shared" si="13"/>
        <v>IE</v>
      </c>
      <c r="O26" s="955">
        <f t="shared" si="14"/>
        <v>0</v>
      </c>
      <c r="P26" s="955" t="str">
        <f t="shared" si="15"/>
        <v>NE</v>
      </c>
      <c r="Q26" s="955" t="str">
        <f t="shared" si="16"/>
        <v>NE</v>
      </c>
      <c r="R26" s="385">
        <f t="shared" si="20"/>
        <v>26.987780109440241</v>
      </c>
    </row>
    <row r="27" spans="1:18" s="389" customFormat="1">
      <c r="A27" s="388" t="s">
        <v>457</v>
      </c>
      <c r="B27" s="963">
        <f t="shared" si="17"/>
        <v>7.523943101408733</v>
      </c>
      <c r="C27" s="955" t="str">
        <f t="shared" si="2"/>
        <v>NO</v>
      </c>
      <c r="D27" s="955">
        <f t="shared" si="3"/>
        <v>2.281253157368837</v>
      </c>
      <c r="E27" s="955">
        <f t="shared" si="4"/>
        <v>1.1956988475756798</v>
      </c>
      <c r="F27" s="955" t="str">
        <f t="shared" si="5"/>
        <v>NO</v>
      </c>
      <c r="G27" s="955">
        <f t="shared" si="6"/>
        <v>449.58549570081692</v>
      </c>
      <c r="H27" s="955">
        <f t="shared" si="7"/>
        <v>205.11274469967603</v>
      </c>
      <c r="I27" s="955" t="str">
        <f t="shared" si="8"/>
        <v>NO</v>
      </c>
      <c r="J27" s="955" t="str">
        <f t="shared" si="9"/>
        <v>NO</v>
      </c>
      <c r="K27" s="955" t="str">
        <f t="shared" si="10"/>
        <v>NO</v>
      </c>
      <c r="L27" s="955" t="str">
        <f t="shared" si="11"/>
        <v>NO</v>
      </c>
      <c r="M27" s="955" t="str">
        <f t="shared" si="19"/>
        <v>NO</v>
      </c>
      <c r="N27" s="955">
        <f t="shared" si="13"/>
        <v>0</v>
      </c>
      <c r="O27" s="955" t="str">
        <f t="shared" si="14"/>
        <v>NO</v>
      </c>
      <c r="P27" s="955" t="str">
        <f t="shared" si="15"/>
        <v>NO</v>
      </c>
      <c r="Q27" s="955" t="str">
        <f t="shared" si="16"/>
        <v>NO</v>
      </c>
      <c r="R27" s="388">
        <f t="shared" si="20"/>
        <v>665.69913550684623</v>
      </c>
    </row>
    <row r="28" spans="1:18" ht="16.5" customHeight="1">
      <c r="A28" s="385" t="s">
        <v>447</v>
      </c>
      <c r="B28" s="955">
        <f t="shared" si="17"/>
        <v>0.15411628913866635</v>
      </c>
      <c r="C28" s="955" t="str">
        <f t="shared" si="2"/>
        <v>NO</v>
      </c>
      <c r="D28" s="955" t="str">
        <f t="shared" si="3"/>
        <v>NO</v>
      </c>
      <c r="E28" s="955" t="str">
        <f t="shared" si="4"/>
        <v>NO</v>
      </c>
      <c r="F28" s="955" t="str">
        <f t="shared" si="5"/>
        <v>NO</v>
      </c>
      <c r="G28" s="955">
        <f t="shared" si="6"/>
        <v>9.548829809732867</v>
      </c>
      <c r="H28" s="955" t="str">
        <f t="shared" si="7"/>
        <v>NO</v>
      </c>
      <c r="I28" s="955" t="str">
        <f t="shared" si="8"/>
        <v>NO</v>
      </c>
      <c r="J28" s="955" t="str">
        <f t="shared" si="9"/>
        <v>NO</v>
      </c>
      <c r="K28" s="955" t="str">
        <f t="shared" si="10"/>
        <v>NO</v>
      </c>
      <c r="L28" s="955" t="str">
        <f t="shared" si="11"/>
        <v>NO</v>
      </c>
      <c r="M28" s="955" t="str">
        <f t="shared" si="19"/>
        <v>NO</v>
      </c>
      <c r="N28" s="955">
        <f t="shared" si="13"/>
        <v>0</v>
      </c>
      <c r="O28" s="955" t="str">
        <f t="shared" si="14"/>
        <v>NO</v>
      </c>
      <c r="P28" s="955" t="str">
        <f t="shared" si="15"/>
        <v>NO</v>
      </c>
      <c r="Q28" s="955" t="str">
        <f t="shared" si="16"/>
        <v xml:space="preserve">NO </v>
      </c>
      <c r="R28" s="385">
        <f t="shared" si="20"/>
        <v>9.7029460988715339</v>
      </c>
    </row>
    <row r="29" spans="1:18">
      <c r="A29" s="385" t="s">
        <v>448</v>
      </c>
      <c r="B29" s="955">
        <f t="shared" si="17"/>
        <v>5.8803741355509338</v>
      </c>
      <c r="C29" s="955">
        <f t="shared" si="2"/>
        <v>0</v>
      </c>
      <c r="D29" s="955">
        <f t="shared" si="3"/>
        <v>40.455722198710781</v>
      </c>
      <c r="E29" s="955">
        <f t="shared" si="4"/>
        <v>0</v>
      </c>
      <c r="F29" s="955">
        <f t="shared" si="5"/>
        <v>0</v>
      </c>
      <c r="G29" s="955" t="str">
        <f t="shared" si="6"/>
        <v>NO</v>
      </c>
      <c r="H29" s="955" t="str">
        <f t="shared" si="7"/>
        <v>NO</v>
      </c>
      <c r="I29" s="955" t="str">
        <f t="shared" si="8"/>
        <v>NO</v>
      </c>
      <c r="J29" s="955" t="str">
        <f t="shared" si="9"/>
        <v>NO</v>
      </c>
      <c r="K29" s="955">
        <f t="shared" si="10"/>
        <v>0</v>
      </c>
      <c r="L29" s="955" t="str">
        <f t="shared" si="11"/>
        <v>IE</v>
      </c>
      <c r="M29" s="955" t="str">
        <f t="shared" si="19"/>
        <v>IE</v>
      </c>
      <c r="N29" s="955">
        <f t="shared" si="13"/>
        <v>0</v>
      </c>
      <c r="O29" s="955">
        <f t="shared" si="14"/>
        <v>0</v>
      </c>
      <c r="P29" s="955" t="str">
        <f t="shared" si="15"/>
        <v>NE</v>
      </c>
      <c r="Q29" s="955" t="str">
        <f t="shared" si="16"/>
        <v>NE</v>
      </c>
      <c r="R29" s="385">
        <f t="shared" si="20"/>
        <v>46.336096334261711</v>
      </c>
    </row>
    <row r="30" spans="1:18">
      <c r="A30" s="385" t="s">
        <v>449</v>
      </c>
      <c r="B30" s="955">
        <f t="shared" si="17"/>
        <v>9.7100125686502583</v>
      </c>
      <c r="C30" s="955" t="str">
        <f t="shared" si="2"/>
        <v>NO</v>
      </c>
      <c r="D30" s="955" t="str">
        <f t="shared" si="3"/>
        <v>NO</v>
      </c>
      <c r="E30" s="955" t="str">
        <f t="shared" si="4"/>
        <v>NO</v>
      </c>
      <c r="F30" s="955" t="str">
        <f t="shared" si="5"/>
        <v>NO</v>
      </c>
      <c r="G30" s="955" t="str">
        <f t="shared" si="6"/>
        <v>NO</v>
      </c>
      <c r="H30" s="955" t="str">
        <f t="shared" si="7"/>
        <v>NO</v>
      </c>
      <c r="I30" s="955" t="str">
        <f t="shared" si="8"/>
        <v>NO</v>
      </c>
      <c r="J30" s="955" t="str">
        <f t="shared" si="9"/>
        <v>NO</v>
      </c>
      <c r="K30" s="955" t="str">
        <f t="shared" si="10"/>
        <v>NO</v>
      </c>
      <c r="L30" s="955" t="str">
        <f t="shared" si="11"/>
        <v>NO</v>
      </c>
      <c r="M30" s="955" t="str">
        <f t="shared" si="19"/>
        <v>NO</v>
      </c>
      <c r="N30" s="955" t="str">
        <f t="shared" si="13"/>
        <v>NO</v>
      </c>
      <c r="O30" s="955" t="str">
        <f t="shared" si="14"/>
        <v>NO</v>
      </c>
      <c r="P30" s="955" t="str">
        <f t="shared" si="15"/>
        <v>NO</v>
      </c>
      <c r="Q30" s="955" t="str">
        <f t="shared" si="16"/>
        <v>NO</v>
      </c>
      <c r="R30" s="385">
        <f t="shared" si="20"/>
        <v>9.7100125686502583</v>
      </c>
    </row>
    <row r="31" spans="1:18">
      <c r="A31" s="385" t="s">
        <v>450</v>
      </c>
      <c r="B31" s="955">
        <f t="shared" si="17"/>
        <v>0</v>
      </c>
      <c r="C31" s="955" t="str">
        <f t="shared" si="2"/>
        <v>NO</v>
      </c>
      <c r="D31" s="955">
        <f t="shared" si="3"/>
        <v>0</v>
      </c>
      <c r="E31" s="955">
        <f t="shared" si="4"/>
        <v>0</v>
      </c>
      <c r="F31" s="955" t="str">
        <f t="shared" si="5"/>
        <v>NO</v>
      </c>
      <c r="G31" s="955">
        <f t="shared" si="6"/>
        <v>0</v>
      </c>
      <c r="H31" s="955">
        <f t="shared" si="7"/>
        <v>0</v>
      </c>
      <c r="I31" s="955" t="str">
        <f t="shared" si="8"/>
        <v>NO</v>
      </c>
      <c r="J31" s="955" t="str">
        <f t="shared" si="9"/>
        <v>NO</v>
      </c>
      <c r="K31" s="955" t="str">
        <f t="shared" si="10"/>
        <v>NO</v>
      </c>
      <c r="L31" s="955" t="str">
        <f t="shared" si="11"/>
        <v>NO</v>
      </c>
      <c r="M31" s="955" t="str">
        <f t="shared" si="19"/>
        <v>NO</v>
      </c>
      <c r="N31" s="955">
        <f t="shared" si="13"/>
        <v>0</v>
      </c>
      <c r="O31" s="955" t="str">
        <f t="shared" si="14"/>
        <v>NO</v>
      </c>
      <c r="P31" s="955" t="str">
        <f t="shared" si="15"/>
        <v>NO</v>
      </c>
      <c r="Q31" s="955" t="str">
        <f t="shared" si="16"/>
        <v>NO</v>
      </c>
      <c r="R31" s="385">
        <f t="shared" si="20"/>
        <v>0</v>
      </c>
    </row>
    <row r="32" spans="1:18">
      <c r="A32" s="385" t="s">
        <v>553</v>
      </c>
      <c r="B32" s="955">
        <f t="shared" si="17"/>
        <v>7.4634878719314024</v>
      </c>
      <c r="C32" s="955" t="str">
        <f t="shared" si="2"/>
        <v>NE</v>
      </c>
      <c r="D32" s="955">
        <f t="shared" si="3"/>
        <v>10.2629938</v>
      </c>
      <c r="E32" s="955" t="str">
        <f t="shared" si="4"/>
        <v>NE</v>
      </c>
      <c r="F32" s="955" t="str">
        <f t="shared" si="5"/>
        <v>NE</v>
      </c>
      <c r="G32" s="955" t="str">
        <f t="shared" si="6"/>
        <v>NE</v>
      </c>
      <c r="H32" s="955" t="str">
        <f t="shared" si="7"/>
        <v>NE</v>
      </c>
      <c r="I32" s="955" t="str">
        <f t="shared" si="8"/>
        <v>NE</v>
      </c>
      <c r="J32" s="955" t="str">
        <f t="shared" si="9"/>
        <v>NE</v>
      </c>
      <c r="K32" s="955" t="str">
        <f t="shared" si="10"/>
        <v>NE</v>
      </c>
      <c r="L32" s="955" t="str">
        <f t="shared" si="11"/>
        <v>NE</v>
      </c>
      <c r="M32" s="955" t="str">
        <f t="shared" si="19"/>
        <v>NE</v>
      </c>
      <c r="N32" s="955" t="str">
        <f t="shared" si="13"/>
        <v>NE</v>
      </c>
      <c r="O32" s="955" t="str">
        <f t="shared" si="14"/>
        <v>NE</v>
      </c>
      <c r="P32" s="955" t="str">
        <f t="shared" si="15"/>
        <v>NE</v>
      </c>
      <c r="Q32" s="955" t="str">
        <f t="shared" si="16"/>
        <v>NE</v>
      </c>
      <c r="R32" s="385">
        <f t="shared" ref="R32" si="21">SUM(B32:Q32)</f>
        <v>17.726481671931403</v>
      </c>
    </row>
    <row r="33" spans="1:18" s="393" customFormat="1">
      <c r="A33" s="391" t="s">
        <v>451</v>
      </c>
      <c r="B33" s="962">
        <f>SUM(B22:B32)</f>
        <v>412.94253185992551</v>
      </c>
      <c r="C33" s="962">
        <f t="shared" ref="C33:R33" si="22">SUM(C22:C32)</f>
        <v>0</v>
      </c>
      <c r="D33" s="962">
        <f t="shared" si="22"/>
        <v>1047.9799920153489</v>
      </c>
      <c r="E33" s="962">
        <f t="shared" si="22"/>
        <v>16.326374096650103</v>
      </c>
      <c r="F33" s="962">
        <f t="shared" si="22"/>
        <v>606.04504727737901</v>
      </c>
      <c r="G33" s="962">
        <f t="shared" si="22"/>
        <v>459.13432551054979</v>
      </c>
      <c r="H33" s="962">
        <f t="shared" si="22"/>
        <v>205.12008631901625</v>
      </c>
      <c r="I33" s="962">
        <f t="shared" si="22"/>
        <v>0</v>
      </c>
      <c r="J33" s="962">
        <f t="shared" si="22"/>
        <v>17.114321317248276</v>
      </c>
      <c r="K33" s="392">
        <f t="shared" si="22"/>
        <v>0</v>
      </c>
      <c r="L33" s="392">
        <f t="shared" si="22"/>
        <v>0</v>
      </c>
      <c r="M33" s="392">
        <f t="shared" si="22"/>
        <v>0</v>
      </c>
      <c r="N33" s="392">
        <f t="shared" si="22"/>
        <v>0</v>
      </c>
      <c r="O33" s="392">
        <f t="shared" si="22"/>
        <v>0</v>
      </c>
      <c r="P33" s="392">
        <f t="shared" si="22"/>
        <v>0</v>
      </c>
      <c r="Q33" s="392">
        <f t="shared" si="22"/>
        <v>0</v>
      </c>
      <c r="R33" s="392">
        <f t="shared" si="22"/>
        <v>2764.6626783961174</v>
      </c>
    </row>
  </sheetData>
  <mergeCells count="12">
    <mergeCell ref="A1:A3"/>
    <mergeCell ref="B1:Q1"/>
    <mergeCell ref="B2:B3"/>
    <mergeCell ref="C2:C3"/>
    <mergeCell ref="D2:K2"/>
    <mergeCell ref="M2:Q2"/>
    <mergeCell ref="A19:A21"/>
    <mergeCell ref="B19:Q19"/>
    <mergeCell ref="B20:B21"/>
    <mergeCell ref="C20:C21"/>
    <mergeCell ref="D20:K20"/>
    <mergeCell ref="M20:Q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R20"/>
  <sheetViews>
    <sheetView topLeftCell="A10" zoomScale="68" zoomScaleNormal="68" workbookViewId="0">
      <selection activeCell="B13" sqref="B13"/>
    </sheetView>
  </sheetViews>
  <sheetFormatPr defaultColWidth="9.140625" defaultRowHeight="15"/>
  <cols>
    <col min="1" max="1" width="51.42578125" style="384" customWidth="1"/>
    <col min="2" max="8" width="26.28515625" style="384" customWidth="1"/>
    <col min="9" max="9" width="32" style="384" customWidth="1"/>
    <col min="10" max="12" width="26.28515625" style="384" customWidth="1"/>
    <col min="13" max="13" width="23.7109375" style="384" customWidth="1"/>
    <col min="14" max="16" width="26.28515625" style="384" customWidth="1"/>
    <col min="17" max="17" width="42" style="384" customWidth="1"/>
    <col min="18" max="18" width="26.28515625" style="384" customWidth="1"/>
    <col min="19" max="19" width="9.5703125" style="384" bestFit="1" customWidth="1"/>
    <col min="20" max="16384" width="9.140625" style="384"/>
  </cols>
  <sheetData>
    <row r="1" spans="1:18" s="760" customFormat="1" ht="21">
      <c r="A1" s="1123" t="s">
        <v>446</v>
      </c>
      <c r="B1" s="1124" t="s">
        <v>542</v>
      </c>
      <c r="C1" s="1124"/>
      <c r="D1" s="1124"/>
      <c r="E1" s="1124"/>
      <c r="F1" s="1124"/>
      <c r="G1" s="1124"/>
      <c r="H1" s="1124"/>
      <c r="I1" s="1124"/>
      <c r="J1" s="1124"/>
      <c r="K1" s="1124"/>
      <c r="L1" s="1125"/>
      <c r="M1" s="1124"/>
      <c r="N1" s="1124"/>
      <c r="O1" s="1124"/>
      <c r="P1" s="1124"/>
      <c r="Q1" s="1126"/>
      <c r="R1" s="759"/>
    </row>
    <row r="2" spans="1:18" s="760" customFormat="1" ht="21">
      <c r="A2" s="1123"/>
      <c r="B2" s="1127" t="s">
        <v>20</v>
      </c>
      <c r="C2" s="1129" t="s">
        <v>176</v>
      </c>
      <c r="D2" s="1131" t="s">
        <v>177</v>
      </c>
      <c r="E2" s="1132"/>
      <c r="F2" s="1132"/>
      <c r="G2" s="1132"/>
      <c r="H2" s="1132"/>
      <c r="I2" s="1132"/>
      <c r="J2" s="1132"/>
      <c r="K2" s="1128"/>
      <c r="L2" s="851"/>
      <c r="M2" s="1131" t="s">
        <v>178</v>
      </c>
      <c r="N2" s="1132"/>
      <c r="O2" s="1132"/>
      <c r="P2" s="1132"/>
      <c r="Q2" s="1132"/>
      <c r="R2" s="968"/>
    </row>
    <row r="3" spans="1:18" s="760" customFormat="1" ht="42">
      <c r="A3" s="1123"/>
      <c r="B3" s="1128"/>
      <c r="C3" s="1130"/>
      <c r="D3" s="761" t="s">
        <v>179</v>
      </c>
      <c r="E3" s="761" t="s">
        <v>180</v>
      </c>
      <c r="F3" s="761" t="s">
        <v>181</v>
      </c>
      <c r="G3" s="761" t="s">
        <v>182</v>
      </c>
      <c r="H3" s="761" t="s">
        <v>100</v>
      </c>
      <c r="I3" s="761" t="s">
        <v>183</v>
      </c>
      <c r="J3" s="761" t="s">
        <v>184</v>
      </c>
      <c r="K3" s="761" t="s">
        <v>185</v>
      </c>
      <c r="L3" s="895" t="s">
        <v>652</v>
      </c>
      <c r="M3" s="761" t="s">
        <v>186</v>
      </c>
      <c r="N3" s="761" t="s">
        <v>187</v>
      </c>
      <c r="O3" s="761" t="s">
        <v>188</v>
      </c>
      <c r="P3" s="761" t="s">
        <v>189</v>
      </c>
      <c r="Q3" s="964" t="s">
        <v>190</v>
      </c>
      <c r="R3" s="968" t="s">
        <v>96</v>
      </c>
    </row>
    <row r="4" spans="1:18" ht="409.5">
      <c r="A4" s="762" t="s">
        <v>135</v>
      </c>
      <c r="B4" s="763" t="s">
        <v>765</v>
      </c>
      <c r="C4" s="768" t="s">
        <v>694</v>
      </c>
      <c r="D4" s="768" t="s">
        <v>621</v>
      </c>
      <c r="E4" s="764" t="s">
        <v>696</v>
      </c>
      <c r="F4" s="764" t="s">
        <v>697</v>
      </c>
      <c r="G4" s="765" t="s">
        <v>543</v>
      </c>
      <c r="H4" s="765" t="s">
        <v>543</v>
      </c>
      <c r="I4" s="765" t="s">
        <v>543</v>
      </c>
      <c r="J4" s="764" t="s">
        <v>698</v>
      </c>
      <c r="K4" s="765" t="s">
        <v>543</v>
      </c>
      <c r="L4" s="765" t="s">
        <v>543</v>
      </c>
      <c r="M4" s="765" t="s">
        <v>543</v>
      </c>
      <c r="N4" s="765" t="s">
        <v>543</v>
      </c>
      <c r="O4" s="764" t="s">
        <v>699</v>
      </c>
      <c r="P4" s="765" t="s">
        <v>543</v>
      </c>
      <c r="Q4" s="965" t="s">
        <v>543</v>
      </c>
      <c r="R4" s="969"/>
    </row>
    <row r="5" spans="1:18" ht="195">
      <c r="A5" s="766" t="s">
        <v>136</v>
      </c>
      <c r="B5" s="767" t="s">
        <v>745</v>
      </c>
      <c r="C5" s="768" t="s">
        <v>694</v>
      </c>
      <c r="D5" s="768" t="s">
        <v>621</v>
      </c>
      <c r="E5" s="769" t="s">
        <v>544</v>
      </c>
      <c r="F5" s="769" t="s">
        <v>622</v>
      </c>
      <c r="G5" s="770" t="s">
        <v>543</v>
      </c>
      <c r="H5" s="770" t="s">
        <v>543</v>
      </c>
      <c r="I5" s="770" t="s">
        <v>543</v>
      </c>
      <c r="J5" s="769" t="s">
        <v>546</v>
      </c>
      <c r="K5" s="770" t="s">
        <v>543</v>
      </c>
      <c r="L5" s="770" t="s">
        <v>679</v>
      </c>
      <c r="M5" s="770" t="s">
        <v>543</v>
      </c>
      <c r="N5" s="770" t="s">
        <v>543</v>
      </c>
      <c r="O5" s="769" t="s">
        <v>623</v>
      </c>
      <c r="P5" s="765" t="s">
        <v>543</v>
      </c>
      <c r="Q5" s="965" t="s">
        <v>543</v>
      </c>
      <c r="R5" s="969"/>
    </row>
    <row r="6" spans="1:18" ht="30">
      <c r="A6" s="766" t="s">
        <v>174</v>
      </c>
      <c r="B6" s="771" t="s">
        <v>547</v>
      </c>
      <c r="C6" s="772" t="s">
        <v>548</v>
      </c>
      <c r="D6" s="770" t="s">
        <v>548</v>
      </c>
      <c r="E6" s="770" t="s">
        <v>548</v>
      </c>
      <c r="F6" s="770" t="s">
        <v>548</v>
      </c>
      <c r="G6" s="770" t="s">
        <v>548</v>
      </c>
      <c r="H6" s="770" t="s">
        <v>548</v>
      </c>
      <c r="I6" s="770" t="s">
        <v>548</v>
      </c>
      <c r="J6" s="770" t="s">
        <v>548</v>
      </c>
      <c r="K6" s="770" t="s">
        <v>548</v>
      </c>
      <c r="L6" s="770" t="s">
        <v>548</v>
      </c>
      <c r="M6" s="770" t="s">
        <v>548</v>
      </c>
      <c r="N6" s="770" t="s">
        <v>548</v>
      </c>
      <c r="O6" s="770" t="s">
        <v>548</v>
      </c>
      <c r="P6" s="773" t="s">
        <v>548</v>
      </c>
      <c r="Q6" s="966" t="s">
        <v>548</v>
      </c>
      <c r="R6" s="970"/>
    </row>
    <row r="7" spans="1:18" ht="180">
      <c r="A7" s="766" t="s">
        <v>92</v>
      </c>
      <c r="B7" s="767" t="s">
        <v>746</v>
      </c>
      <c r="C7" s="768" t="s">
        <v>694</v>
      </c>
      <c r="D7" s="768" t="s">
        <v>621</v>
      </c>
      <c r="E7" s="769" t="s">
        <v>544</v>
      </c>
      <c r="F7" s="769" t="s">
        <v>545</v>
      </c>
      <c r="G7" s="770" t="s">
        <v>543</v>
      </c>
      <c r="H7" s="770" t="s">
        <v>543</v>
      </c>
      <c r="I7" s="770" t="s">
        <v>543</v>
      </c>
      <c r="J7" s="769" t="s">
        <v>546</v>
      </c>
      <c r="K7" s="770" t="s">
        <v>543</v>
      </c>
      <c r="L7" s="770" t="s">
        <v>679</v>
      </c>
      <c r="M7" s="770" t="s">
        <v>543</v>
      </c>
      <c r="N7" s="770" t="s">
        <v>543</v>
      </c>
      <c r="O7" s="774" t="s">
        <v>543</v>
      </c>
      <c r="P7" s="765" t="s">
        <v>543</v>
      </c>
      <c r="Q7" s="965" t="s">
        <v>543</v>
      </c>
      <c r="R7" s="969"/>
    </row>
    <row r="8" spans="1:18" ht="195">
      <c r="A8" s="766" t="s">
        <v>492</v>
      </c>
      <c r="B8" s="767" t="s">
        <v>747</v>
      </c>
      <c r="C8" s="768" t="s">
        <v>694</v>
      </c>
      <c r="D8" s="768" t="s">
        <v>621</v>
      </c>
      <c r="E8" s="769" t="s">
        <v>544</v>
      </c>
      <c r="F8" s="769" t="s">
        <v>545</v>
      </c>
      <c r="G8" s="770" t="s">
        <v>543</v>
      </c>
      <c r="H8" s="770" t="s">
        <v>543</v>
      </c>
      <c r="I8" s="770" t="s">
        <v>543</v>
      </c>
      <c r="J8" s="769" t="s">
        <v>546</v>
      </c>
      <c r="K8" s="770" t="s">
        <v>543</v>
      </c>
      <c r="L8" s="770" t="s">
        <v>679</v>
      </c>
      <c r="M8" s="770" t="s">
        <v>543</v>
      </c>
      <c r="N8" s="770" t="s">
        <v>543</v>
      </c>
      <c r="O8" s="769" t="s">
        <v>623</v>
      </c>
      <c r="P8" s="765" t="s">
        <v>543</v>
      </c>
      <c r="Q8" s="965" t="s">
        <v>543</v>
      </c>
      <c r="R8" s="969"/>
    </row>
    <row r="9" spans="1:18" s="389" customFormat="1" ht="390">
      <c r="A9" s="775" t="s">
        <v>457</v>
      </c>
      <c r="B9" s="769" t="s">
        <v>688</v>
      </c>
      <c r="C9" s="773" t="s">
        <v>548</v>
      </c>
      <c r="D9" s="769" t="s">
        <v>689</v>
      </c>
      <c r="E9" s="769" t="s">
        <v>690</v>
      </c>
      <c r="F9" s="770" t="s">
        <v>548</v>
      </c>
      <c r="G9" s="769" t="s">
        <v>691</v>
      </c>
      <c r="H9" s="769" t="s">
        <v>692</v>
      </c>
      <c r="I9" s="770" t="s">
        <v>548</v>
      </c>
      <c r="J9" s="770" t="s">
        <v>548</v>
      </c>
      <c r="K9" s="770" t="s">
        <v>548</v>
      </c>
      <c r="L9" s="770" t="s">
        <v>548</v>
      </c>
      <c r="M9" s="770" t="s">
        <v>548</v>
      </c>
      <c r="N9" s="769" t="s">
        <v>688</v>
      </c>
      <c r="O9" s="770" t="s">
        <v>548</v>
      </c>
      <c r="P9" s="770" t="s">
        <v>548</v>
      </c>
      <c r="Q9" s="967" t="s">
        <v>548</v>
      </c>
      <c r="R9" s="971"/>
    </row>
    <row r="10" spans="1:18" ht="360">
      <c r="A10" s="766" t="s">
        <v>447</v>
      </c>
      <c r="B10" s="767" t="s">
        <v>549</v>
      </c>
      <c r="C10" s="773" t="s">
        <v>548</v>
      </c>
      <c r="D10" s="773" t="s">
        <v>548</v>
      </c>
      <c r="E10" s="773" t="s">
        <v>548</v>
      </c>
      <c r="F10" s="770" t="s">
        <v>548</v>
      </c>
      <c r="G10" s="767" t="s">
        <v>550</v>
      </c>
      <c r="H10" s="770" t="s">
        <v>548</v>
      </c>
      <c r="I10" s="770" t="s">
        <v>548</v>
      </c>
      <c r="J10" s="770" t="s">
        <v>548</v>
      </c>
      <c r="K10" s="770" t="s">
        <v>548</v>
      </c>
      <c r="L10" s="770" t="s">
        <v>548</v>
      </c>
      <c r="M10" s="770" t="s">
        <v>548</v>
      </c>
      <c r="N10" s="767" t="s">
        <v>551</v>
      </c>
      <c r="O10" s="770" t="s">
        <v>548</v>
      </c>
      <c r="P10" s="770" t="s">
        <v>548</v>
      </c>
      <c r="Q10" s="967" t="s">
        <v>548</v>
      </c>
      <c r="R10" s="969"/>
    </row>
    <row r="11" spans="1:18" ht="165">
      <c r="A11" s="775" t="s">
        <v>448</v>
      </c>
      <c r="B11" s="771" t="s">
        <v>680</v>
      </c>
      <c r="C11" s="771" t="s">
        <v>680</v>
      </c>
      <c r="D11" s="771" t="s">
        <v>680</v>
      </c>
      <c r="E11" s="771" t="s">
        <v>680</v>
      </c>
      <c r="F11" s="771" t="s">
        <v>680</v>
      </c>
      <c r="G11" s="776" t="s">
        <v>548</v>
      </c>
      <c r="H11" s="776" t="s">
        <v>548</v>
      </c>
      <c r="I11" s="776" t="s">
        <v>548</v>
      </c>
      <c r="J11" s="776" t="s">
        <v>548</v>
      </c>
      <c r="K11" s="776" t="s">
        <v>548</v>
      </c>
      <c r="L11" s="776" t="s">
        <v>679</v>
      </c>
      <c r="M11" s="776" t="s">
        <v>548</v>
      </c>
      <c r="N11" s="771" t="s">
        <v>680</v>
      </c>
      <c r="O11" s="776" t="s">
        <v>548</v>
      </c>
      <c r="P11" s="776" t="s">
        <v>543</v>
      </c>
      <c r="Q11" s="777" t="s">
        <v>543</v>
      </c>
      <c r="R11" s="972"/>
    </row>
    <row r="12" spans="1:18" ht="165">
      <c r="A12" s="775" t="s">
        <v>449</v>
      </c>
      <c r="B12" s="771" t="s">
        <v>680</v>
      </c>
      <c r="C12" s="776" t="s">
        <v>548</v>
      </c>
      <c r="D12" s="776" t="s">
        <v>548</v>
      </c>
      <c r="E12" s="776" t="s">
        <v>548</v>
      </c>
      <c r="F12" s="776" t="s">
        <v>548</v>
      </c>
      <c r="G12" s="776" t="s">
        <v>548</v>
      </c>
      <c r="H12" s="776" t="s">
        <v>548</v>
      </c>
      <c r="I12" s="776" t="s">
        <v>548</v>
      </c>
      <c r="J12" s="776" t="s">
        <v>548</v>
      </c>
      <c r="K12" s="776" t="s">
        <v>548</v>
      </c>
      <c r="L12" s="776" t="s">
        <v>548</v>
      </c>
      <c r="M12" s="776" t="s">
        <v>548</v>
      </c>
      <c r="N12" s="776" t="s">
        <v>548</v>
      </c>
      <c r="O12" s="776" t="s">
        <v>548</v>
      </c>
      <c r="P12" s="776" t="s">
        <v>548</v>
      </c>
      <c r="Q12" s="777" t="s">
        <v>548</v>
      </c>
      <c r="R12" s="972"/>
    </row>
    <row r="13" spans="1:18" s="52" customFormat="1" ht="90">
      <c r="A13" s="999" t="s">
        <v>450</v>
      </c>
      <c r="B13" s="771" t="s">
        <v>715</v>
      </c>
      <c r="C13" s="1000" t="s">
        <v>548</v>
      </c>
      <c r="D13" s="771" t="s">
        <v>715</v>
      </c>
      <c r="E13" s="771" t="s">
        <v>715</v>
      </c>
      <c r="F13" s="1000" t="s">
        <v>548</v>
      </c>
      <c r="G13" s="771" t="s">
        <v>715</v>
      </c>
      <c r="H13" s="771" t="s">
        <v>715</v>
      </c>
      <c r="I13" s="1000" t="s">
        <v>548</v>
      </c>
      <c r="J13" s="1000" t="s">
        <v>548</v>
      </c>
      <c r="K13" s="1000" t="s">
        <v>548</v>
      </c>
      <c r="L13" s="1000" t="s">
        <v>548</v>
      </c>
      <c r="M13" s="1000" t="s">
        <v>548</v>
      </c>
      <c r="N13" s="771" t="s">
        <v>715</v>
      </c>
      <c r="O13" s="1000" t="s">
        <v>548</v>
      </c>
      <c r="P13" s="1000" t="s">
        <v>548</v>
      </c>
      <c r="Q13" s="1001" t="s">
        <v>548</v>
      </c>
      <c r="R13" s="1002"/>
    </row>
    <row r="14" spans="1:18" ht="30">
      <c r="A14" s="778" t="s">
        <v>553</v>
      </c>
      <c r="B14" s="771" t="s">
        <v>547</v>
      </c>
      <c r="C14" s="776" t="s">
        <v>543</v>
      </c>
      <c r="D14" s="771" t="s">
        <v>547</v>
      </c>
      <c r="E14" s="776" t="s">
        <v>543</v>
      </c>
      <c r="F14" s="776" t="s">
        <v>543</v>
      </c>
      <c r="G14" s="776" t="s">
        <v>543</v>
      </c>
      <c r="H14" s="776" t="s">
        <v>543</v>
      </c>
      <c r="I14" s="776" t="s">
        <v>543</v>
      </c>
      <c r="J14" s="776" t="s">
        <v>543</v>
      </c>
      <c r="K14" s="776" t="s">
        <v>543</v>
      </c>
      <c r="L14" s="776" t="s">
        <v>543</v>
      </c>
      <c r="M14" s="776" t="s">
        <v>543</v>
      </c>
      <c r="N14" s="776" t="s">
        <v>543</v>
      </c>
      <c r="O14" s="776" t="s">
        <v>543</v>
      </c>
      <c r="P14" s="776" t="s">
        <v>543</v>
      </c>
      <c r="Q14" s="777" t="s">
        <v>543</v>
      </c>
      <c r="R14" s="972"/>
    </row>
    <row r="15" spans="1:18" s="393" customFormat="1" ht="21">
      <c r="A15" s="779" t="s">
        <v>451</v>
      </c>
      <c r="B15" s="392"/>
      <c r="C15" s="392"/>
      <c r="D15" s="392"/>
      <c r="E15" s="392"/>
      <c r="F15" s="392"/>
      <c r="G15" s="392"/>
      <c r="H15" s="392"/>
      <c r="I15" s="392"/>
      <c r="J15" s="392"/>
      <c r="K15" s="392"/>
      <c r="L15" s="894"/>
      <c r="M15" s="392"/>
      <c r="N15" s="780"/>
      <c r="O15" s="392"/>
      <c r="P15" s="392"/>
      <c r="Q15" s="894"/>
      <c r="R15" s="973"/>
    </row>
    <row r="16" spans="1:18">
      <c r="N16" s="781"/>
    </row>
    <row r="17" spans="1:4">
      <c r="B17" s="782">
        <v>1</v>
      </c>
      <c r="C17" s="783">
        <v>2</v>
      </c>
      <c r="D17" s="784">
        <v>3</v>
      </c>
    </row>
    <row r="18" spans="1:4" ht="252">
      <c r="A18" s="785" t="s">
        <v>554</v>
      </c>
      <c r="B18" s="786" t="s">
        <v>555</v>
      </c>
      <c r="C18" s="787" t="s">
        <v>556</v>
      </c>
      <c r="D18" s="788" t="s">
        <v>557</v>
      </c>
    </row>
    <row r="19" spans="1:4" ht="243" customHeight="1"/>
    <row r="20" spans="1:4" ht="313.5" customHeight="1"/>
  </sheetData>
  <mergeCells count="6">
    <mergeCell ref="A1:A3"/>
    <mergeCell ref="B1:Q1"/>
    <mergeCell ref="B2:B3"/>
    <mergeCell ref="C2:C3"/>
    <mergeCell ref="D2:K2"/>
    <mergeCell ref="M2:Q2"/>
  </mergeCells>
  <dataValidations count="1">
    <dataValidation type="list" allowBlank="1" showInputMessage="1" showErrorMessage="1" sqref="B2:D3" xr:uid="{D39297DC-2787-42B3-AC66-A302DFF8689D}">
      <formula1>#REF!</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O22"/>
  <sheetViews>
    <sheetView workbookViewId="0">
      <selection activeCell="E23" sqref="E2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2" max="12" width="8.85546875" style="810"/>
    <col min="15" max="15" width="26.42578125" customWidth="1"/>
  </cols>
  <sheetData>
    <row r="1" spans="1:15" ht="76.5" customHeight="1">
      <c r="A1" s="1137" t="s">
        <v>211</v>
      </c>
      <c r="B1" s="1133" t="s">
        <v>303</v>
      </c>
      <c r="C1" s="1133"/>
      <c r="D1" s="1134" t="s">
        <v>304</v>
      </c>
      <c r="E1" s="1135"/>
      <c r="F1" s="1135"/>
      <c r="G1" s="1135"/>
      <c r="H1" s="1136"/>
      <c r="I1" s="912"/>
      <c r="J1" s="912"/>
      <c r="K1" s="912"/>
      <c r="L1" s="912"/>
      <c r="M1" s="912"/>
      <c r="N1" s="912"/>
      <c r="O1" s="1133" t="s">
        <v>558</v>
      </c>
    </row>
    <row r="2" spans="1:15" ht="60">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c r="A4" s="795" t="s">
        <v>219</v>
      </c>
      <c r="B4" s="791">
        <f>'SECAP template'!B99</f>
        <v>0</v>
      </c>
      <c r="C4" s="791"/>
      <c r="D4" s="791"/>
      <c r="E4" s="791"/>
      <c r="F4" s="791"/>
      <c r="G4" s="791"/>
      <c r="H4" s="791"/>
      <c r="I4" s="791"/>
      <c r="J4" s="791"/>
      <c r="K4" s="791"/>
      <c r="L4" s="791"/>
      <c r="M4" s="791"/>
      <c r="N4" s="791"/>
      <c r="O4" s="792">
        <f>'SECAP template'!O99</f>
        <v>0</v>
      </c>
    </row>
    <row r="5" spans="1:15">
      <c r="A5" s="796" t="s">
        <v>220</v>
      </c>
      <c r="B5" s="791">
        <f>'SECAP template'!B100</f>
        <v>0</v>
      </c>
      <c r="C5" s="791"/>
      <c r="D5" s="791"/>
      <c r="E5" s="791"/>
      <c r="F5" s="791"/>
      <c r="G5" s="791"/>
      <c r="H5" s="791"/>
      <c r="I5" s="791"/>
      <c r="J5" s="791"/>
      <c r="K5" s="791"/>
      <c r="L5" s="791"/>
      <c r="M5" s="791"/>
      <c r="N5" s="791"/>
      <c r="O5" s="792">
        <f>'SECAP template'!O100</f>
        <v>0</v>
      </c>
    </row>
    <row r="6" spans="1:15">
      <c r="A6" s="796" t="s">
        <v>221</v>
      </c>
      <c r="B6" s="791">
        <f>'SECAP template'!B101</f>
        <v>516.97665404149075</v>
      </c>
      <c r="C6" s="791"/>
      <c r="D6" s="791"/>
      <c r="E6" s="791"/>
      <c r="F6" s="791"/>
      <c r="G6" s="791"/>
      <c r="H6" s="791"/>
      <c r="I6" s="791"/>
      <c r="J6" s="791"/>
      <c r="K6" s="791"/>
      <c r="L6" s="791"/>
      <c r="M6" s="791"/>
      <c r="N6" s="791"/>
      <c r="O6" s="792">
        <f>'SECAP template'!O101</f>
        <v>0</v>
      </c>
    </row>
    <row r="7" spans="1:15">
      <c r="A7" s="796" t="s">
        <v>540</v>
      </c>
      <c r="B7" s="791" t="str">
        <f>'SECAP template'!B102</f>
        <v>NO</v>
      </c>
      <c r="C7" s="791"/>
      <c r="D7" s="791"/>
      <c r="E7" s="791"/>
      <c r="F7" s="791"/>
      <c r="G7" s="791"/>
      <c r="H7" s="791"/>
      <c r="I7" s="791"/>
      <c r="J7" s="791"/>
      <c r="K7" s="791"/>
      <c r="L7" s="791"/>
      <c r="M7" s="791"/>
      <c r="N7" s="791"/>
      <c r="O7" s="792">
        <f>'SECAP template'!O102</f>
        <v>0</v>
      </c>
    </row>
    <row r="8" spans="1:15">
      <c r="A8" s="795" t="s">
        <v>222</v>
      </c>
      <c r="B8" s="791">
        <f>'SECAP template'!B103</f>
        <v>0</v>
      </c>
      <c r="C8" s="791">
        <f>'SECAP template'!C103</f>
        <v>0</v>
      </c>
      <c r="D8" s="791">
        <f>'SECAP template'!D103</f>
        <v>0</v>
      </c>
      <c r="E8" s="791">
        <f>'SECAP template'!E103</f>
        <v>0</v>
      </c>
      <c r="F8" s="791">
        <f>'SECAP template'!F103</f>
        <v>0</v>
      </c>
      <c r="G8" s="791">
        <f>'SECAP template'!G103</f>
        <v>0</v>
      </c>
      <c r="H8" s="791">
        <f>'SECAP template'!H103</f>
        <v>0</v>
      </c>
      <c r="I8" s="791">
        <f>'SECAP template'!I103</f>
        <v>0</v>
      </c>
      <c r="J8" s="791">
        <f>'SECAP template'!J103</f>
        <v>0</v>
      </c>
      <c r="K8" s="791">
        <f>'SECAP template'!K103</f>
        <v>0</v>
      </c>
      <c r="L8" s="791">
        <f>'SECAP template'!L103</f>
        <v>0</v>
      </c>
      <c r="M8" s="791">
        <f>'SECAP template'!M103</f>
        <v>0</v>
      </c>
      <c r="N8" s="791">
        <f>'SECAP template'!N103</f>
        <v>0</v>
      </c>
      <c r="O8" s="792">
        <f>'SECAP template'!O103</f>
        <v>0</v>
      </c>
    </row>
    <row r="9" spans="1:15">
      <c r="A9" s="797" t="s">
        <v>561</v>
      </c>
      <c r="B9" s="791" t="str">
        <f>'SECAP template'!B104</f>
        <v>IE</v>
      </c>
      <c r="C9" s="791" t="str">
        <f>'SECAP template'!C104</f>
        <v>IE</v>
      </c>
      <c r="D9" s="791" t="str">
        <f>'SECAP template'!D104</f>
        <v>IE</v>
      </c>
      <c r="E9" s="791" t="str">
        <f>'SECAP template'!E104</f>
        <v>IE</v>
      </c>
      <c r="F9" s="791" t="str">
        <f>'SECAP template'!F104</f>
        <v>IE</v>
      </c>
      <c r="G9" s="791" t="str">
        <f>'SECAP template'!G104</f>
        <v>NO</v>
      </c>
      <c r="H9" s="791" t="str">
        <f>'SECAP template'!H104</f>
        <v>NO</v>
      </c>
      <c r="I9" s="791" t="str">
        <f>'SECAP template'!I104</f>
        <v>IE</v>
      </c>
      <c r="J9" s="791" t="str">
        <f>'SECAP template'!J104</f>
        <v>IE</v>
      </c>
      <c r="K9" s="791" t="str">
        <f>'SECAP template'!K104</f>
        <v>IE</v>
      </c>
      <c r="L9" s="791" t="str">
        <f>'SECAP template'!L104</f>
        <v>IE</v>
      </c>
      <c r="M9" s="791" t="str">
        <f>'SECAP template'!M104</f>
        <v>NO</v>
      </c>
      <c r="N9" s="791" t="str">
        <f>'SECAP template'!N104</f>
        <v>NO</v>
      </c>
      <c r="O9" s="792" t="str">
        <f>'SECAP template'!O104</f>
        <v>IE</v>
      </c>
    </row>
    <row r="10" spans="1:15">
      <c r="A10" s="796" t="s">
        <v>96</v>
      </c>
      <c r="B10" s="793">
        <f>SUM(B4:B9)</f>
        <v>516.97665404149075</v>
      </c>
      <c r="C10" s="793">
        <f>SUM(C4:C9)</f>
        <v>0</v>
      </c>
      <c r="D10" s="793">
        <f t="shared" ref="D10:H10" si="0">SUM(D8:D9)</f>
        <v>0</v>
      </c>
      <c r="E10" s="793">
        <f t="shared" si="0"/>
        <v>0</v>
      </c>
      <c r="F10" s="793">
        <f t="shared" si="0"/>
        <v>0</v>
      </c>
      <c r="G10" s="793">
        <f t="shared" si="0"/>
        <v>0</v>
      </c>
      <c r="H10" s="793">
        <f t="shared" si="0"/>
        <v>0</v>
      </c>
      <c r="I10" s="793">
        <f t="shared" ref="I10:O10" si="1">SUM(I8:I9)</f>
        <v>0</v>
      </c>
      <c r="J10" s="793">
        <f t="shared" si="1"/>
        <v>0</v>
      </c>
      <c r="K10" s="793">
        <f t="shared" si="1"/>
        <v>0</v>
      </c>
      <c r="L10" s="793">
        <f t="shared" si="1"/>
        <v>0</v>
      </c>
      <c r="M10" s="793">
        <f t="shared" si="1"/>
        <v>0</v>
      </c>
      <c r="N10" s="793">
        <f t="shared" si="1"/>
        <v>0</v>
      </c>
      <c r="O10" s="793">
        <f t="shared" si="1"/>
        <v>0</v>
      </c>
    </row>
    <row r="11" spans="1:15">
      <c r="A11" s="708"/>
      <c r="B11" s="708"/>
      <c r="C11" s="708"/>
      <c r="D11" s="708"/>
      <c r="E11" s="708"/>
      <c r="F11" s="708"/>
      <c r="G11" s="708"/>
      <c r="H11" s="708"/>
      <c r="I11" s="708"/>
      <c r="J11" s="708"/>
      <c r="K11" s="708"/>
      <c r="L11" s="708"/>
      <c r="M11" s="708"/>
      <c r="N11" s="708"/>
      <c r="O11" s="708"/>
    </row>
    <row r="12" spans="1:15">
      <c r="A12" s="394" t="s">
        <v>571</v>
      </c>
      <c r="B12" s="617" t="s">
        <v>570</v>
      </c>
      <c r="C12" s="617">
        <f>'EF ele_warmte'!B13</f>
        <v>0.17310560263580646</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7.25" customHeight="1">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c r="A17" s="798" t="s">
        <v>222</v>
      </c>
      <c r="B17" s="794">
        <f>'SECAP template'!B114</f>
        <v>0</v>
      </c>
      <c r="C17" s="794">
        <f>'SECAP template'!C114</f>
        <v>0</v>
      </c>
      <c r="D17" s="792">
        <f>'SECAP template'!D114</f>
        <v>0</v>
      </c>
      <c r="E17" s="792">
        <f>'SECAP template'!E114</f>
        <v>0</v>
      </c>
      <c r="F17" s="792">
        <f>'SECAP template'!F114</f>
        <v>0</v>
      </c>
      <c r="G17" s="792">
        <f>'SECAP template'!G114</f>
        <v>0</v>
      </c>
      <c r="H17" s="792">
        <f>'SECAP template'!H114</f>
        <v>0</v>
      </c>
      <c r="I17" s="792">
        <f>'SECAP template'!I114</f>
        <v>0</v>
      </c>
      <c r="J17" s="792">
        <f>'SECAP template'!J114</f>
        <v>0</v>
      </c>
      <c r="K17" s="792">
        <f>'SECAP template'!K114</f>
        <v>0</v>
      </c>
      <c r="L17" s="792">
        <f>'SECAP template'!L114</f>
        <v>0</v>
      </c>
      <c r="M17" s="792">
        <f>'SECAP template'!M114</f>
        <v>0</v>
      </c>
      <c r="N17" s="792">
        <f>'SECAP template'!N114</f>
        <v>0</v>
      </c>
      <c r="O17" s="792">
        <f>'SECAP template'!O114</f>
        <v>0</v>
      </c>
    </row>
    <row r="18" spans="1:15">
      <c r="A18" s="799" t="s">
        <v>227</v>
      </c>
      <c r="B18" s="794">
        <f>'SECAP template'!B115</f>
        <v>0</v>
      </c>
      <c r="C18" s="794">
        <f>'SECAP template'!C115</f>
        <v>0</v>
      </c>
      <c r="D18" s="792">
        <f>'SECAP template'!D115</f>
        <v>0</v>
      </c>
      <c r="E18" s="792">
        <f>'SECAP template'!E115</f>
        <v>0</v>
      </c>
      <c r="F18" s="792">
        <f>'SECAP template'!F115</f>
        <v>0</v>
      </c>
      <c r="G18" s="792">
        <f>'SECAP template'!G115</f>
        <v>0</v>
      </c>
      <c r="H18" s="792">
        <f>'SECAP template'!H115</f>
        <v>0</v>
      </c>
      <c r="I18" s="792">
        <f>'SECAP template'!I115</f>
        <v>0</v>
      </c>
      <c r="J18" s="792">
        <f>'SECAP template'!J115</f>
        <v>0</v>
      </c>
      <c r="K18" s="792">
        <f>'SECAP template'!K115</f>
        <v>0</v>
      </c>
      <c r="L18" s="792">
        <f>'SECAP template'!L115</f>
        <v>0</v>
      </c>
      <c r="M18" s="792">
        <f>'SECAP template'!M115</f>
        <v>0</v>
      </c>
      <c r="N18" s="792">
        <f>'SECAP template'!N115</f>
        <v>0</v>
      </c>
      <c r="O18" s="792">
        <f>'SECAP template'!O115</f>
        <v>0</v>
      </c>
    </row>
    <row r="19" spans="1:15">
      <c r="A19" s="797" t="s">
        <v>562</v>
      </c>
      <c r="B19" s="794" t="str">
        <f>'SECAP template'!B116</f>
        <v>NO</v>
      </c>
      <c r="C19" s="794" t="str">
        <f>'SECAP template'!C116</f>
        <v>NO</v>
      </c>
      <c r="D19" s="792" t="str">
        <f>'SECAP template'!D116</f>
        <v>NO</v>
      </c>
      <c r="E19" s="792" t="str">
        <f>'SECAP template'!E116</f>
        <v>NO</v>
      </c>
      <c r="F19" s="792" t="str">
        <f>'SECAP template'!F116</f>
        <v>NO</v>
      </c>
      <c r="G19" s="792" t="str">
        <f>'SECAP template'!G116</f>
        <v>NO</v>
      </c>
      <c r="H19" s="792" t="str">
        <f>'SECAP template'!H116</f>
        <v>NO</v>
      </c>
      <c r="I19" s="792" t="str">
        <f>'SECAP template'!I116</f>
        <v>NO</v>
      </c>
      <c r="J19" s="792" t="str">
        <f>'SECAP template'!J116</f>
        <v>NO</v>
      </c>
      <c r="K19" s="792" t="str">
        <f>'SECAP template'!K116</f>
        <v>NO</v>
      </c>
      <c r="L19" s="792" t="str">
        <f>'SECAP template'!L116</f>
        <v>NO</v>
      </c>
      <c r="M19" s="792" t="str">
        <f>'SECAP template'!M116</f>
        <v>NO</v>
      </c>
      <c r="N19" s="792" t="str">
        <f>'SECAP template'!N116</f>
        <v>NO</v>
      </c>
      <c r="O19" s="792" t="str">
        <f>'SECAP template'!O116</f>
        <v>NO</v>
      </c>
    </row>
    <row r="20" spans="1:15">
      <c r="A20" s="800" t="s">
        <v>96</v>
      </c>
      <c r="B20" s="793">
        <f>SUM(B17:B19)</f>
        <v>0</v>
      </c>
      <c r="C20" s="793">
        <f>SUM(C17:C19)</f>
        <v>0</v>
      </c>
      <c r="D20" s="793">
        <f t="shared" ref="D20:H20" si="2">SUM(D17:D19)</f>
        <v>0</v>
      </c>
      <c r="E20" s="793">
        <f t="shared" si="2"/>
        <v>0</v>
      </c>
      <c r="F20" s="793">
        <f t="shared" si="2"/>
        <v>0</v>
      </c>
      <c r="G20" s="793">
        <f t="shared" si="2"/>
        <v>0</v>
      </c>
      <c r="H20" s="793">
        <f t="shared" si="2"/>
        <v>0</v>
      </c>
      <c r="I20" s="793">
        <f t="shared" ref="I20:O20" si="3">SUM(I17:I19)</f>
        <v>0</v>
      </c>
      <c r="J20" s="793">
        <f t="shared" si="3"/>
        <v>0</v>
      </c>
      <c r="K20" s="793">
        <f t="shared" si="3"/>
        <v>0</v>
      </c>
      <c r="L20" s="793">
        <f t="shared" si="3"/>
        <v>0</v>
      </c>
      <c r="M20" s="793">
        <f t="shared" si="3"/>
        <v>0</v>
      </c>
      <c r="N20" s="793">
        <f t="shared" si="3"/>
        <v>0</v>
      </c>
      <c r="O20" s="793">
        <f t="shared" si="3"/>
        <v>0</v>
      </c>
    </row>
    <row r="21" spans="1:15">
      <c r="B21" s="705"/>
    </row>
    <row r="22" spans="1:15">
      <c r="A22" s="394" t="s">
        <v>572</v>
      </c>
      <c r="B22" s="617" t="s">
        <v>570</v>
      </c>
      <c r="C22" s="617">
        <f>'EF ele_warmte'!B23</f>
        <v>0</v>
      </c>
    </row>
  </sheetData>
  <mergeCells count="16">
    <mergeCell ref="O14:O16"/>
    <mergeCell ref="O1:O3"/>
    <mergeCell ref="D14:H14"/>
    <mergeCell ref="D1:H1"/>
    <mergeCell ref="A1:A3"/>
    <mergeCell ref="B1:C2"/>
    <mergeCell ref="D2:H2"/>
    <mergeCell ref="A14:A16"/>
    <mergeCell ref="B14:C15"/>
    <mergeCell ref="D15:H15"/>
    <mergeCell ref="J15:J16"/>
    <mergeCell ref="K15:K16"/>
    <mergeCell ref="L15:L16"/>
    <mergeCell ref="I15:I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O22"/>
  <sheetViews>
    <sheetView workbookViewId="0">
      <selection activeCell="I8" sqref="I8"/>
    </sheetView>
  </sheetViews>
  <sheetFormatPr defaultRowHeight="15"/>
  <cols>
    <col min="1" max="1" width="49.5703125" customWidth="1"/>
    <col min="2" max="2" width="27.85546875" customWidth="1"/>
    <col min="3" max="3" width="25.140625" bestFit="1" customWidth="1"/>
    <col min="4" max="4" width="27.28515625" customWidth="1"/>
    <col min="5" max="5" width="24.5703125" customWidth="1"/>
    <col min="6" max="6" width="28.5703125" customWidth="1"/>
    <col min="7" max="7" width="26.140625" customWidth="1"/>
    <col min="8" max="8" width="27.140625" customWidth="1"/>
    <col min="9" max="9" width="27.7109375" customWidth="1"/>
    <col min="10" max="10" width="28" customWidth="1"/>
    <col min="11" max="11" width="24.85546875" customWidth="1"/>
    <col min="12" max="12" width="29.28515625" style="810" customWidth="1"/>
    <col min="13" max="13" width="28.42578125" bestFit="1" customWidth="1"/>
    <col min="14" max="14" width="30" customWidth="1"/>
    <col min="15" max="15" width="26.85546875" customWidth="1"/>
  </cols>
  <sheetData>
    <row r="1" spans="1:15" ht="15.75">
      <c r="A1" s="1137" t="s">
        <v>211</v>
      </c>
      <c r="B1" s="1133" t="s">
        <v>303</v>
      </c>
      <c r="C1" s="1133"/>
      <c r="D1" s="1134" t="s">
        <v>304</v>
      </c>
      <c r="E1" s="1135"/>
      <c r="F1" s="1135"/>
      <c r="G1" s="1135"/>
      <c r="H1" s="1136"/>
      <c r="I1" s="912"/>
      <c r="J1" s="912"/>
      <c r="K1" s="912"/>
      <c r="L1" s="912"/>
      <c r="M1" s="912"/>
      <c r="N1" s="912"/>
      <c r="O1" s="1133" t="s">
        <v>558</v>
      </c>
    </row>
    <row r="2" spans="1:15" ht="15.75">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ht="110.25" customHeight="1">
      <c r="A4" s="803" t="s">
        <v>219</v>
      </c>
      <c r="B4" s="801" t="s">
        <v>624</v>
      </c>
      <c r="C4" s="806" t="s">
        <v>548</v>
      </c>
      <c r="D4" s="806" t="s">
        <v>548</v>
      </c>
      <c r="E4" s="806" t="s">
        <v>548</v>
      </c>
      <c r="F4" s="806" t="s">
        <v>548</v>
      </c>
      <c r="G4" s="806" t="s">
        <v>548</v>
      </c>
      <c r="H4" s="806" t="s">
        <v>548</v>
      </c>
      <c r="I4" s="806" t="s">
        <v>548</v>
      </c>
      <c r="J4" s="806" t="s">
        <v>548</v>
      </c>
      <c r="K4" s="806" t="s">
        <v>548</v>
      </c>
      <c r="L4" s="806" t="s">
        <v>548</v>
      </c>
      <c r="M4" s="806" t="s">
        <v>548</v>
      </c>
      <c r="N4" s="806" t="s">
        <v>548</v>
      </c>
      <c r="O4" s="802" t="s">
        <v>573</v>
      </c>
    </row>
    <row r="5" spans="1:15" ht="105">
      <c r="A5" s="804" t="s">
        <v>220</v>
      </c>
      <c r="B5" s="833" t="s">
        <v>684</v>
      </c>
      <c r="C5" s="806" t="s">
        <v>548</v>
      </c>
      <c r="D5" s="806" t="s">
        <v>548</v>
      </c>
      <c r="E5" s="806" t="s">
        <v>548</v>
      </c>
      <c r="F5" s="806" t="s">
        <v>548</v>
      </c>
      <c r="G5" s="806" t="s">
        <v>548</v>
      </c>
      <c r="H5" s="806" t="s">
        <v>548</v>
      </c>
      <c r="I5" s="806" t="s">
        <v>548</v>
      </c>
      <c r="J5" s="806" t="s">
        <v>548</v>
      </c>
      <c r="K5" s="806" t="s">
        <v>548</v>
      </c>
      <c r="L5" s="806" t="s">
        <v>548</v>
      </c>
      <c r="M5" s="806" t="s">
        <v>548</v>
      </c>
      <c r="N5" s="806" t="s">
        <v>548</v>
      </c>
      <c r="O5" s="802" t="s">
        <v>573</v>
      </c>
    </row>
    <row r="6" spans="1:15" ht="90">
      <c r="A6" s="804" t="s">
        <v>221</v>
      </c>
      <c r="B6" s="801" t="s">
        <v>624</v>
      </c>
      <c r="C6" s="806" t="s">
        <v>548</v>
      </c>
      <c r="D6" s="806" t="s">
        <v>548</v>
      </c>
      <c r="E6" s="806" t="s">
        <v>548</v>
      </c>
      <c r="F6" s="806" t="s">
        <v>548</v>
      </c>
      <c r="G6" s="806" t="s">
        <v>548</v>
      </c>
      <c r="H6" s="806" t="s">
        <v>548</v>
      </c>
      <c r="I6" s="806" t="s">
        <v>548</v>
      </c>
      <c r="J6" s="806" t="s">
        <v>548</v>
      </c>
      <c r="K6" s="806" t="s">
        <v>548</v>
      </c>
      <c r="L6" s="806" t="s">
        <v>548</v>
      </c>
      <c r="M6" s="806" t="s">
        <v>548</v>
      </c>
      <c r="N6" s="806" t="s">
        <v>548</v>
      </c>
      <c r="O6" s="802" t="s">
        <v>573</v>
      </c>
    </row>
    <row r="7" spans="1:15" ht="75">
      <c r="A7" s="804" t="s">
        <v>540</v>
      </c>
      <c r="B7" s="806" t="s">
        <v>548</v>
      </c>
      <c r="C7" s="806" t="s">
        <v>548</v>
      </c>
      <c r="D7" s="806" t="s">
        <v>548</v>
      </c>
      <c r="E7" s="806" t="s">
        <v>548</v>
      </c>
      <c r="F7" s="806" t="s">
        <v>548</v>
      </c>
      <c r="G7" s="806" t="s">
        <v>548</v>
      </c>
      <c r="H7" s="806" t="s">
        <v>548</v>
      </c>
      <c r="I7" s="806" t="s">
        <v>548</v>
      </c>
      <c r="J7" s="806" t="s">
        <v>548</v>
      </c>
      <c r="K7" s="806" t="s">
        <v>548</v>
      </c>
      <c r="L7" s="806" t="s">
        <v>548</v>
      </c>
      <c r="M7" s="806" t="s">
        <v>548</v>
      </c>
      <c r="N7" s="806" t="s">
        <v>548</v>
      </c>
      <c r="O7" s="802" t="s">
        <v>573</v>
      </c>
    </row>
    <row r="8" spans="1:15" ht="75">
      <c r="A8" s="803" t="s">
        <v>222</v>
      </c>
      <c r="B8" s="833" t="s">
        <v>748</v>
      </c>
      <c r="C8" s="833" t="s">
        <v>748</v>
      </c>
      <c r="D8" s="833" t="s">
        <v>750</v>
      </c>
      <c r="E8" s="833" t="s">
        <v>750</v>
      </c>
      <c r="F8" s="833" t="s">
        <v>750</v>
      </c>
      <c r="G8" s="974" t="s">
        <v>548</v>
      </c>
      <c r="H8" s="974" t="s">
        <v>548</v>
      </c>
      <c r="I8" s="833" t="s">
        <v>750</v>
      </c>
      <c r="J8" s="833" t="s">
        <v>750</v>
      </c>
      <c r="K8" s="833" t="s">
        <v>750</v>
      </c>
      <c r="L8" s="833" t="s">
        <v>750</v>
      </c>
      <c r="M8" s="974" t="s">
        <v>548</v>
      </c>
      <c r="N8" s="974" t="s">
        <v>548</v>
      </c>
      <c r="O8" s="835"/>
    </row>
    <row r="9" spans="1:15" ht="30">
      <c r="A9" s="805" t="s">
        <v>561</v>
      </c>
      <c r="B9" s="833" t="s">
        <v>749</v>
      </c>
      <c r="C9" s="833" t="s">
        <v>749</v>
      </c>
      <c r="D9" s="833" t="s">
        <v>749</v>
      </c>
      <c r="E9" s="833" t="s">
        <v>749</v>
      </c>
      <c r="F9" s="833" t="s">
        <v>749</v>
      </c>
      <c r="G9" s="974" t="s">
        <v>548</v>
      </c>
      <c r="H9" s="974" t="s">
        <v>548</v>
      </c>
      <c r="I9" s="833" t="s">
        <v>749</v>
      </c>
      <c r="J9" s="833" t="s">
        <v>749</v>
      </c>
      <c r="K9" s="833" t="s">
        <v>749</v>
      </c>
      <c r="L9" s="833" t="s">
        <v>749</v>
      </c>
      <c r="M9" s="974" t="s">
        <v>548</v>
      </c>
      <c r="N9" s="974" t="s">
        <v>548</v>
      </c>
      <c r="O9" s="833" t="s">
        <v>749</v>
      </c>
    </row>
    <row r="10" spans="1:15">
      <c r="A10" s="804" t="s">
        <v>96</v>
      </c>
      <c r="B10" s="807"/>
      <c r="C10" s="807"/>
      <c r="D10" s="807"/>
      <c r="E10" s="807"/>
      <c r="F10" s="807"/>
      <c r="G10" s="807"/>
      <c r="H10" s="807"/>
      <c r="I10" s="807"/>
      <c r="J10" s="807"/>
      <c r="K10" s="807"/>
      <c r="L10" s="807"/>
      <c r="M10" s="807"/>
      <c r="N10" s="807"/>
      <c r="O10" s="807"/>
    </row>
    <row r="11" spans="1:15">
      <c r="A11" s="708"/>
      <c r="B11" s="708"/>
      <c r="C11" s="708"/>
      <c r="D11" s="708"/>
      <c r="E11" s="708"/>
      <c r="F11" s="708"/>
      <c r="G11" s="708"/>
      <c r="H11" s="708"/>
      <c r="I11" s="708"/>
      <c r="J11" s="708"/>
      <c r="K11" s="708"/>
      <c r="L11" s="708"/>
      <c r="M11" s="708"/>
      <c r="N11" s="708"/>
      <c r="O11" s="708"/>
    </row>
    <row r="12" spans="1:15" ht="150">
      <c r="A12" s="394" t="s">
        <v>571</v>
      </c>
      <c r="B12" s="617" t="s">
        <v>570</v>
      </c>
      <c r="C12" s="836" t="s">
        <v>683</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5.75">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ht="60">
      <c r="A17" s="798" t="s">
        <v>222</v>
      </c>
      <c r="B17" s="833" t="s">
        <v>681</v>
      </c>
      <c r="C17" s="833" t="s">
        <v>681</v>
      </c>
      <c r="D17" s="833" t="s">
        <v>682</v>
      </c>
      <c r="E17" s="833" t="s">
        <v>682</v>
      </c>
      <c r="F17" s="833" t="s">
        <v>682</v>
      </c>
      <c r="G17" s="974" t="s">
        <v>548</v>
      </c>
      <c r="H17" s="974" t="s">
        <v>548</v>
      </c>
      <c r="I17" s="833" t="s">
        <v>682</v>
      </c>
      <c r="J17" s="833" t="s">
        <v>682</v>
      </c>
      <c r="K17" s="833" t="s">
        <v>682</v>
      </c>
      <c r="L17" s="833" t="s">
        <v>682</v>
      </c>
      <c r="M17" s="974" t="s">
        <v>548</v>
      </c>
      <c r="N17" s="974" t="s">
        <v>548</v>
      </c>
      <c r="O17" s="837"/>
    </row>
    <row r="18" spans="1:15" s="11" customFormat="1" ht="30">
      <c r="A18" s="799" t="s">
        <v>227</v>
      </c>
      <c r="B18" s="1028" t="s">
        <v>552</v>
      </c>
      <c r="C18" s="1028" t="s">
        <v>552</v>
      </c>
      <c r="D18" s="1028" t="s">
        <v>552</v>
      </c>
      <c r="E18" s="1028" t="s">
        <v>552</v>
      </c>
      <c r="F18" s="1028" t="s">
        <v>552</v>
      </c>
      <c r="G18" s="1028" t="s">
        <v>552</v>
      </c>
      <c r="H18" s="1028" t="s">
        <v>552</v>
      </c>
      <c r="I18" s="1028" t="s">
        <v>552</v>
      </c>
      <c r="J18" s="1028" t="s">
        <v>552</v>
      </c>
      <c r="K18" s="1028" t="s">
        <v>552</v>
      </c>
      <c r="L18" s="1028" t="s">
        <v>552</v>
      </c>
      <c r="M18" s="1028" t="s">
        <v>552</v>
      </c>
      <c r="N18" s="1028" t="s">
        <v>552</v>
      </c>
      <c r="O18" s="1028"/>
    </row>
    <row r="19" spans="1:15">
      <c r="A19" s="797" t="s">
        <v>562</v>
      </c>
      <c r="B19" s="1024" t="s">
        <v>548</v>
      </c>
      <c r="C19" s="1024" t="s">
        <v>548</v>
      </c>
      <c r="D19" s="1024" t="s">
        <v>548</v>
      </c>
      <c r="E19" s="1024" t="s">
        <v>548</v>
      </c>
      <c r="F19" s="1024" t="s">
        <v>548</v>
      </c>
      <c r="G19" s="1024" t="s">
        <v>548</v>
      </c>
      <c r="H19" s="1024" t="s">
        <v>548</v>
      </c>
      <c r="I19" s="1024" t="s">
        <v>548</v>
      </c>
      <c r="J19" s="1024" t="s">
        <v>548</v>
      </c>
      <c r="K19" s="1024" t="s">
        <v>548</v>
      </c>
      <c r="L19" s="1024" t="s">
        <v>548</v>
      </c>
      <c r="M19" s="1024" t="s">
        <v>548</v>
      </c>
      <c r="N19" s="1024" t="s">
        <v>548</v>
      </c>
      <c r="O19" s="1025" t="s">
        <v>548</v>
      </c>
    </row>
    <row r="20" spans="1:15">
      <c r="A20" s="800" t="s">
        <v>96</v>
      </c>
      <c r="B20" s="793"/>
      <c r="C20" s="793"/>
      <c r="D20" s="793"/>
      <c r="E20" s="793"/>
      <c r="F20" s="793"/>
      <c r="G20" s="793"/>
      <c r="H20" s="793"/>
      <c r="I20" s="793"/>
      <c r="J20" s="793"/>
      <c r="K20" s="793"/>
      <c r="L20" s="793"/>
      <c r="M20" s="793"/>
      <c r="N20" s="793"/>
      <c r="O20" s="793"/>
    </row>
    <row r="21" spans="1:15">
      <c r="A21" s="705"/>
      <c r="B21" s="705"/>
      <c r="C21" s="705"/>
      <c r="D21" s="705"/>
      <c r="E21" s="705"/>
      <c r="F21" s="705"/>
      <c r="G21" s="705"/>
      <c r="H21" s="705"/>
      <c r="I21" s="705"/>
      <c r="J21" s="705"/>
      <c r="K21" s="705"/>
      <c r="M21" s="705"/>
      <c r="N21" s="705"/>
      <c r="O21" s="705"/>
    </row>
    <row r="22" spans="1:15" ht="90">
      <c r="A22" s="394" t="s">
        <v>572</v>
      </c>
      <c r="B22" s="617" t="s">
        <v>570</v>
      </c>
      <c r="C22" s="836" t="s">
        <v>574</v>
      </c>
      <c r="D22" s="705"/>
      <c r="E22" s="705"/>
      <c r="F22" s="705"/>
      <c r="G22" s="705"/>
      <c r="H22" s="705"/>
      <c r="I22" s="705"/>
      <c r="J22" s="705"/>
      <c r="K22" s="705"/>
      <c r="M22" s="705"/>
      <c r="N22" s="705"/>
      <c r="O22" s="705"/>
    </row>
  </sheetData>
  <mergeCells count="16">
    <mergeCell ref="A14:A16"/>
    <mergeCell ref="B14:C15"/>
    <mergeCell ref="O14:O16"/>
    <mergeCell ref="D15:H15"/>
    <mergeCell ref="N15:N16"/>
    <mergeCell ref="J15:J16"/>
    <mergeCell ref="K15:K16"/>
    <mergeCell ref="L15:L16"/>
    <mergeCell ref="I15:I16"/>
    <mergeCell ref="M15:M16"/>
    <mergeCell ref="D14:H14"/>
    <mergeCell ref="A1:A3"/>
    <mergeCell ref="B1:C2"/>
    <mergeCell ref="O1:O3"/>
    <mergeCell ref="D2:H2"/>
    <mergeCell ref="D1:H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0"/>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2" t="s">
        <v>329</v>
      </c>
      <c r="B2" s="109"/>
      <c r="C2" s="110"/>
    </row>
    <row r="3" spans="1:3" s="15" customFormat="1" ht="15.75">
      <c r="A3" s="97"/>
      <c r="B3" s="69"/>
      <c r="C3" s="98"/>
    </row>
    <row r="4" spans="1:3">
      <c r="A4" s="94" t="s">
        <v>315</v>
      </c>
      <c r="B4" s="68" t="s">
        <v>327</v>
      </c>
      <c r="C4" s="99" t="s">
        <v>326</v>
      </c>
    </row>
    <row r="5" spans="1:3">
      <c r="A5" s="111"/>
      <c r="B5" s="43"/>
      <c r="C5" s="95"/>
    </row>
    <row r="6" spans="1:3">
      <c r="A6" s="112" t="s">
        <v>283</v>
      </c>
      <c r="B6" s="74" t="s">
        <v>331</v>
      </c>
      <c r="C6" s="113" t="s">
        <v>766</v>
      </c>
    </row>
    <row r="7" spans="1:3">
      <c r="A7" s="123"/>
      <c r="B7" s="126"/>
      <c r="C7" s="121"/>
    </row>
    <row r="8" spans="1:3" ht="30">
      <c r="A8" s="112" t="s">
        <v>341</v>
      </c>
      <c r="B8" s="74" t="s">
        <v>426</v>
      </c>
      <c r="C8" s="281" t="s">
        <v>666</v>
      </c>
    </row>
    <row r="9" spans="1:3" s="11" customFormat="1">
      <c r="A9" s="137"/>
      <c r="B9" s="155"/>
      <c r="C9" s="156"/>
    </row>
    <row r="10" spans="1:3" ht="21">
      <c r="A10" s="124" t="s">
        <v>389</v>
      </c>
      <c r="B10" s="123"/>
      <c r="C10" s="121"/>
    </row>
  </sheetData>
  <hyperlinks>
    <hyperlink ref="A6" location="'Eigen vloot'!A1" display="Eigen vloot" xr:uid="{00000000-0004-0000-0800-000001000000}"/>
    <hyperlink ref="A8"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Q31"/>
  <sheetViews>
    <sheetView showGridLines="0" workbookViewId="0">
      <selection sqref="A1:A3"/>
    </sheetView>
  </sheetViews>
  <sheetFormatPr defaultColWidth="9.140625" defaultRowHeight="15"/>
  <cols>
    <col min="1" max="1" width="38.140625" style="384" bestFit="1" customWidth="1"/>
    <col min="2" max="2" width="14.140625" style="384" customWidth="1"/>
    <col min="3" max="3" width="16.42578125" style="384" customWidth="1"/>
    <col min="4" max="4" width="15" style="384" customWidth="1"/>
    <col min="5" max="5" width="13.85546875" style="384" customWidth="1"/>
    <col min="6" max="6" width="14.85546875" style="384" customWidth="1"/>
    <col min="7" max="7" width="14.7109375" style="384" customWidth="1"/>
    <col min="8" max="8" width="14.28515625" style="384"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16.140625" style="384" customWidth="1"/>
    <col min="17" max="17" width="17.5703125" style="384" customWidth="1"/>
    <col min="18" max="18" width="9.140625" style="384"/>
    <col min="19" max="19" width="20.42578125" style="384" customWidth="1"/>
    <col min="20" max="16384" width="9.140625" style="384"/>
  </cols>
  <sheetData>
    <row r="1" spans="1:17" ht="15.75" customHeight="1" thickTop="1" thickBot="1">
      <c r="A1" s="1113" t="s">
        <v>283</v>
      </c>
      <c r="B1" s="1141" t="s">
        <v>175</v>
      </c>
      <c r="C1" s="1142"/>
      <c r="D1" s="1142"/>
      <c r="E1" s="1142"/>
      <c r="F1" s="1142"/>
      <c r="G1" s="1142"/>
      <c r="H1" s="1142"/>
      <c r="I1" s="1142"/>
      <c r="J1" s="1142"/>
      <c r="K1" s="1142"/>
      <c r="L1" s="1142"/>
      <c r="M1" s="1142"/>
      <c r="N1" s="1142"/>
      <c r="O1" s="1142"/>
      <c r="P1" s="1142"/>
      <c r="Q1" s="1142"/>
    </row>
    <row r="2" spans="1:17" ht="15" customHeight="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c r="A4" s="384" t="s">
        <v>714</v>
      </c>
      <c r="B4" s="395">
        <f>MWh_eigenvloot_elektriciteit</f>
        <v>0</v>
      </c>
      <c r="C4" s="403"/>
      <c r="D4" s="396">
        <f>MWh_eigenvloot_aardgas</f>
        <v>0</v>
      </c>
      <c r="E4" s="396">
        <f>MWh_eigenvloot_vloeibaargas</f>
        <v>0</v>
      </c>
      <c r="F4" s="403"/>
      <c r="G4" s="396">
        <f>MWh_eigenvloot_diesel</f>
        <v>0</v>
      </c>
      <c r="H4" s="396">
        <f>MWh_eigenvloot_benzine</f>
        <v>0</v>
      </c>
      <c r="I4" s="403"/>
      <c r="J4" s="403"/>
      <c r="K4" s="403"/>
      <c r="L4" s="403"/>
      <c r="M4" s="403"/>
      <c r="N4" s="403"/>
      <c r="O4" s="403"/>
      <c r="P4" s="403"/>
      <c r="Q4" s="403"/>
    </row>
    <row r="5" spans="1:17">
      <c r="B5" s="395"/>
      <c r="C5" s="52"/>
      <c r="D5" s="395"/>
      <c r="E5" s="395"/>
      <c r="F5" s="52"/>
      <c r="G5" s="395"/>
      <c r="H5" s="395"/>
      <c r="I5" s="52"/>
      <c r="J5" s="52"/>
      <c r="K5" s="52"/>
      <c r="L5" s="52"/>
      <c r="M5" s="52"/>
      <c r="N5" s="52"/>
      <c r="O5" s="52"/>
      <c r="P5" s="52"/>
      <c r="Q5" s="52"/>
    </row>
    <row r="6" spans="1:17">
      <c r="B6" s="395"/>
      <c r="C6" s="52"/>
      <c r="D6" s="395"/>
      <c r="E6" s="395"/>
      <c r="F6" s="52"/>
      <c r="G6" s="395"/>
      <c r="H6" s="395"/>
      <c r="I6" s="52"/>
      <c r="J6" s="52"/>
      <c r="K6" s="52"/>
      <c r="L6" s="52"/>
      <c r="M6" s="52"/>
      <c r="N6" s="52"/>
      <c r="O6" s="52"/>
      <c r="P6" s="52"/>
      <c r="Q6" s="52"/>
    </row>
    <row r="7" spans="1:17">
      <c r="B7" s="395"/>
      <c r="C7" s="52"/>
      <c r="D7" s="395"/>
      <c r="E7" s="395"/>
      <c r="F7" s="52"/>
      <c r="G7" s="395"/>
      <c r="H7" s="395"/>
      <c r="I7" s="52"/>
      <c r="J7" s="52"/>
      <c r="K7" s="52"/>
      <c r="L7" s="52"/>
      <c r="M7" s="52"/>
      <c r="N7" s="52"/>
      <c r="O7" s="52"/>
      <c r="P7" s="52"/>
      <c r="Q7" s="52"/>
    </row>
    <row r="8" spans="1:17">
      <c r="A8" s="393"/>
      <c r="B8" s="395"/>
      <c r="C8" s="52"/>
      <c r="D8" s="395"/>
      <c r="E8" s="395"/>
      <c r="F8" s="52"/>
      <c r="G8" s="395"/>
      <c r="H8" s="395"/>
      <c r="I8" s="52"/>
      <c r="J8" s="52"/>
      <c r="K8" s="52"/>
      <c r="L8" s="52"/>
      <c r="M8" s="52"/>
      <c r="N8" s="52"/>
      <c r="O8" s="52"/>
      <c r="P8" s="52"/>
      <c r="Q8" s="52"/>
    </row>
    <row r="9" spans="1:17">
      <c r="B9" s="395"/>
      <c r="C9" s="52"/>
      <c r="D9" s="395"/>
      <c r="E9" s="395"/>
      <c r="F9" s="52"/>
      <c r="G9" s="395"/>
      <c r="H9" s="395"/>
      <c r="I9" s="52"/>
      <c r="J9" s="52"/>
      <c r="K9" s="52"/>
      <c r="L9" s="52"/>
      <c r="M9" s="52"/>
      <c r="N9" s="52"/>
      <c r="O9" s="52"/>
      <c r="P9" s="52"/>
      <c r="Q9" s="52"/>
    </row>
    <row r="10" spans="1:17">
      <c r="B10" s="395"/>
      <c r="C10" s="52"/>
      <c r="D10" s="395"/>
      <c r="E10" s="395"/>
      <c r="F10" s="52"/>
      <c r="G10" s="395"/>
      <c r="H10" s="395"/>
      <c r="I10" s="52"/>
      <c r="J10" s="52"/>
      <c r="K10" s="52"/>
      <c r="L10" s="52"/>
      <c r="M10" s="52"/>
      <c r="N10" s="52"/>
      <c r="O10" s="52"/>
      <c r="P10" s="52"/>
      <c r="Q10" s="52"/>
    </row>
    <row r="11" spans="1:17">
      <c r="B11" s="395"/>
      <c r="C11" s="52"/>
      <c r="D11" s="395"/>
      <c r="E11" s="395"/>
      <c r="F11" s="52"/>
      <c r="G11" s="395"/>
      <c r="H11" s="395"/>
      <c r="I11" s="52"/>
      <c r="J11" s="52"/>
      <c r="K11" s="52"/>
      <c r="L11" s="52"/>
      <c r="M11" s="52"/>
      <c r="N11" s="52"/>
      <c r="O11" s="52"/>
      <c r="P11" s="52"/>
      <c r="Q11" s="52"/>
    </row>
    <row r="12" spans="1:17">
      <c r="B12" s="395"/>
      <c r="C12" s="52"/>
      <c r="D12" s="395"/>
      <c r="E12" s="395"/>
      <c r="F12" s="52"/>
      <c r="G12" s="395"/>
      <c r="H12" s="395"/>
      <c r="I12" s="52"/>
      <c r="J12" s="52"/>
      <c r="K12" s="52"/>
      <c r="L12" s="52"/>
      <c r="M12" s="52"/>
      <c r="N12" s="52"/>
      <c r="O12" s="52"/>
      <c r="P12" s="52"/>
      <c r="Q12" s="52"/>
    </row>
    <row r="13" spans="1:17">
      <c r="B13" s="395"/>
      <c r="C13" s="52"/>
      <c r="D13" s="395"/>
      <c r="E13" s="395"/>
      <c r="F13" s="52"/>
      <c r="G13" s="395"/>
      <c r="H13" s="395"/>
      <c r="I13" s="52"/>
      <c r="J13" s="52"/>
      <c r="K13" s="52"/>
      <c r="L13" s="52"/>
      <c r="M13" s="52"/>
      <c r="N13" s="52"/>
      <c r="O13" s="52"/>
      <c r="P13" s="52"/>
      <c r="Q13" s="52"/>
    </row>
    <row r="14" spans="1:17">
      <c r="B14" s="395"/>
      <c r="C14" s="52"/>
      <c r="D14" s="395"/>
      <c r="E14" s="395"/>
      <c r="F14" s="52"/>
      <c r="G14" s="395"/>
      <c r="H14" s="395"/>
      <c r="I14" s="52"/>
      <c r="J14" s="52"/>
      <c r="K14" s="52"/>
      <c r="L14" s="52"/>
      <c r="M14" s="52"/>
      <c r="N14" s="52"/>
      <c r="O14" s="52"/>
      <c r="P14" s="52"/>
      <c r="Q14" s="52"/>
    </row>
    <row r="15" spans="1:17">
      <c r="B15" s="395"/>
      <c r="C15" s="52"/>
      <c r="D15" s="395"/>
      <c r="E15" s="395"/>
      <c r="F15" s="52"/>
      <c r="G15" s="395"/>
      <c r="H15" s="395"/>
      <c r="I15" s="52"/>
      <c r="J15" s="52"/>
      <c r="K15" s="52"/>
      <c r="L15" s="52"/>
      <c r="M15" s="52"/>
      <c r="N15" s="52"/>
      <c r="O15" s="52"/>
      <c r="P15" s="52"/>
      <c r="Q15" s="52"/>
    </row>
    <row r="16" spans="1:17">
      <c r="B16" s="395"/>
      <c r="C16" s="52"/>
      <c r="D16" s="395"/>
      <c r="E16" s="395"/>
      <c r="F16" s="52"/>
      <c r="G16" s="395"/>
      <c r="H16" s="395"/>
      <c r="I16" s="52"/>
      <c r="J16" s="52"/>
      <c r="K16" s="52"/>
      <c r="L16" s="52"/>
      <c r="M16" s="52"/>
      <c r="N16" s="52"/>
      <c r="O16" s="52"/>
      <c r="P16" s="52"/>
      <c r="Q16" s="52"/>
    </row>
    <row r="17" spans="1:17">
      <c r="B17" s="395"/>
      <c r="C17" s="52"/>
      <c r="D17" s="395"/>
      <c r="E17" s="395"/>
      <c r="F17" s="52"/>
      <c r="G17" s="395"/>
      <c r="H17" s="395"/>
      <c r="I17" s="52"/>
      <c r="J17" s="52"/>
      <c r="K17" s="52"/>
      <c r="L17" s="52"/>
      <c r="M17" s="52"/>
      <c r="N17" s="52"/>
      <c r="O17" s="52"/>
      <c r="P17" s="52"/>
      <c r="Q17" s="52"/>
    </row>
    <row r="18" spans="1:17">
      <c r="B18" s="395"/>
      <c r="C18" s="52"/>
      <c r="D18" s="395"/>
      <c r="E18" s="395"/>
      <c r="F18" s="52"/>
      <c r="G18" s="395"/>
      <c r="H18" s="395"/>
      <c r="I18" s="52"/>
      <c r="J18" s="52"/>
      <c r="K18" s="52"/>
      <c r="L18" s="52"/>
      <c r="M18" s="52"/>
      <c r="N18" s="52"/>
      <c r="O18" s="52"/>
      <c r="P18" s="52"/>
      <c r="Q18" s="52"/>
    </row>
    <row r="19" spans="1:17">
      <c r="B19" s="395"/>
      <c r="C19" s="52"/>
      <c r="D19" s="395"/>
      <c r="E19" s="395"/>
      <c r="F19" s="52"/>
      <c r="G19" s="395"/>
      <c r="H19" s="395"/>
      <c r="I19" s="52"/>
      <c r="J19" s="52"/>
      <c r="K19" s="52"/>
      <c r="L19" s="52"/>
      <c r="M19" s="52"/>
      <c r="N19" s="52"/>
      <c r="O19" s="52"/>
      <c r="P19" s="52"/>
      <c r="Q19" s="52"/>
    </row>
    <row r="20" spans="1:17">
      <c r="B20" s="395"/>
      <c r="C20" s="52"/>
      <c r="D20" s="395"/>
      <c r="E20" s="395"/>
      <c r="F20" s="52"/>
      <c r="G20" s="395"/>
      <c r="H20" s="395"/>
      <c r="I20" s="52"/>
      <c r="J20" s="52"/>
      <c r="K20" s="52"/>
      <c r="L20" s="52"/>
      <c r="M20" s="52"/>
      <c r="N20" s="52"/>
      <c r="O20" s="52"/>
      <c r="P20" s="52"/>
      <c r="Q20" s="52"/>
    </row>
    <row r="21" spans="1:17">
      <c r="B21" s="395"/>
      <c r="C21" s="52"/>
      <c r="D21" s="395"/>
      <c r="E21" s="395"/>
      <c r="F21" s="52"/>
      <c r="G21" s="395"/>
      <c r="H21" s="395"/>
      <c r="I21" s="52"/>
      <c r="J21" s="52"/>
      <c r="K21" s="52"/>
      <c r="L21" s="52"/>
      <c r="M21" s="52"/>
      <c r="N21" s="52"/>
      <c r="O21" s="52"/>
      <c r="P21" s="52"/>
      <c r="Q21" s="52"/>
    </row>
    <row r="22" spans="1:17">
      <c r="B22" s="395"/>
      <c r="C22" s="52"/>
      <c r="D22" s="395"/>
      <c r="E22" s="395"/>
      <c r="F22" s="52"/>
      <c r="G22" s="395"/>
      <c r="H22" s="395"/>
      <c r="I22" s="52"/>
      <c r="J22" s="52"/>
      <c r="K22" s="52"/>
      <c r="L22" s="52"/>
      <c r="M22" s="52"/>
      <c r="N22" s="52"/>
      <c r="O22" s="52"/>
      <c r="P22" s="52"/>
      <c r="Q22" s="52"/>
    </row>
    <row r="23" spans="1:17" ht="15.75" thickBot="1">
      <c r="B23" s="395"/>
      <c r="C23" s="52"/>
      <c r="D23" s="395"/>
      <c r="E23" s="395"/>
      <c r="F23" s="52"/>
      <c r="G23" s="395"/>
      <c r="H23" s="395"/>
      <c r="I23" s="52"/>
      <c r="J23" s="52"/>
      <c r="K23" s="52"/>
      <c r="L23" s="52"/>
      <c r="M23" s="52"/>
      <c r="N23" s="52"/>
      <c r="O23" s="52"/>
      <c r="P23" s="52"/>
      <c r="Q23" s="52"/>
    </row>
    <row r="24" spans="1:17" ht="15.75" thickBot="1">
      <c r="A24" s="398" t="s">
        <v>471</v>
      </c>
    </row>
    <row r="26" spans="1:17" s="393" customFormat="1">
      <c r="A26" s="399" t="s">
        <v>427</v>
      </c>
      <c r="B26" s="399">
        <f t="shared" ref="B26:H26" si="0">SUM(B4:B23)</f>
        <v>0</v>
      </c>
      <c r="C26" s="399" t="s">
        <v>667</v>
      </c>
      <c r="D26" s="399">
        <f t="shared" si="0"/>
        <v>0</v>
      </c>
      <c r="E26" s="399">
        <f t="shared" si="0"/>
        <v>0</v>
      </c>
      <c r="F26" s="399" t="s">
        <v>667</v>
      </c>
      <c r="G26" s="399">
        <f t="shared" si="0"/>
        <v>0</v>
      </c>
      <c r="H26" s="399">
        <f t="shared" si="0"/>
        <v>0</v>
      </c>
      <c r="I26" s="399" t="s">
        <v>667</v>
      </c>
      <c r="J26" s="399" t="s">
        <v>667</v>
      </c>
      <c r="K26" s="399" t="s">
        <v>667</v>
      </c>
      <c r="L26" s="913" t="s">
        <v>667</v>
      </c>
      <c r="M26" s="399" t="s">
        <v>667</v>
      </c>
      <c r="N26" s="399"/>
      <c r="O26" s="399" t="s">
        <v>667</v>
      </c>
      <c r="P26" s="399" t="s">
        <v>667</v>
      </c>
      <c r="Q26" s="399" t="s">
        <v>667</v>
      </c>
    </row>
    <row r="27" spans="1:17" s="393" customFormat="1">
      <c r="A27" s="399" t="s">
        <v>475</v>
      </c>
      <c r="B27" s="399">
        <f>B26</f>
        <v>0</v>
      </c>
      <c r="C27" s="399" t="s">
        <v>667</v>
      </c>
      <c r="D27" s="399">
        <f>D26</f>
        <v>0</v>
      </c>
      <c r="E27" s="399">
        <f>E26</f>
        <v>0</v>
      </c>
      <c r="F27" s="399" t="s">
        <v>667</v>
      </c>
      <c r="G27" s="399">
        <f>(1-transport!C35)*'Eigen vloot'!G26</f>
        <v>0</v>
      </c>
      <c r="H27" s="399">
        <f>(1-transport!C42)*'Eigen vloot'!H26</f>
        <v>0</v>
      </c>
      <c r="I27" s="399" t="s">
        <v>667</v>
      </c>
      <c r="J27" s="399" t="s">
        <v>667</v>
      </c>
      <c r="K27" s="399" t="s">
        <v>667</v>
      </c>
      <c r="L27" s="913" t="s">
        <v>667</v>
      </c>
      <c r="M27" s="399" t="s">
        <v>667</v>
      </c>
      <c r="N27" s="529">
        <f>G26*transport!C35+'Eigen vloot'!H26*transport!C42</f>
        <v>0</v>
      </c>
      <c r="O27" s="399" t="s">
        <v>667</v>
      </c>
      <c r="P27" s="399" t="s">
        <v>667</v>
      </c>
      <c r="Q27" s="399" t="s">
        <v>667</v>
      </c>
    </row>
    <row r="29" spans="1:17">
      <c r="A29" s="401" t="s">
        <v>477</v>
      </c>
      <c r="B29" s="405">
        <f>'EF ele_warmte'!B13</f>
        <v>0.17310560263580646</v>
      </c>
      <c r="C29" s="405">
        <f>'EF ele_warmte'!B23</f>
        <v>0</v>
      </c>
      <c r="D29" s="405">
        <f>EF_CO2_aardgas</f>
        <v>0.20200000000000001</v>
      </c>
      <c r="E29" s="405">
        <f>EF_VLgas_CO2</f>
        <v>0.22700000000000001</v>
      </c>
      <c r="F29" s="405">
        <f>EF_stookolie_CO2</f>
        <v>0.26700000000000002</v>
      </c>
      <c r="G29" s="405">
        <f>EF_diesel_CO2</f>
        <v>0.26700000000000002</v>
      </c>
      <c r="H29" s="405">
        <f>EF_benzine_CO2</f>
        <v>0.249</v>
      </c>
      <c r="I29" s="405">
        <f>EF_bruinkool_CO2</f>
        <v>0.35099999999999998</v>
      </c>
      <c r="J29" s="405">
        <f>EF_steenkool_CO2</f>
        <v>0.35399999999999998</v>
      </c>
      <c r="K29" s="405">
        <f>EF_anderfossiel_CO2</f>
        <v>0.26400000000000001</v>
      </c>
      <c r="L29" s="914">
        <f>EF_biogas_CO2</f>
        <v>0</v>
      </c>
      <c r="M29" s="405">
        <f>'EF brandstof'!L4</f>
        <v>0</v>
      </c>
      <c r="N29" s="405">
        <f>'EF brandstof'!K4</f>
        <v>0</v>
      </c>
      <c r="O29" s="405">
        <f>'EF brandstof'!M4</f>
        <v>0</v>
      </c>
      <c r="P29" s="405">
        <v>0</v>
      </c>
      <c r="Q29" s="405">
        <v>0</v>
      </c>
    </row>
    <row r="31" spans="1:17">
      <c r="A31" s="399" t="s">
        <v>193</v>
      </c>
      <c r="B31" s="530">
        <f>B27*B29</f>
        <v>0</v>
      </c>
      <c r="C31" s="530" t="s">
        <v>667</v>
      </c>
      <c r="D31" s="530">
        <f>D27*D29</f>
        <v>0</v>
      </c>
      <c r="E31" s="530">
        <f>E27*E29</f>
        <v>0</v>
      </c>
      <c r="F31" s="530" t="s">
        <v>667</v>
      </c>
      <c r="G31" s="530">
        <f>G27*G29</f>
        <v>0</v>
      </c>
      <c r="H31" s="530">
        <f>H27*H29</f>
        <v>0</v>
      </c>
      <c r="I31" s="530" t="s">
        <v>667</v>
      </c>
      <c r="J31" s="530" t="s">
        <v>667</v>
      </c>
      <c r="K31" s="530" t="s">
        <v>667</v>
      </c>
      <c r="L31" s="915" t="s">
        <v>667</v>
      </c>
      <c r="M31" s="530" t="s">
        <v>667</v>
      </c>
      <c r="N31" s="530">
        <f>N27*N29</f>
        <v>0</v>
      </c>
      <c r="O31" s="404" t="s">
        <v>667</v>
      </c>
      <c r="P31" s="404" t="s">
        <v>667</v>
      </c>
      <c r="Q31" s="404" t="s">
        <v>667</v>
      </c>
    </row>
  </sheetData>
  <mergeCells count="6">
    <mergeCell ref="A1:A3"/>
    <mergeCell ref="B1:Q1"/>
    <mergeCell ref="B2:B3"/>
    <mergeCell ref="C2:C3"/>
    <mergeCell ref="D2:K2"/>
    <mergeCell ref="M2:Q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7"/>
  <sheetViews>
    <sheetView showGridLines="0" zoomScale="78" zoomScaleNormal="78" workbookViewId="0">
      <selection activeCell="E4" sqref="E4"/>
    </sheetView>
  </sheetViews>
  <sheetFormatPr defaultRowHeight="15"/>
  <cols>
    <col min="1" max="1" width="54" bestFit="1" customWidth="1"/>
    <col min="2" max="2" width="26" style="384" bestFit="1" customWidth="1"/>
    <col min="3" max="3" width="26" customWidth="1"/>
    <col min="4" max="4" width="87.5703125" customWidth="1"/>
    <col min="5" max="5" width="22.42578125" customWidth="1"/>
  </cols>
  <sheetData>
    <row r="1" spans="1:11" s="43" customFormat="1" ht="15.75" thickBot="1">
      <c r="B1" s="386"/>
    </row>
    <row r="2" spans="1:11" s="43" customFormat="1" ht="43.9" customHeight="1">
      <c r="A2" s="998" t="s">
        <v>712</v>
      </c>
      <c r="B2" s="1149" t="s">
        <v>713</v>
      </c>
      <c r="C2" s="1149"/>
      <c r="D2" s="1150"/>
    </row>
    <row r="3" spans="1:11">
      <c r="A3" s="100"/>
      <c r="B3" s="407"/>
      <c r="C3" s="138" t="s">
        <v>162</v>
      </c>
      <c r="D3" s="141" t="s">
        <v>336</v>
      </c>
    </row>
    <row r="4" spans="1:11">
      <c r="A4" s="44" t="s">
        <v>365</v>
      </c>
      <c r="B4" s="47"/>
      <c r="C4" s="32"/>
      <c r="D4" s="140" t="s">
        <v>338</v>
      </c>
      <c r="E4" s="997" t="s">
        <v>711</v>
      </c>
    </row>
    <row r="5" spans="1:11" s="810" customFormat="1">
      <c r="A5" s="44" t="s">
        <v>653</v>
      </c>
      <c r="B5" s="47"/>
      <c r="C5" s="32"/>
      <c r="D5" s="140" t="s">
        <v>338</v>
      </c>
      <c r="E5" s="997"/>
    </row>
    <row r="6" spans="1:11">
      <c r="A6" s="44"/>
      <c r="B6" s="48"/>
      <c r="C6" s="32"/>
      <c r="D6" s="140"/>
    </row>
    <row r="7" spans="1:11" s="10" customFormat="1" ht="21.75" thickBot="1">
      <c r="A7" s="178" t="s">
        <v>661</v>
      </c>
      <c r="B7" s="408"/>
      <c r="C7" s="179"/>
      <c r="D7" s="180"/>
    </row>
    <row r="8" spans="1:11" s="43" customFormat="1" ht="15.75" thickBot="1">
      <c r="B8" s="386"/>
    </row>
    <row r="9" spans="1:11" s="43" customFormat="1">
      <c r="A9" s="173" t="s">
        <v>686</v>
      </c>
      <c r="B9" s="406"/>
      <c r="C9" s="174"/>
      <c r="D9" s="175"/>
    </row>
    <row r="10" spans="1:11" s="32" customFormat="1">
      <c r="A10" s="46"/>
      <c r="B10" s="409"/>
      <c r="C10" s="42"/>
      <c r="D10" s="272"/>
    </row>
    <row r="11" spans="1:11">
      <c r="A11" s="273" t="s">
        <v>459</v>
      </c>
      <c r="B11" s="407"/>
      <c r="C11" s="138" t="s">
        <v>162</v>
      </c>
      <c r="D11" s="141" t="s">
        <v>336</v>
      </c>
      <c r="I11" s="1147"/>
      <c r="K11" s="57"/>
    </row>
    <row r="12" spans="1:11" s="43" customFormat="1">
      <c r="A12" s="44" t="s">
        <v>460</v>
      </c>
      <c r="B12" s="47"/>
      <c r="D12" s="139" t="s">
        <v>337</v>
      </c>
      <c r="I12" s="1147"/>
      <c r="K12" s="57"/>
    </row>
    <row r="13" spans="1:11" s="43" customFormat="1">
      <c r="A13" s="44" t="s">
        <v>461</v>
      </c>
      <c r="B13" s="47"/>
      <c r="D13" s="139" t="s">
        <v>337</v>
      </c>
      <c r="I13" s="1147"/>
      <c r="K13" s="57"/>
    </row>
    <row r="14" spans="1:11" s="43" customFormat="1">
      <c r="A14" s="44"/>
      <c r="B14" s="48"/>
      <c r="D14" s="95"/>
      <c r="I14" s="1147"/>
    </row>
    <row r="15" spans="1:11" s="43" customFormat="1">
      <c r="A15" s="273" t="s">
        <v>458</v>
      </c>
      <c r="B15" s="832"/>
      <c r="C15" s="138" t="s">
        <v>162</v>
      </c>
      <c r="D15" s="141" t="s">
        <v>336</v>
      </c>
      <c r="I15" s="1147"/>
    </row>
    <row r="16" spans="1:11" s="43" customFormat="1">
      <c r="A16" s="44" t="s">
        <v>69</v>
      </c>
      <c r="B16" s="47"/>
      <c r="D16" s="139" t="s">
        <v>337</v>
      </c>
      <c r="I16" s="1147"/>
      <c r="J16" s="1147"/>
    </row>
    <row r="17" spans="1:11" s="43" customFormat="1">
      <c r="A17" s="44" t="s">
        <v>428</v>
      </c>
      <c r="B17" s="47"/>
      <c r="D17" s="139" t="s">
        <v>337</v>
      </c>
      <c r="I17" s="1147"/>
      <c r="J17" s="1147"/>
    </row>
    <row r="18" spans="1:11" s="43" customFormat="1">
      <c r="A18" s="44" t="s">
        <v>74</v>
      </c>
      <c r="B18" s="47"/>
      <c r="D18" s="139" t="s">
        <v>337</v>
      </c>
      <c r="I18" s="1147"/>
      <c r="J18" s="1147"/>
    </row>
    <row r="19" spans="1:11" s="43" customFormat="1">
      <c r="A19" s="44" t="s">
        <v>429</v>
      </c>
      <c r="B19" s="47"/>
      <c r="D19" s="139" t="s">
        <v>337</v>
      </c>
      <c r="I19" s="1147"/>
      <c r="J19" s="1147"/>
      <c r="K19" s="57"/>
    </row>
    <row r="20" spans="1:11" s="43" customFormat="1">
      <c r="A20" s="44" t="s">
        <v>73</v>
      </c>
      <c r="B20" s="47"/>
      <c r="D20" s="139" t="s">
        <v>337</v>
      </c>
      <c r="I20" s="1147"/>
      <c r="J20" s="1148"/>
      <c r="K20" s="57"/>
    </row>
    <row r="21" spans="1:11" s="43" customFormat="1">
      <c r="A21" s="32" t="s">
        <v>430</v>
      </c>
      <c r="B21" s="47"/>
      <c r="D21" s="139" t="s">
        <v>337</v>
      </c>
      <c r="I21" s="274"/>
      <c r="J21" s="275"/>
      <c r="K21" s="57"/>
    </row>
    <row r="22" spans="1:11" s="43" customFormat="1">
      <c r="A22" s="32" t="s">
        <v>431</v>
      </c>
      <c r="B22" s="47"/>
      <c r="D22" s="139" t="s">
        <v>337</v>
      </c>
      <c r="I22" s="274"/>
      <c r="J22" s="275"/>
      <c r="K22" s="57"/>
    </row>
    <row r="23" spans="1:11" s="43" customFormat="1">
      <c r="A23" s="32" t="s">
        <v>432</v>
      </c>
      <c r="B23" s="47"/>
      <c r="D23" s="139" t="s">
        <v>337</v>
      </c>
      <c r="I23" s="274"/>
      <c r="J23" s="275"/>
      <c r="K23" s="57"/>
    </row>
    <row r="24" spans="1:11" s="43" customFormat="1">
      <c r="A24" s="32" t="s">
        <v>660</v>
      </c>
      <c r="B24" s="47"/>
      <c r="D24" s="139" t="s">
        <v>337</v>
      </c>
      <c r="I24" s="853"/>
      <c r="J24" s="854"/>
      <c r="K24" s="57"/>
    </row>
    <row r="25" spans="1:11">
      <c r="A25" s="32" t="s">
        <v>433</v>
      </c>
      <c r="B25" s="47"/>
      <c r="C25" s="43"/>
      <c r="D25" s="139" t="s">
        <v>337</v>
      </c>
      <c r="I25" s="57"/>
      <c r="J25" s="57"/>
      <c r="K25" s="57"/>
    </row>
    <row r="26" spans="1:11">
      <c r="A26" s="32" t="s">
        <v>434</v>
      </c>
      <c r="B26" s="47"/>
      <c r="C26" s="43"/>
      <c r="D26" s="139" t="s">
        <v>337</v>
      </c>
      <c r="I26" s="57"/>
      <c r="J26" s="57"/>
      <c r="K26" s="57"/>
    </row>
    <row r="27" spans="1:11">
      <c r="A27" s="987"/>
      <c r="B27" s="48"/>
      <c r="C27" s="43"/>
      <c r="D27" s="139"/>
      <c r="I27" s="57"/>
      <c r="J27" s="57"/>
      <c r="K27" s="57"/>
    </row>
    <row r="28" spans="1:11" ht="21.75" thickBot="1">
      <c r="A28" s="178" t="s">
        <v>469</v>
      </c>
      <c r="B28" s="410"/>
      <c r="C28" s="107"/>
      <c r="D28" s="108"/>
      <c r="I28" s="57"/>
      <c r="J28" s="57"/>
      <c r="K28" s="57"/>
    </row>
    <row r="30" spans="1:11" ht="15.75" thickBot="1"/>
    <row r="31" spans="1:11" s="43" customFormat="1">
      <c r="A31" s="173" t="s">
        <v>685</v>
      </c>
      <c r="B31" s="406"/>
      <c r="C31" s="174"/>
      <c r="D31" s="175"/>
    </row>
    <row r="32" spans="1:11" s="32" customFormat="1">
      <c r="A32" s="46"/>
      <c r="B32" s="409"/>
      <c r="C32" s="42"/>
      <c r="D32" s="272"/>
    </row>
    <row r="33" spans="1:11">
      <c r="A33" s="273" t="s">
        <v>459</v>
      </c>
      <c r="B33" s="407"/>
      <c r="C33" s="138" t="s">
        <v>162</v>
      </c>
      <c r="D33" s="141" t="s">
        <v>336</v>
      </c>
    </row>
    <row r="34" spans="1:11">
      <c r="A34" s="375" t="s">
        <v>460</v>
      </c>
      <c r="B34" s="47"/>
      <c r="C34" s="48"/>
      <c r="D34" s="139" t="s">
        <v>337</v>
      </c>
    </row>
    <row r="35" spans="1:11">
      <c r="A35" s="44"/>
      <c r="B35" s="48"/>
      <c r="C35" s="48"/>
      <c r="D35" s="139"/>
    </row>
    <row r="36" spans="1:11" s="43" customFormat="1">
      <c r="A36" s="273" t="s">
        <v>458</v>
      </c>
      <c r="B36" s="832"/>
      <c r="C36" s="138" t="s">
        <v>162</v>
      </c>
      <c r="D36" s="141" t="s">
        <v>336</v>
      </c>
      <c r="I36"/>
    </row>
    <row r="37" spans="1:11" s="43" customFormat="1">
      <c r="A37" s="374" t="s">
        <v>69</v>
      </c>
      <c r="B37" s="47"/>
      <c r="D37" s="139" t="s">
        <v>337</v>
      </c>
      <c r="I37" s="1147"/>
      <c r="J37" s="1147"/>
    </row>
    <row r="38" spans="1:11" s="43" customFormat="1">
      <c r="A38" s="374" t="s">
        <v>428</v>
      </c>
      <c r="B38" s="47"/>
      <c r="D38" s="139" t="s">
        <v>337</v>
      </c>
      <c r="I38" s="1147"/>
      <c r="J38" s="1147"/>
    </row>
    <row r="39" spans="1:11" s="43" customFormat="1">
      <c r="A39" s="374" t="s">
        <v>74</v>
      </c>
      <c r="B39" s="47"/>
      <c r="D39" s="139" t="s">
        <v>337</v>
      </c>
      <c r="I39" s="1147"/>
      <c r="J39" s="1147"/>
    </row>
    <row r="40" spans="1:11" s="43" customFormat="1">
      <c r="A40" s="374" t="s">
        <v>429</v>
      </c>
      <c r="B40" s="47"/>
      <c r="D40" s="139" t="s">
        <v>337</v>
      </c>
      <c r="I40" s="1147"/>
      <c r="J40" s="1147"/>
      <c r="K40" s="57"/>
    </row>
    <row r="41" spans="1:11" s="43" customFormat="1">
      <c r="A41" s="374" t="s">
        <v>73</v>
      </c>
      <c r="B41" s="47"/>
      <c r="D41" s="139" t="s">
        <v>337</v>
      </c>
      <c r="I41" s="1147"/>
      <c r="J41" s="1148"/>
      <c r="K41" s="57"/>
    </row>
    <row r="42" spans="1:11" s="43" customFormat="1">
      <c r="A42" s="172" t="s">
        <v>430</v>
      </c>
      <c r="B42" s="47"/>
      <c r="D42" s="139" t="s">
        <v>337</v>
      </c>
      <c r="I42" s="274"/>
      <c r="J42" s="275"/>
      <c r="K42" s="57"/>
    </row>
    <row r="43" spans="1:11" s="43" customFormat="1">
      <c r="A43" s="172" t="s">
        <v>431</v>
      </c>
      <c r="B43" s="47"/>
      <c r="D43" s="139" t="s">
        <v>337</v>
      </c>
      <c r="I43" s="274"/>
      <c r="J43" s="275"/>
      <c r="K43" s="57"/>
    </row>
    <row r="44" spans="1:11" s="43" customFormat="1">
      <c r="A44" s="172" t="s">
        <v>432</v>
      </c>
      <c r="B44" s="47"/>
      <c r="D44" s="139" t="s">
        <v>337</v>
      </c>
      <c r="I44" s="274"/>
      <c r="J44" s="275"/>
      <c r="K44" s="57"/>
    </row>
    <row r="45" spans="1:11" s="43" customFormat="1">
      <c r="A45" s="172" t="s">
        <v>660</v>
      </c>
      <c r="B45" s="47"/>
      <c r="D45" s="139" t="s">
        <v>337</v>
      </c>
      <c r="I45" s="853"/>
      <c r="J45" s="854"/>
      <c r="K45" s="57"/>
    </row>
    <row r="46" spans="1:11">
      <c r="A46" s="172" t="s">
        <v>433</v>
      </c>
      <c r="B46" s="47"/>
      <c r="C46" s="43"/>
      <c r="D46" s="139" t="s">
        <v>337</v>
      </c>
      <c r="I46" s="57"/>
      <c r="J46" s="57"/>
      <c r="K46" s="57"/>
    </row>
    <row r="47" spans="1:11">
      <c r="A47" s="172" t="s">
        <v>434</v>
      </c>
      <c r="B47" s="47"/>
      <c r="C47" s="43"/>
      <c r="D47" s="139" t="s">
        <v>337</v>
      </c>
      <c r="I47" s="57"/>
      <c r="J47" s="57"/>
      <c r="K47" s="57"/>
    </row>
    <row r="48" spans="1:11" s="810" customFormat="1">
      <c r="A48" s="172"/>
      <c r="B48" s="48"/>
      <c r="C48" s="43"/>
      <c r="D48" s="139"/>
      <c r="I48" s="57"/>
      <c r="J48" s="57"/>
      <c r="K48" s="57"/>
    </row>
    <row r="49" spans="1:11" s="15" customFormat="1" ht="21.75" thickBot="1">
      <c r="A49" s="178" t="s">
        <v>469</v>
      </c>
      <c r="B49" s="176"/>
      <c r="C49" s="150"/>
      <c r="D49" s="276"/>
      <c r="I49" s="57"/>
      <c r="J49" s="57"/>
      <c r="K49" s="57"/>
    </row>
    <row r="50" spans="1:11" s="15" customFormat="1">
      <c r="A50" s="57"/>
      <c r="B50" s="48"/>
      <c r="C50" s="32"/>
      <c r="D50" s="32"/>
      <c r="I50" s="57"/>
      <c r="J50" s="57"/>
      <c r="K50" s="57"/>
    </row>
    <row r="51" spans="1:11" ht="15.75" thickBot="1"/>
    <row r="52" spans="1:11" s="43" customFormat="1">
      <c r="A52" s="173" t="s">
        <v>335</v>
      </c>
      <c r="B52" s="406"/>
      <c r="C52" s="174"/>
      <c r="D52" s="175"/>
    </row>
    <row r="53" spans="1:11">
      <c r="A53" s="100"/>
      <c r="B53" s="407"/>
      <c r="C53" s="138" t="s">
        <v>162</v>
      </c>
      <c r="D53" s="141" t="s">
        <v>336</v>
      </c>
    </row>
    <row r="54" spans="1:11">
      <c r="A54" s="44" t="s">
        <v>462</v>
      </c>
      <c r="B54" s="47"/>
      <c r="C54" s="32"/>
      <c r="D54" s="140" t="s">
        <v>338</v>
      </c>
    </row>
    <row r="55" spans="1:11">
      <c r="A55" s="44" t="s">
        <v>463</v>
      </c>
      <c r="B55" s="47"/>
      <c r="C55" s="32"/>
      <c r="D55" s="140" t="s">
        <v>338</v>
      </c>
    </row>
    <row r="56" spans="1:11" ht="15.75" thickBot="1">
      <c r="A56" s="45"/>
      <c r="B56" s="176"/>
      <c r="C56" s="150"/>
      <c r="D56" s="181"/>
    </row>
    <row r="58" spans="1:11" ht="15.75" thickBot="1"/>
    <row r="59" spans="1:11" s="43" customFormat="1" ht="17.25">
      <c r="A59" s="173" t="s">
        <v>627</v>
      </c>
      <c r="B59" s="406"/>
      <c r="C59" s="174"/>
      <c r="D59" s="175"/>
    </row>
    <row r="60" spans="1:11">
      <c r="A60" s="100"/>
      <c r="B60" s="407"/>
      <c r="C60" s="138" t="s">
        <v>162</v>
      </c>
      <c r="D60" s="141" t="s">
        <v>336</v>
      </c>
    </row>
    <row r="61" spans="1:11">
      <c r="A61" s="44" t="s">
        <v>464</v>
      </c>
      <c r="B61" s="47"/>
      <c r="C61" s="32"/>
      <c r="D61" s="139" t="s">
        <v>135</v>
      </c>
    </row>
    <row r="62" spans="1:11">
      <c r="A62" s="44" t="s">
        <v>465</v>
      </c>
      <c r="B62" s="47"/>
      <c r="C62" s="32"/>
      <c r="D62" s="139" t="s">
        <v>136</v>
      </c>
    </row>
    <row r="63" spans="1:11">
      <c r="A63" s="44" t="s">
        <v>466</v>
      </c>
      <c r="B63" s="47"/>
      <c r="C63" s="48"/>
      <c r="D63" s="139" t="s">
        <v>334</v>
      </c>
    </row>
    <row r="64" spans="1:11">
      <c r="A64" s="44" t="s">
        <v>467</v>
      </c>
      <c r="B64" s="47"/>
      <c r="C64" s="48"/>
      <c r="D64" s="139" t="s">
        <v>92</v>
      </c>
    </row>
    <row r="65" spans="1:4">
      <c r="A65" s="44"/>
      <c r="B65" s="48"/>
      <c r="C65" s="48"/>
      <c r="D65" s="139"/>
    </row>
    <row r="66" spans="1:4" ht="21.75" thickBot="1">
      <c r="A66" s="178" t="s">
        <v>619</v>
      </c>
      <c r="B66" s="176"/>
      <c r="C66" s="176"/>
      <c r="D66" s="177"/>
    </row>
    <row r="67" spans="1:4" s="43" customFormat="1">
      <c r="B67" s="386"/>
    </row>
  </sheetData>
  <mergeCells count="12">
    <mergeCell ref="B2:D2"/>
    <mergeCell ref="I37:J37"/>
    <mergeCell ref="I38:J38"/>
    <mergeCell ref="I39:J39"/>
    <mergeCell ref="I40:J40"/>
    <mergeCell ref="I41:J41"/>
    <mergeCell ref="I20:J20"/>
    <mergeCell ref="I11:I15"/>
    <mergeCell ref="I16:J16"/>
    <mergeCell ref="I17:J17"/>
    <mergeCell ref="I18:J18"/>
    <mergeCell ref="I19:J19"/>
  </mergeCells>
  <hyperlinks>
    <hyperlink ref="D61" location="huishoudens!C5" display="huishoudens" xr:uid="{00000000-0004-0000-0C00-000000000000}"/>
    <hyperlink ref="D62" location="tertiair!C5" display="tertiair" xr:uid="{00000000-0004-0000-0C00-000001000000}"/>
    <hyperlink ref="D63" location="industrie!C5" display="industrie" xr:uid="{00000000-0004-0000-0C00-000002000000}"/>
    <hyperlink ref="D64" location="landbouw!C5" display="landbouw" xr:uid="{00000000-0004-0000-0C00-000003000000}"/>
    <hyperlink ref="D34" location="'lokale energieproductie'!B17" display="lokale energieproductie" xr:uid="{00000000-0004-0000-0C00-000004000000}"/>
    <hyperlink ref="D54:D55" location="'EF ele_warmte'!B10" display="EF ele_warmte" xr:uid="{00000000-0004-0000-0C00-000005000000}"/>
    <hyperlink ref="D54" location="'EF ele_warmte'!B18" display="EF ele_warmte" xr:uid="{00000000-0004-0000-0C00-000006000000}"/>
    <hyperlink ref="D55" location="'EF ele_warmte'!B19" display="EF ele_warmte" xr:uid="{00000000-0004-0000-0C00-000007000000}"/>
    <hyperlink ref="D4" location="'EF ele_warmte'!B5" display="EF ele_warmte" xr:uid="{00000000-0004-0000-0C00-000008000000}"/>
    <hyperlink ref="D12" location="'lokale energieproductie'!B18" display="lokale energieproductie" xr:uid="{00000000-0004-0000-0C00-000009000000}"/>
    <hyperlink ref="D13" location="'lokale energieproductie'!B8" display="lokale energieproductie" xr:uid="{00000000-0004-0000-0C00-00000A000000}"/>
    <hyperlink ref="D16" location="'lokale energieproductie'!A1" display="lokale energieproductie" xr:uid="{00000000-0004-0000-0C00-00000B000000}"/>
    <hyperlink ref="D18" location="'lokale energieproductie'!B18" display="lokale energieproductie" xr:uid="{00000000-0004-0000-0C00-00000C000000}"/>
    <hyperlink ref="D20" location="'lokale energieproductie'!B18" display="lokale energieproductie" xr:uid="{00000000-0004-0000-0C00-00000D000000}"/>
    <hyperlink ref="D22" location="'lokale energieproductie'!B18" display="lokale energieproductie" xr:uid="{00000000-0004-0000-0C00-00000E000000}"/>
    <hyperlink ref="D25" location="'lokale energieproductie'!B18" display="lokale energieproductie" xr:uid="{00000000-0004-0000-0C00-00000F000000}"/>
    <hyperlink ref="D17" location="'lokale energieproductie'!B8" display="lokale energieproductie" xr:uid="{00000000-0004-0000-0C00-000010000000}"/>
    <hyperlink ref="D19" location="'lokale energieproductie'!B8" display="lokale energieproductie" xr:uid="{00000000-0004-0000-0C00-000011000000}"/>
    <hyperlink ref="D21" location="'lokale energieproductie'!B8" display="lokale energieproductie" xr:uid="{00000000-0004-0000-0C00-000012000000}"/>
    <hyperlink ref="D23" location="'lokale energieproductie'!B8" display="lokale energieproductie" xr:uid="{00000000-0004-0000-0C00-000013000000}"/>
    <hyperlink ref="D26" location="'lokale energieproductie'!B8" display="lokale energieproductie" xr:uid="{00000000-0004-0000-0C00-000014000000}"/>
    <hyperlink ref="D37" location="'lokale energieproductie'!C17" display="lokale energieproductie" xr:uid="{00000000-0004-0000-0C00-000015000000}"/>
    <hyperlink ref="D39" location="'lokale energieproductie'!E17" display="lokale energieproductie" xr:uid="{00000000-0004-0000-0C00-000016000000}"/>
    <hyperlink ref="D41" location="'lokale energieproductie'!G17" display="lokale energieproductie" xr:uid="{00000000-0004-0000-0C00-000017000000}"/>
    <hyperlink ref="D43" location="'lokale energieproductie'!I17" display="lokale energieproductie" xr:uid="{00000000-0004-0000-0C00-000018000000}"/>
    <hyperlink ref="D46" location="'lokale energieproductie'!K17" display="lokale energieproductie" xr:uid="{00000000-0004-0000-0C00-000019000000}"/>
    <hyperlink ref="D38" location="'lokale energieproductie'!D17" display="lokale energieproductie" xr:uid="{00000000-0004-0000-0C00-00001A000000}"/>
    <hyperlink ref="D40" location="'lokale energieproductie'!F17" display="lokale energieproductie" xr:uid="{00000000-0004-0000-0C00-00001B000000}"/>
    <hyperlink ref="D42" location="'lokale energieproductie'!H17" display="lokale energieproductie" xr:uid="{00000000-0004-0000-0C00-00001C000000}"/>
    <hyperlink ref="D44" location="'lokale energieproductie'!J17" display="lokale energieproductie" xr:uid="{00000000-0004-0000-0C00-00001D000000}"/>
    <hyperlink ref="D47" location="'lokale energieproductie'!L17" display="lokale energieproductie" xr:uid="{00000000-0004-0000-0C00-00001E000000}"/>
    <hyperlink ref="D5" location="'EF ele_warmte'!B5" display="EF ele_warmte" xr:uid="{BA95CE2B-6457-4FC7-B3F6-AC3C6AEE8999}"/>
    <hyperlink ref="D45" location="'lokale energieproductie'!J17" display="lokale energieproductie" xr:uid="{455B47CC-2673-4D40-B0B7-5F8249FFC0F1}"/>
    <hyperlink ref="D24" location="'lokale energieproductie'!B8" display="lokale energieproductie" xr:uid="{EEA5EFC1-823B-439C-889D-FB5845C7B6E8}"/>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topLeftCell="A2" workbookViewId="0">
      <selection activeCell="C21" sqref="C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2" t="s">
        <v>363</v>
      </c>
      <c r="B2" s="109"/>
      <c r="C2" s="110"/>
    </row>
    <row r="3" spans="1:3" s="15" customFormat="1" ht="15.75">
      <c r="A3" s="97"/>
      <c r="B3" s="69"/>
      <c r="C3" s="98"/>
    </row>
    <row r="4" spans="1:3">
      <c r="A4" s="94" t="s">
        <v>315</v>
      </c>
      <c r="B4" s="68" t="s">
        <v>327</v>
      </c>
      <c r="C4" s="99" t="s">
        <v>326</v>
      </c>
    </row>
    <row r="5" spans="1:3">
      <c r="A5" s="111"/>
      <c r="B5" s="43"/>
      <c r="C5" s="95"/>
    </row>
    <row r="6" spans="1:3" s="11" customFormat="1">
      <c r="A6" s="112" t="s">
        <v>371</v>
      </c>
      <c r="B6" s="127" t="s">
        <v>372</v>
      </c>
      <c r="C6" s="128" t="s">
        <v>374</v>
      </c>
    </row>
    <row r="7" spans="1:3" s="11" customFormat="1">
      <c r="A7" s="122"/>
      <c r="B7" s="155"/>
      <c r="C7" s="156" t="s">
        <v>478</v>
      </c>
    </row>
    <row r="8" spans="1:3" s="11" customFormat="1">
      <c r="A8" s="129"/>
      <c r="B8" s="130"/>
      <c r="C8" s="131"/>
    </row>
    <row r="9" spans="1:3" s="11" customFormat="1">
      <c r="A9" s="112" t="s">
        <v>373</v>
      </c>
      <c r="B9" s="127" t="s">
        <v>376</v>
      </c>
      <c r="C9" s="128" t="s">
        <v>416</v>
      </c>
    </row>
    <row r="10" spans="1:3" s="11" customFormat="1">
      <c r="A10" s="129"/>
      <c r="B10" s="130"/>
      <c r="C10" s="131"/>
    </row>
    <row r="11" spans="1:3" s="11" customFormat="1" ht="18">
      <c r="A11" s="112" t="s">
        <v>375</v>
      </c>
      <c r="B11" s="127" t="s">
        <v>377</v>
      </c>
      <c r="C11" s="153" t="s">
        <v>414</v>
      </c>
    </row>
    <row r="12" spans="1:3" s="11" customFormat="1">
      <c r="A12" s="129"/>
      <c r="B12" s="130"/>
      <c r="C12" s="131"/>
    </row>
    <row r="13" spans="1:3" s="11" customFormat="1" ht="18">
      <c r="A13" s="112" t="s">
        <v>378</v>
      </c>
      <c r="B13" s="127" t="s">
        <v>379</v>
      </c>
      <c r="C13" s="154" t="s">
        <v>415</v>
      </c>
    </row>
    <row r="14" spans="1:3" s="11" customFormat="1">
      <c r="A14" s="129"/>
      <c r="B14" s="130"/>
      <c r="C14" s="131"/>
    </row>
    <row r="15" spans="1:3" s="11" customFormat="1" ht="18">
      <c r="A15" s="112" t="s">
        <v>380</v>
      </c>
      <c r="B15" t="s">
        <v>384</v>
      </c>
      <c r="C15" s="128" t="s">
        <v>417</v>
      </c>
    </row>
    <row r="16" spans="1:3" s="11" customFormat="1">
      <c r="A16" s="129"/>
      <c r="B16" s="130"/>
      <c r="C16" s="131"/>
    </row>
    <row r="17" spans="1:3" s="11" customFormat="1" ht="30">
      <c r="A17" s="112" t="s">
        <v>338</v>
      </c>
      <c r="B17" s="127" t="s">
        <v>385</v>
      </c>
      <c r="C17" s="128" t="s">
        <v>418</v>
      </c>
    </row>
    <row r="18" spans="1:3" s="11" customFormat="1">
      <c r="A18" s="129"/>
      <c r="B18" s="130"/>
      <c r="C18" s="131" t="s">
        <v>381</v>
      </c>
    </row>
    <row r="19" spans="1:3" s="11" customFormat="1" ht="30">
      <c r="A19" s="112" t="s">
        <v>382</v>
      </c>
      <c r="B19" s="127" t="s">
        <v>386</v>
      </c>
      <c r="C19" s="128" t="s">
        <v>419</v>
      </c>
    </row>
    <row r="20" spans="1:3" s="11" customFormat="1">
      <c r="A20" s="129"/>
      <c r="B20" s="130"/>
      <c r="C20" s="131"/>
    </row>
    <row r="21" spans="1:3" s="11" customFormat="1" ht="30">
      <c r="A21" s="112" t="s">
        <v>383</v>
      </c>
      <c r="B21" s="127" t="s">
        <v>630</v>
      </c>
      <c r="C21" s="128" t="s">
        <v>472</v>
      </c>
    </row>
    <row r="22" spans="1:3" s="11" customFormat="1">
      <c r="A22" s="137"/>
      <c r="B22" s="155"/>
      <c r="C22" s="156"/>
    </row>
    <row r="23" spans="1:3" ht="21">
      <c r="A23" s="124" t="s">
        <v>388</v>
      </c>
      <c r="B23" s="123"/>
      <c r="C23" s="121"/>
    </row>
    <row r="29" spans="1:3">
      <c r="B29" t="s">
        <v>209</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G125"/>
  <sheetViews>
    <sheetView zoomScale="70" zoomScaleNormal="70" workbookViewId="0">
      <selection activeCell="H171" sqref="H171"/>
    </sheetView>
  </sheetViews>
  <sheetFormatPr defaultRowHeight="15"/>
  <cols>
    <col min="1" max="1" width="68.85546875" style="810" bestFit="1" customWidth="1"/>
    <col min="2" max="2" width="59.42578125" style="810" bestFit="1" customWidth="1"/>
    <col min="3" max="4" width="28.7109375" style="810" customWidth="1"/>
    <col min="5" max="5" width="44.28515625" style="810" customWidth="1"/>
    <col min="6" max="6" width="35" style="810" bestFit="1" customWidth="1"/>
    <col min="7" max="16384" width="9.140625" style="810"/>
  </cols>
  <sheetData>
    <row r="1" spans="1:7" ht="62.45" customHeight="1" thickTop="1" thickBot="1">
      <c r="A1" s="133" t="s">
        <v>780</v>
      </c>
      <c r="B1" s="1233">
        <v>2022</v>
      </c>
      <c r="C1" s="1234"/>
      <c r="D1" s="1234"/>
      <c r="E1" s="1234"/>
      <c r="F1" s="1235"/>
      <c r="G1" s="286"/>
    </row>
    <row r="2" spans="1:7">
      <c r="A2" s="286"/>
      <c r="B2" s="286"/>
      <c r="C2" s="286"/>
      <c r="D2" s="286"/>
      <c r="E2" s="286"/>
      <c r="F2" s="286"/>
      <c r="G2" s="286"/>
    </row>
    <row r="3" spans="1:7" ht="19.5">
      <c r="A3" s="1236" t="s">
        <v>0</v>
      </c>
      <c r="B3" s="286"/>
      <c r="C3" s="286"/>
      <c r="D3" s="286"/>
      <c r="E3" s="286"/>
      <c r="F3" s="286"/>
      <c r="G3" s="286"/>
    </row>
    <row r="4" spans="1:7" ht="22.5">
      <c r="A4" s="1237" t="s">
        <v>780</v>
      </c>
      <c r="B4" s="286"/>
      <c r="C4" s="286"/>
      <c r="D4" s="286"/>
      <c r="E4" s="286"/>
      <c r="F4" s="286"/>
      <c r="G4" s="286"/>
    </row>
    <row r="5" spans="1:7" ht="22.5">
      <c r="A5" s="1237" t="s">
        <v>781</v>
      </c>
      <c r="B5" s="286"/>
      <c r="C5" s="286"/>
      <c r="D5" s="286"/>
      <c r="E5" s="286"/>
      <c r="F5" s="286"/>
      <c r="G5" s="286"/>
    </row>
    <row r="6" spans="1:7" ht="15.75" thickBot="1">
      <c r="A6" s="286"/>
      <c r="B6" s="286"/>
      <c r="C6" s="286"/>
      <c r="D6" s="286"/>
      <c r="E6" s="286"/>
      <c r="F6" s="286"/>
      <c r="G6" s="286"/>
    </row>
    <row r="7" spans="1:7" ht="20.25" thickBot="1">
      <c r="A7" s="975" t="s">
        <v>1</v>
      </c>
      <c r="B7" s="287"/>
      <c r="C7" s="287"/>
      <c r="D7" s="287"/>
      <c r="E7" s="287"/>
      <c r="F7" s="288"/>
      <c r="G7" s="286"/>
    </row>
    <row r="8" spans="1:7" ht="16.5" thickTop="1" thickBot="1">
      <c r="A8" s="1238" t="s">
        <v>4</v>
      </c>
      <c r="B8" s="1239"/>
      <c r="C8" s="1239"/>
      <c r="D8" s="1234"/>
      <c r="E8" s="1234"/>
      <c r="F8" s="1235"/>
      <c r="G8" s="286"/>
    </row>
    <row r="9" spans="1:7">
      <c r="A9" s="981" t="s">
        <v>2</v>
      </c>
      <c r="B9" s="986">
        <v>468</v>
      </c>
      <c r="C9" s="289"/>
      <c r="D9" s="289"/>
      <c r="E9" s="289"/>
      <c r="F9" s="289"/>
      <c r="G9" s="286"/>
    </row>
    <row r="10" spans="1:7">
      <c r="A10" s="290"/>
      <c r="B10" s="286"/>
      <c r="C10" s="286"/>
      <c r="D10" s="286"/>
      <c r="E10" s="286"/>
      <c r="F10" s="286"/>
      <c r="G10" s="286"/>
    </row>
    <row r="11" spans="1:7" ht="15.75" thickBot="1">
      <c r="A11" s="290"/>
      <c r="B11" s="286"/>
      <c r="C11" s="286"/>
      <c r="D11" s="286"/>
      <c r="E11" s="286"/>
      <c r="F11" s="286"/>
      <c r="G11" s="286"/>
    </row>
    <row r="12" spans="1:7" ht="20.25" thickBot="1">
      <c r="A12" s="975" t="s">
        <v>3</v>
      </c>
      <c r="B12" s="287"/>
      <c r="C12" s="287"/>
      <c r="D12" s="287"/>
      <c r="E12" s="287"/>
      <c r="F12" s="291"/>
      <c r="G12" s="286"/>
    </row>
    <row r="13" spans="1:7" ht="16.5" thickTop="1" thickBot="1">
      <c r="A13" s="976" t="s">
        <v>4</v>
      </c>
      <c r="B13" s="977" t="s">
        <v>5</v>
      </c>
      <c r="C13" s="977"/>
      <c r="D13" s="977"/>
      <c r="E13" s="977"/>
      <c r="F13" s="978"/>
      <c r="G13" s="286"/>
    </row>
    <row r="14" spans="1:7">
      <c r="A14" s="979" t="s">
        <v>522</v>
      </c>
      <c r="B14" s="980">
        <v>283.53999999999991</v>
      </c>
      <c r="C14" s="286"/>
      <c r="D14" s="286"/>
      <c r="E14" s="286"/>
      <c r="F14" s="286"/>
      <c r="G14" s="286"/>
    </row>
    <row r="15" spans="1:7">
      <c r="A15" s="979" t="s">
        <v>164</v>
      </c>
      <c r="B15" s="980">
        <v>4</v>
      </c>
      <c r="C15" s="286"/>
      <c r="D15" s="286"/>
      <c r="E15" s="286"/>
      <c r="F15" s="286"/>
      <c r="G15" s="286"/>
    </row>
    <row r="16" spans="1:7">
      <c r="A16" s="979" t="s">
        <v>6</v>
      </c>
      <c r="B16" s="980">
        <v>180</v>
      </c>
      <c r="C16" s="286"/>
      <c r="D16" s="286"/>
      <c r="E16" s="286"/>
      <c r="F16" s="286"/>
      <c r="G16" s="286"/>
    </row>
    <row r="17" spans="1:7">
      <c r="A17" s="979" t="s">
        <v>7</v>
      </c>
      <c r="B17" s="980">
        <v>74</v>
      </c>
      <c r="C17" s="286"/>
      <c r="D17" s="286"/>
      <c r="E17" s="286"/>
      <c r="F17" s="286"/>
      <c r="G17" s="286"/>
    </row>
    <row r="18" spans="1:7">
      <c r="A18" s="979" t="s">
        <v>8</v>
      </c>
      <c r="B18" s="980">
        <v>160</v>
      </c>
      <c r="C18" s="286"/>
      <c r="D18" s="286"/>
      <c r="E18" s="286"/>
      <c r="F18" s="286"/>
      <c r="G18" s="286"/>
    </row>
    <row r="19" spans="1:7">
      <c r="A19" s="979" t="s">
        <v>9</v>
      </c>
      <c r="B19" s="980">
        <v>112</v>
      </c>
      <c r="C19" s="286"/>
      <c r="D19" s="286"/>
      <c r="E19" s="286"/>
      <c r="F19" s="286"/>
      <c r="G19" s="286"/>
    </row>
    <row r="20" spans="1:7">
      <c r="A20" s="979" t="s">
        <v>10</v>
      </c>
      <c r="B20" s="980">
        <v>79</v>
      </c>
      <c r="C20" s="286"/>
      <c r="D20" s="286"/>
      <c r="E20" s="286"/>
      <c r="F20" s="286"/>
      <c r="G20" s="286"/>
    </row>
    <row r="21" spans="1:7">
      <c r="A21" s="979" t="s">
        <v>11</v>
      </c>
      <c r="B21" s="980">
        <v>1640</v>
      </c>
      <c r="C21" s="286"/>
      <c r="D21" s="286"/>
      <c r="E21" s="286"/>
      <c r="F21" s="286"/>
      <c r="G21" s="286"/>
    </row>
    <row r="22" spans="1:7">
      <c r="A22" s="979" t="s">
        <v>12</v>
      </c>
      <c r="B22" s="980">
        <v>3141</v>
      </c>
      <c r="C22" s="286"/>
      <c r="D22" s="286"/>
      <c r="E22" s="286"/>
      <c r="F22" s="286"/>
      <c r="G22" s="286"/>
    </row>
    <row r="23" spans="1:7">
      <c r="A23" s="979" t="s">
        <v>13</v>
      </c>
      <c r="B23" s="980">
        <v>38</v>
      </c>
      <c r="C23" s="286"/>
      <c r="D23" s="286"/>
      <c r="E23" s="286"/>
      <c r="F23" s="286"/>
      <c r="G23" s="286"/>
    </row>
    <row r="24" spans="1:7">
      <c r="A24" s="979" t="s">
        <v>14</v>
      </c>
      <c r="B24" s="980">
        <v>1</v>
      </c>
      <c r="C24" s="286"/>
      <c r="D24" s="286"/>
      <c r="E24" s="286"/>
      <c r="F24" s="286"/>
      <c r="G24" s="286"/>
    </row>
    <row r="25" spans="1:7">
      <c r="A25" s="979" t="s">
        <v>15</v>
      </c>
      <c r="B25" s="980">
        <v>434</v>
      </c>
      <c r="C25" s="286"/>
      <c r="D25" s="286"/>
      <c r="E25" s="286"/>
      <c r="F25" s="286"/>
      <c r="G25" s="286"/>
    </row>
    <row r="26" spans="1:7">
      <c r="A26" s="979" t="s">
        <v>16</v>
      </c>
      <c r="B26" s="980">
        <v>0</v>
      </c>
      <c r="C26" s="286"/>
      <c r="D26" s="286"/>
      <c r="E26" s="286"/>
      <c r="F26" s="286"/>
      <c r="G26" s="286"/>
    </row>
    <row r="27" spans="1:7">
      <c r="A27" s="979" t="s">
        <v>17</v>
      </c>
      <c r="B27" s="980">
        <v>0</v>
      </c>
      <c r="C27" s="286"/>
      <c r="D27" s="286"/>
      <c r="E27" s="286"/>
      <c r="F27" s="286"/>
      <c r="G27" s="286"/>
    </row>
    <row r="28" spans="1:7">
      <c r="A28" s="983" t="s">
        <v>18</v>
      </c>
      <c r="B28" s="1240">
        <v>0</v>
      </c>
      <c r="C28" s="286"/>
      <c r="D28" s="286"/>
      <c r="E28" s="286"/>
      <c r="F28" s="286"/>
      <c r="G28" s="286"/>
    </row>
    <row r="29" spans="1:7">
      <c r="A29" s="983" t="s">
        <v>534</v>
      </c>
      <c r="B29" s="1240">
        <v>0</v>
      </c>
      <c r="C29" s="286"/>
      <c r="D29" s="286"/>
      <c r="E29" s="286"/>
      <c r="F29" s="286"/>
      <c r="G29" s="286"/>
    </row>
    <row r="30" spans="1:7">
      <c r="A30" s="981" t="s">
        <v>535</v>
      </c>
      <c r="B30" s="982">
        <v>0</v>
      </c>
      <c r="C30" s="289"/>
      <c r="D30" s="289"/>
      <c r="E30" s="289"/>
      <c r="F30" s="289"/>
      <c r="G30" s="286"/>
    </row>
    <row r="31" spans="1:7" ht="15.75" thickBot="1">
      <c r="A31" s="290"/>
      <c r="B31" s="286"/>
      <c r="C31" s="286"/>
      <c r="D31" s="286"/>
      <c r="E31" s="286"/>
      <c r="F31" s="286"/>
      <c r="G31" s="286"/>
    </row>
    <row r="32" spans="1:7" ht="20.25" thickBot="1">
      <c r="A32" s="975" t="s">
        <v>19</v>
      </c>
      <c r="B32" s="287"/>
      <c r="C32" s="287"/>
      <c r="D32" s="287"/>
      <c r="E32" s="287"/>
      <c r="F32" s="291"/>
      <c r="G32" s="286"/>
    </row>
    <row r="33" spans="1:7" ht="16.5" thickTop="1" thickBot="1">
      <c r="A33" s="1241"/>
      <c r="B33" s="1242"/>
      <c r="C33" s="1242"/>
      <c r="D33" s="1242"/>
      <c r="E33" s="1242" t="s">
        <v>20</v>
      </c>
      <c r="F33" s="1243"/>
      <c r="G33" s="286"/>
    </row>
    <row r="34" spans="1:7" ht="16.5" thickTop="1" thickBot="1">
      <c r="A34" s="1244" t="s">
        <v>21</v>
      </c>
      <c r="B34" s="1245" t="s">
        <v>22</v>
      </c>
      <c r="C34" s="1245" t="s">
        <v>5</v>
      </c>
      <c r="D34" s="1245" t="s">
        <v>23</v>
      </c>
      <c r="E34" s="1245" t="s">
        <v>5</v>
      </c>
      <c r="F34" s="1246" t="s">
        <v>23</v>
      </c>
      <c r="G34" s="286"/>
    </row>
    <row r="35" spans="1:7">
      <c r="A35" s="979" t="s">
        <v>24</v>
      </c>
      <c r="B35" s="979" t="s">
        <v>25</v>
      </c>
      <c r="C35" s="980">
        <v>0</v>
      </c>
      <c r="D35" s="980">
        <v>0</v>
      </c>
      <c r="E35" s="980">
        <v>0</v>
      </c>
      <c r="F35" s="980">
        <v>0</v>
      </c>
      <c r="G35" s="286"/>
    </row>
    <row r="36" spans="1:7">
      <c r="A36" s="979" t="s">
        <v>24</v>
      </c>
      <c r="B36" s="979" t="s">
        <v>26</v>
      </c>
      <c r="C36" s="980">
        <v>0</v>
      </c>
      <c r="D36" s="980">
        <v>0</v>
      </c>
      <c r="E36" s="980">
        <v>0</v>
      </c>
      <c r="F36" s="980">
        <v>0</v>
      </c>
      <c r="G36" s="286"/>
    </row>
    <row r="37" spans="1:7">
      <c r="A37" s="979" t="s">
        <v>24</v>
      </c>
      <c r="B37" s="979" t="s">
        <v>27</v>
      </c>
      <c r="C37" s="980">
        <v>0</v>
      </c>
      <c r="D37" s="980">
        <v>0</v>
      </c>
      <c r="E37" s="980">
        <v>0</v>
      </c>
      <c r="F37" s="980">
        <v>0</v>
      </c>
      <c r="G37" s="286"/>
    </row>
    <row r="38" spans="1:7">
      <c r="A38" s="979" t="s">
        <v>24</v>
      </c>
      <c r="B38" s="979" t="s">
        <v>28</v>
      </c>
      <c r="C38" s="980">
        <v>0</v>
      </c>
      <c r="D38" s="980">
        <v>0</v>
      </c>
      <c r="E38" s="980">
        <v>0</v>
      </c>
      <c r="F38" s="980">
        <v>0</v>
      </c>
      <c r="G38" s="286"/>
    </row>
    <row r="39" spans="1:7">
      <c r="A39" s="979" t="s">
        <v>29</v>
      </c>
      <c r="B39" s="979" t="s">
        <v>30</v>
      </c>
      <c r="C39" s="980">
        <v>407</v>
      </c>
      <c r="D39" s="980">
        <v>4787485.5</v>
      </c>
      <c r="E39" s="980">
        <v>473</v>
      </c>
      <c r="F39" s="980">
        <v>1270977.0900000001</v>
      </c>
      <c r="G39" s="286"/>
    </row>
    <row r="40" spans="1:7">
      <c r="A40" s="979" t="s">
        <v>29</v>
      </c>
      <c r="B40" s="979" t="s">
        <v>28</v>
      </c>
      <c r="C40" s="980">
        <v>0</v>
      </c>
      <c r="D40" s="980">
        <v>0</v>
      </c>
      <c r="E40" s="980">
        <v>0</v>
      </c>
      <c r="F40" s="980">
        <v>0</v>
      </c>
      <c r="G40" s="286"/>
    </row>
    <row r="41" spans="1:7">
      <c r="A41" s="979" t="s">
        <v>31</v>
      </c>
      <c r="B41" s="979" t="s">
        <v>32</v>
      </c>
      <c r="C41" s="980">
        <v>7</v>
      </c>
      <c r="D41" s="980">
        <v>85710.62</v>
      </c>
      <c r="E41" s="980">
        <v>12</v>
      </c>
      <c r="F41" s="980">
        <v>16274.63</v>
      </c>
      <c r="G41" s="286"/>
    </row>
    <row r="42" spans="1:7">
      <c r="A42" s="979" t="s">
        <v>31</v>
      </c>
      <c r="B42" s="979" t="s">
        <v>33</v>
      </c>
      <c r="C42" s="980">
        <v>0</v>
      </c>
      <c r="D42" s="980">
        <v>0</v>
      </c>
      <c r="E42" s="980">
        <v>0</v>
      </c>
      <c r="F42" s="980">
        <v>0</v>
      </c>
      <c r="G42" s="286"/>
    </row>
    <row r="43" spans="1:7">
      <c r="A43" s="979" t="s">
        <v>31</v>
      </c>
      <c r="B43" s="979" t="s">
        <v>34</v>
      </c>
      <c r="C43" s="980">
        <v>0</v>
      </c>
      <c r="D43" s="980">
        <v>0</v>
      </c>
      <c r="E43" s="980">
        <v>0</v>
      </c>
      <c r="F43" s="980">
        <v>0</v>
      </c>
      <c r="G43" s="286"/>
    </row>
    <row r="44" spans="1:7">
      <c r="A44" s="979" t="s">
        <v>31</v>
      </c>
      <c r="B44" s="979" t="s">
        <v>35</v>
      </c>
      <c r="C44" s="980">
        <v>0</v>
      </c>
      <c r="D44" s="980">
        <v>0</v>
      </c>
      <c r="E44" s="980">
        <v>0</v>
      </c>
      <c r="F44" s="980">
        <v>0</v>
      </c>
      <c r="G44" s="286"/>
    </row>
    <row r="45" spans="1:7">
      <c r="A45" s="979" t="s">
        <v>31</v>
      </c>
      <c r="B45" s="979" t="s">
        <v>36</v>
      </c>
      <c r="C45" s="980">
        <v>0</v>
      </c>
      <c r="D45" s="980">
        <v>0</v>
      </c>
      <c r="E45" s="980">
        <v>0</v>
      </c>
      <c r="F45" s="980">
        <v>0</v>
      </c>
      <c r="G45" s="286"/>
    </row>
    <row r="46" spans="1:7">
      <c r="A46" s="979" t="s">
        <v>31</v>
      </c>
      <c r="B46" s="979" t="s">
        <v>37</v>
      </c>
      <c r="C46" s="980">
        <v>0</v>
      </c>
      <c r="D46" s="980">
        <v>0</v>
      </c>
      <c r="E46" s="980">
        <v>0</v>
      </c>
      <c r="F46" s="980">
        <v>0</v>
      </c>
      <c r="G46" s="286"/>
    </row>
    <row r="47" spans="1:7">
      <c r="A47" s="979" t="s">
        <v>31</v>
      </c>
      <c r="B47" s="979" t="s">
        <v>38</v>
      </c>
      <c r="C47" s="980">
        <v>0</v>
      </c>
      <c r="D47" s="980">
        <v>0</v>
      </c>
      <c r="E47" s="980">
        <v>0</v>
      </c>
      <c r="F47" s="980">
        <v>0</v>
      </c>
      <c r="G47" s="286"/>
    </row>
    <row r="48" spans="1:7">
      <c r="A48" s="979" t="s">
        <v>31</v>
      </c>
      <c r="B48" s="979" t="s">
        <v>28</v>
      </c>
      <c r="C48" s="980">
        <v>2</v>
      </c>
      <c r="D48" s="980">
        <v>13639.81</v>
      </c>
      <c r="E48" s="980">
        <v>2</v>
      </c>
      <c r="F48" s="980">
        <v>4400.67</v>
      </c>
      <c r="G48" s="286"/>
    </row>
    <row r="49" spans="1:7">
      <c r="A49" s="979" t="s">
        <v>31</v>
      </c>
      <c r="B49" s="979" t="s">
        <v>39</v>
      </c>
      <c r="C49" s="980">
        <v>0</v>
      </c>
      <c r="D49" s="980">
        <v>0</v>
      </c>
      <c r="E49" s="980">
        <v>0</v>
      </c>
      <c r="F49" s="980">
        <v>0</v>
      </c>
      <c r="G49" s="286"/>
    </row>
    <row r="50" spans="1:7">
      <c r="A50" s="979" t="s">
        <v>31</v>
      </c>
      <c r="B50" s="979" t="s">
        <v>40</v>
      </c>
      <c r="C50" s="980">
        <v>0</v>
      </c>
      <c r="D50" s="980">
        <v>0</v>
      </c>
      <c r="E50" s="980">
        <v>0</v>
      </c>
      <c r="F50" s="980">
        <v>0</v>
      </c>
      <c r="G50" s="286"/>
    </row>
    <row r="51" spans="1:7">
      <c r="A51" s="979" t="s">
        <v>41</v>
      </c>
      <c r="B51" s="979" t="s">
        <v>42</v>
      </c>
      <c r="C51" s="980">
        <v>0</v>
      </c>
      <c r="D51" s="980">
        <v>0</v>
      </c>
      <c r="E51" s="980">
        <v>6</v>
      </c>
      <c r="F51" s="980">
        <v>331478.81</v>
      </c>
      <c r="G51" s="286"/>
    </row>
    <row r="52" spans="1:7">
      <c r="A52" s="979" t="s">
        <v>41</v>
      </c>
      <c r="B52" s="979" t="s">
        <v>28</v>
      </c>
      <c r="C52" s="980">
        <v>0</v>
      </c>
      <c r="D52" s="980">
        <v>0</v>
      </c>
      <c r="E52" s="980">
        <v>0</v>
      </c>
      <c r="F52" s="980">
        <v>0</v>
      </c>
      <c r="G52" s="286"/>
    </row>
    <row r="53" spans="1:7">
      <c r="A53" s="979" t="s">
        <v>43</v>
      </c>
      <c r="B53" s="979" t="s">
        <v>44</v>
      </c>
      <c r="C53" s="980">
        <v>10</v>
      </c>
      <c r="D53" s="980">
        <v>50806.9</v>
      </c>
      <c r="E53" s="980">
        <v>17</v>
      </c>
      <c r="F53" s="980">
        <v>43115.23</v>
      </c>
      <c r="G53" s="286"/>
    </row>
    <row r="54" spans="1:7">
      <c r="A54" s="979" t="s">
        <v>45</v>
      </c>
      <c r="B54" s="979" t="s">
        <v>46</v>
      </c>
      <c r="C54" s="980">
        <v>0</v>
      </c>
      <c r="D54" s="980">
        <v>0</v>
      </c>
      <c r="E54" s="980">
        <v>0</v>
      </c>
      <c r="F54" s="980">
        <v>0</v>
      </c>
      <c r="G54" s="286"/>
    </row>
    <row r="55" spans="1:7">
      <c r="A55" s="979" t="s">
        <v>45</v>
      </c>
      <c r="B55" s="979" t="s">
        <v>28</v>
      </c>
      <c r="C55" s="980">
        <v>0</v>
      </c>
      <c r="D55" s="980">
        <v>0</v>
      </c>
      <c r="E55" s="980">
        <v>1</v>
      </c>
      <c r="F55" s="980">
        <v>56093</v>
      </c>
      <c r="G55" s="286"/>
    </row>
    <row r="56" spans="1:7">
      <c r="A56" s="979" t="s">
        <v>47</v>
      </c>
      <c r="B56" s="979" t="s">
        <v>28</v>
      </c>
      <c r="C56" s="980">
        <v>0</v>
      </c>
      <c r="D56" s="980">
        <v>0</v>
      </c>
      <c r="E56" s="980">
        <v>0</v>
      </c>
      <c r="F56" s="980">
        <v>0</v>
      </c>
      <c r="G56" s="286"/>
    </row>
    <row r="57" spans="1:7">
      <c r="A57" s="979" t="s">
        <v>48</v>
      </c>
      <c r="B57" s="979" t="s">
        <v>49</v>
      </c>
      <c r="C57" s="980">
        <v>0</v>
      </c>
      <c r="D57" s="980">
        <v>0</v>
      </c>
      <c r="E57" s="980">
        <v>9</v>
      </c>
      <c r="F57" s="980">
        <v>146820.06</v>
      </c>
      <c r="G57" s="286"/>
    </row>
    <row r="58" spans="1:7">
      <c r="A58" s="979" t="s">
        <v>48</v>
      </c>
      <c r="B58" s="979" t="s">
        <v>50</v>
      </c>
      <c r="C58" s="980">
        <v>0</v>
      </c>
      <c r="D58" s="980">
        <v>0</v>
      </c>
      <c r="E58" s="980">
        <v>3</v>
      </c>
      <c r="F58" s="980">
        <v>20068.23</v>
      </c>
      <c r="G58" s="286"/>
    </row>
    <row r="59" spans="1:7">
      <c r="A59" s="979" t="s">
        <v>48</v>
      </c>
      <c r="B59" s="979" t="s">
        <v>51</v>
      </c>
      <c r="C59" s="980">
        <v>0</v>
      </c>
      <c r="D59" s="980">
        <v>0</v>
      </c>
      <c r="E59" s="980">
        <v>5</v>
      </c>
      <c r="F59" s="980">
        <v>97561.65</v>
      </c>
      <c r="G59" s="286"/>
    </row>
    <row r="60" spans="1:7">
      <c r="A60" s="979" t="s">
        <v>48</v>
      </c>
      <c r="B60" s="979" t="s">
        <v>52</v>
      </c>
      <c r="C60" s="980">
        <v>4</v>
      </c>
      <c r="D60" s="980">
        <v>249959.4</v>
      </c>
      <c r="E60" s="980">
        <v>5</v>
      </c>
      <c r="F60" s="980">
        <v>118495.44</v>
      </c>
      <c r="G60" s="286"/>
    </row>
    <row r="61" spans="1:7">
      <c r="A61" s="979" t="s">
        <v>48</v>
      </c>
      <c r="B61" s="979" t="s">
        <v>53</v>
      </c>
      <c r="C61" s="980">
        <v>13</v>
      </c>
      <c r="D61" s="980">
        <v>342502.21</v>
      </c>
      <c r="E61" s="980">
        <v>26</v>
      </c>
      <c r="F61" s="980">
        <v>95288.83</v>
      </c>
      <c r="G61" s="286"/>
    </row>
    <row r="62" spans="1:7">
      <c r="A62" s="979" t="s">
        <v>48</v>
      </c>
      <c r="B62" s="979" t="s">
        <v>54</v>
      </c>
      <c r="C62" s="980">
        <v>0</v>
      </c>
      <c r="D62" s="980">
        <v>0</v>
      </c>
      <c r="E62" s="980">
        <v>0</v>
      </c>
      <c r="F62" s="980">
        <v>0</v>
      </c>
      <c r="G62" s="286"/>
    </row>
    <row r="63" spans="1:7">
      <c r="A63" s="979" t="s">
        <v>48</v>
      </c>
      <c r="B63" s="979" t="s">
        <v>28</v>
      </c>
      <c r="C63" s="980">
        <v>6</v>
      </c>
      <c r="D63" s="980">
        <v>197246.79</v>
      </c>
      <c r="E63" s="980">
        <v>1</v>
      </c>
      <c r="F63" s="980">
        <v>14260.39</v>
      </c>
      <c r="G63" s="286"/>
    </row>
    <row r="64" spans="1:7">
      <c r="A64" s="979" t="s">
        <v>55</v>
      </c>
      <c r="B64" s="979" t="s">
        <v>56</v>
      </c>
      <c r="C64" s="980">
        <v>0</v>
      </c>
      <c r="D64" s="980">
        <v>0</v>
      </c>
      <c r="E64" s="980">
        <v>0</v>
      </c>
      <c r="F64" s="980">
        <v>0</v>
      </c>
      <c r="G64" s="286"/>
    </row>
    <row r="65" spans="1:7">
      <c r="A65" s="979" t="s">
        <v>55</v>
      </c>
      <c r="B65" s="979" t="s">
        <v>28</v>
      </c>
      <c r="C65" s="980">
        <v>0</v>
      </c>
      <c r="D65" s="980">
        <v>0</v>
      </c>
      <c r="E65" s="980">
        <v>1</v>
      </c>
      <c r="F65" s="980">
        <v>4158.55</v>
      </c>
      <c r="G65" s="286"/>
    </row>
    <row r="66" spans="1:7">
      <c r="A66" s="979" t="s">
        <v>55</v>
      </c>
      <c r="B66" s="979" t="s">
        <v>57</v>
      </c>
      <c r="C66" s="980">
        <v>0</v>
      </c>
      <c r="D66" s="980">
        <v>0</v>
      </c>
      <c r="E66" s="980">
        <v>0</v>
      </c>
      <c r="F66" s="980">
        <v>0</v>
      </c>
      <c r="G66" s="286"/>
    </row>
    <row r="67" spans="1:7">
      <c r="A67" s="983" t="s">
        <v>55</v>
      </c>
      <c r="B67" s="983" t="s">
        <v>58</v>
      </c>
      <c r="C67" s="980">
        <v>0</v>
      </c>
      <c r="D67" s="980">
        <v>0</v>
      </c>
      <c r="E67" s="980">
        <v>0</v>
      </c>
      <c r="F67" s="980">
        <v>0</v>
      </c>
      <c r="G67" s="286"/>
    </row>
    <row r="68" spans="1:7">
      <c r="A68" s="981" t="s">
        <v>55</v>
      </c>
      <c r="B68" s="981" t="s">
        <v>59</v>
      </c>
      <c r="C68" s="982">
        <v>0</v>
      </c>
      <c r="D68" s="982">
        <v>0</v>
      </c>
      <c r="E68" s="982">
        <v>0</v>
      </c>
      <c r="F68" s="982">
        <v>0</v>
      </c>
      <c r="G68" s="286"/>
    </row>
    <row r="69" spans="1:7" ht="15.75" thickBot="1">
      <c r="A69" s="290"/>
      <c r="B69" s="286"/>
      <c r="C69" s="286"/>
      <c r="D69" s="286"/>
      <c r="E69" s="286"/>
      <c r="F69" s="286"/>
      <c r="G69" s="286"/>
    </row>
    <row r="70" spans="1:7" ht="19.5">
      <c r="A70" s="975" t="s">
        <v>60</v>
      </c>
      <c r="B70" s="287"/>
      <c r="C70" s="287"/>
      <c r="D70" s="287"/>
      <c r="E70" s="287"/>
      <c r="F70" s="291"/>
      <c r="G70" s="286"/>
    </row>
    <row r="71" spans="1:7" ht="20.25" thickBot="1">
      <c r="A71" s="1247"/>
      <c r="B71" s="1257"/>
      <c r="C71" s="1257"/>
      <c r="D71" s="1258" t="s">
        <v>366</v>
      </c>
      <c r="E71" s="1257"/>
      <c r="F71" s="293"/>
      <c r="G71" s="286"/>
    </row>
    <row r="72" spans="1:7" ht="16.5" thickTop="1" thickBot="1">
      <c r="A72" s="976" t="s">
        <v>61</v>
      </c>
      <c r="B72" s="977" t="s">
        <v>62</v>
      </c>
      <c r="C72" s="1248" t="s">
        <v>521</v>
      </c>
      <c r="D72" s="1249"/>
      <c r="E72" s="1249"/>
      <c r="F72" s="978"/>
      <c r="G72" s="286"/>
    </row>
    <row r="73" spans="1:7">
      <c r="A73" s="979" t="s">
        <v>63</v>
      </c>
      <c r="B73" s="979" t="s">
        <v>504</v>
      </c>
      <c r="C73" s="1250" t="s">
        <v>506</v>
      </c>
      <c r="D73" s="1251">
        <v>3577049</v>
      </c>
      <c r="E73" s="384"/>
      <c r="F73" s="286"/>
      <c r="G73" s="286"/>
    </row>
    <row r="74" spans="1:7">
      <c r="A74" s="979" t="s">
        <v>63</v>
      </c>
      <c r="B74" s="979" t="s">
        <v>505</v>
      </c>
      <c r="C74" s="1250" t="s">
        <v>507</v>
      </c>
      <c r="D74" s="1251">
        <v>208768.22031646839</v>
      </c>
      <c r="E74" s="384"/>
      <c r="F74" s="286"/>
      <c r="G74" s="286"/>
    </row>
    <row r="75" spans="1:7">
      <c r="A75" s="979" t="s">
        <v>64</v>
      </c>
      <c r="B75" s="979" t="s">
        <v>504</v>
      </c>
      <c r="C75" s="1250" t="s">
        <v>508</v>
      </c>
      <c r="D75" s="1251">
        <v>0</v>
      </c>
      <c r="E75" s="384"/>
      <c r="F75" s="286"/>
      <c r="G75" s="286"/>
    </row>
    <row r="76" spans="1:7">
      <c r="A76" s="979" t="s">
        <v>64</v>
      </c>
      <c r="B76" s="979" t="s">
        <v>505</v>
      </c>
      <c r="C76" s="1250" t="s">
        <v>509</v>
      </c>
      <c r="D76" s="1251">
        <v>0</v>
      </c>
      <c r="E76" s="384"/>
      <c r="F76" s="286"/>
      <c r="G76" s="286"/>
    </row>
    <row r="77" spans="1:7">
      <c r="A77" s="979" t="s">
        <v>65</v>
      </c>
      <c r="B77" s="979" t="s">
        <v>504</v>
      </c>
      <c r="C77" s="1250" t="s">
        <v>510</v>
      </c>
      <c r="D77" s="1251">
        <v>0</v>
      </c>
      <c r="E77" s="384"/>
      <c r="F77" s="286"/>
      <c r="G77" s="286"/>
    </row>
    <row r="78" spans="1:7">
      <c r="A78" s="981" t="s">
        <v>65</v>
      </c>
      <c r="B78" s="981" t="s">
        <v>505</v>
      </c>
      <c r="C78" s="981" t="s">
        <v>511</v>
      </c>
      <c r="D78" s="1252">
        <v>0</v>
      </c>
      <c r="E78" s="1253"/>
      <c r="F78" s="289"/>
      <c r="G78" s="286"/>
    </row>
    <row r="79" spans="1:7">
      <c r="A79" s="985"/>
      <c r="B79" s="985"/>
      <c r="C79" s="286"/>
      <c r="D79" s="286"/>
      <c r="E79" s="286"/>
      <c r="F79" s="286"/>
      <c r="G79" s="286"/>
    </row>
    <row r="80" spans="1:7" ht="15.75" thickBot="1">
      <c r="A80" s="985"/>
      <c r="B80" s="985"/>
      <c r="C80" s="286"/>
      <c r="D80" s="286"/>
      <c r="E80" s="286"/>
      <c r="F80" s="286"/>
      <c r="G80" s="286"/>
    </row>
    <row r="81" spans="1:7" ht="20.25" thickBot="1">
      <c r="A81" s="975" t="s">
        <v>288</v>
      </c>
      <c r="B81" s="1254"/>
      <c r="C81" s="287"/>
      <c r="D81" s="287"/>
      <c r="E81" s="287"/>
      <c r="F81" s="291"/>
      <c r="G81" s="286"/>
    </row>
    <row r="82" spans="1:7" ht="16.5" thickTop="1" thickBot="1">
      <c r="A82" s="976" t="s">
        <v>289</v>
      </c>
      <c r="B82" s="1249"/>
      <c r="C82" s="1249"/>
      <c r="D82" s="977" t="s">
        <v>778</v>
      </c>
      <c r="E82" s="977" t="s">
        <v>779</v>
      </c>
      <c r="F82" s="978"/>
      <c r="G82" s="286"/>
    </row>
    <row r="83" spans="1:7">
      <c r="A83" s="979" t="s">
        <v>290</v>
      </c>
      <c r="B83" s="1251">
        <v>11385.559367063208</v>
      </c>
      <c r="C83" s="384"/>
      <c r="D83" s="365">
        <v>0.12259739559999593</v>
      </c>
      <c r="E83" s="365">
        <v>0</v>
      </c>
      <c r="F83" s="286"/>
      <c r="G83" s="286"/>
    </row>
    <row r="84" spans="1:7">
      <c r="A84" s="981" t="s">
        <v>291</v>
      </c>
      <c r="B84" s="1252">
        <v>0</v>
      </c>
      <c r="C84" s="1253"/>
      <c r="D84" s="289"/>
      <c r="E84" s="289"/>
      <c r="F84" s="289"/>
      <c r="G84" s="286"/>
    </row>
    <row r="85" spans="1:7">
      <c r="A85" s="985"/>
      <c r="B85" s="1255"/>
      <c r="C85" s="286"/>
      <c r="D85" s="286"/>
      <c r="E85" s="286"/>
      <c r="F85" s="286"/>
      <c r="G85" s="286"/>
    </row>
    <row r="86" spans="1:7" ht="15.75" thickBot="1">
      <c r="A86" s="290"/>
      <c r="B86" s="286"/>
      <c r="C86" s="286"/>
      <c r="D86" s="286"/>
      <c r="E86" s="286"/>
      <c r="F86" s="286"/>
      <c r="G86" s="286"/>
    </row>
    <row r="87" spans="1:7" ht="20.25" thickBot="1">
      <c r="A87" s="975" t="s">
        <v>66</v>
      </c>
      <c r="B87" s="287"/>
      <c r="C87" s="287"/>
      <c r="D87" s="287"/>
      <c r="E87" s="287"/>
      <c r="F87" s="291"/>
      <c r="G87" s="286"/>
    </row>
    <row r="88" spans="1:7" ht="16.5" thickTop="1" thickBot="1">
      <c r="A88" s="976" t="s">
        <v>4</v>
      </c>
      <c r="B88" s="977" t="s">
        <v>150</v>
      </c>
      <c r="C88" s="977"/>
      <c r="D88" s="977"/>
      <c r="E88" s="977"/>
      <c r="F88" s="978"/>
      <c r="G88" s="286"/>
    </row>
    <row r="89" spans="1:7">
      <c r="A89" s="979" t="s">
        <v>782</v>
      </c>
      <c r="B89" s="1256">
        <v>0</v>
      </c>
      <c r="C89" s="286"/>
      <c r="D89" s="286"/>
      <c r="E89" s="286"/>
      <c r="F89" s="286"/>
      <c r="G89" s="286"/>
    </row>
    <row r="90" spans="1:7">
      <c r="A90" s="979" t="s">
        <v>445</v>
      </c>
      <c r="B90" s="980">
        <v>0</v>
      </c>
      <c r="C90" s="286" t="s">
        <v>629</v>
      </c>
      <c r="D90" s="286"/>
      <c r="E90" s="286"/>
      <c r="F90" s="286"/>
      <c r="G90" s="286"/>
    </row>
    <row r="91" spans="1:7">
      <c r="A91" s="979" t="s">
        <v>67</v>
      </c>
      <c r="B91" s="980">
        <v>332.78895127059121</v>
      </c>
      <c r="C91" s="286" t="s">
        <v>629</v>
      </c>
      <c r="D91" s="286"/>
      <c r="E91" s="286"/>
      <c r="F91" s="286"/>
      <c r="G91" s="286"/>
    </row>
    <row r="92" spans="1:7">
      <c r="A92" s="981" t="s">
        <v>68</v>
      </c>
      <c r="B92" s="986">
        <v>184.18770277089948</v>
      </c>
      <c r="C92" s="289" t="s">
        <v>629</v>
      </c>
      <c r="D92" s="289"/>
      <c r="E92" s="289"/>
      <c r="F92" s="289"/>
      <c r="G92" s="286"/>
    </row>
    <row r="93" spans="1:7">
      <c r="A93" s="290"/>
      <c r="B93" s="286"/>
      <c r="C93" s="286"/>
      <c r="D93" s="286"/>
      <c r="E93" s="286"/>
      <c r="F93" s="286"/>
      <c r="G93" s="286"/>
    </row>
    <row r="94" spans="1:7" ht="15.75" thickBot="1">
      <c r="A94" s="290"/>
      <c r="B94" s="286"/>
      <c r="C94" s="286"/>
      <c r="D94" s="286"/>
      <c r="E94" s="286"/>
      <c r="F94" s="286"/>
      <c r="G94" s="286"/>
    </row>
    <row r="95" spans="1:7" ht="20.25" thickBot="1">
      <c r="A95" s="975" t="s">
        <v>473</v>
      </c>
      <c r="B95" s="287"/>
      <c r="C95" s="287"/>
      <c r="D95" s="287"/>
      <c r="E95" s="287"/>
      <c r="F95" s="291"/>
      <c r="G95" s="286"/>
    </row>
    <row r="96" spans="1:7" ht="16.5" thickTop="1" thickBot="1">
      <c r="A96" s="976" t="s">
        <v>4</v>
      </c>
      <c r="B96" s="977" t="s">
        <v>687</v>
      </c>
      <c r="C96" s="977"/>
      <c r="D96" s="977"/>
      <c r="E96" s="977"/>
      <c r="F96" s="978"/>
      <c r="G96" s="286"/>
    </row>
    <row r="97" spans="1:7">
      <c r="A97" s="286" t="s">
        <v>20</v>
      </c>
      <c r="B97" s="980">
        <v>33969.866058711799</v>
      </c>
      <c r="C97" s="286"/>
      <c r="D97" s="286"/>
      <c r="E97" s="286"/>
      <c r="F97" s="286"/>
      <c r="G97" s="286"/>
    </row>
    <row r="98" spans="1:7">
      <c r="A98" s="286" t="s">
        <v>176</v>
      </c>
      <c r="B98" s="980">
        <v>0</v>
      </c>
      <c r="C98" s="286"/>
      <c r="D98" s="286"/>
      <c r="E98" s="286"/>
      <c r="F98" s="286"/>
      <c r="G98" s="286"/>
    </row>
    <row r="99" spans="1:7">
      <c r="A99" s="286" t="s">
        <v>179</v>
      </c>
      <c r="B99" s="980">
        <v>221789.42687581974</v>
      </c>
      <c r="C99" s="286"/>
      <c r="D99" s="286"/>
      <c r="E99" s="286"/>
      <c r="F99" s="286"/>
      <c r="G99" s="286"/>
    </row>
    <row r="100" spans="1:7">
      <c r="A100" s="286" t="s">
        <v>180</v>
      </c>
      <c r="B100" s="980">
        <v>0</v>
      </c>
      <c r="C100" s="286"/>
      <c r="D100" s="286"/>
      <c r="E100" s="286"/>
      <c r="F100" s="286"/>
      <c r="G100" s="286"/>
    </row>
    <row r="101" spans="1:7">
      <c r="A101" s="286" t="s">
        <v>181</v>
      </c>
      <c r="B101" s="980">
        <v>0</v>
      </c>
      <c r="C101" s="286"/>
      <c r="D101" s="286"/>
      <c r="E101" s="286"/>
      <c r="F101" s="286"/>
      <c r="G101" s="286"/>
    </row>
    <row r="102" spans="1:7">
      <c r="A102" s="981" t="s">
        <v>188</v>
      </c>
      <c r="B102" s="986">
        <v>0</v>
      </c>
      <c r="C102" s="289"/>
      <c r="D102" s="289"/>
      <c r="E102" s="289"/>
      <c r="F102" s="289"/>
      <c r="G102" s="286"/>
    </row>
    <row r="103" spans="1:7">
      <c r="A103" s="286"/>
      <c r="B103" s="286"/>
      <c r="C103" s="286"/>
      <c r="D103" s="286"/>
      <c r="E103" s="286"/>
      <c r="F103" s="286"/>
      <c r="G103" s="286"/>
    </row>
    <row r="104" spans="1:7" ht="15.75" thickBot="1">
      <c r="A104" s="286"/>
      <c r="B104" s="286"/>
      <c r="C104" s="286"/>
      <c r="D104" s="286"/>
      <c r="E104" s="286"/>
      <c r="F104" s="286"/>
      <c r="G104" s="286"/>
    </row>
    <row r="105" spans="1:7" ht="20.25" thickBot="1">
      <c r="A105" s="975" t="s">
        <v>474</v>
      </c>
      <c r="B105" s="287"/>
      <c r="C105" s="287"/>
      <c r="D105" s="287"/>
      <c r="E105" s="287"/>
      <c r="F105" s="291"/>
      <c r="G105" s="286"/>
    </row>
    <row r="106" spans="1:7" ht="16.5" thickTop="1" thickBot="1">
      <c r="A106" s="976" t="s">
        <v>4</v>
      </c>
      <c r="B106" s="977" t="s">
        <v>687</v>
      </c>
      <c r="C106" s="977"/>
      <c r="D106" s="977"/>
      <c r="E106" s="977"/>
      <c r="F106" s="978"/>
      <c r="G106" s="286"/>
    </row>
    <row r="107" spans="1:7">
      <c r="A107" s="981" t="s">
        <v>20</v>
      </c>
      <c r="B107" s="986">
        <v>56092.999999999804</v>
      </c>
      <c r="C107" s="289"/>
      <c r="D107" s="289"/>
      <c r="E107" s="289"/>
      <c r="F107" s="289"/>
      <c r="G107" s="286"/>
    </row>
    <row r="108" spans="1:7">
      <c r="A108" s="983"/>
      <c r="B108" s="984"/>
      <c r="C108" s="286"/>
      <c r="D108" s="286"/>
      <c r="E108" s="286"/>
      <c r="F108" s="286"/>
      <c r="G108" s="286"/>
    </row>
    <row r="109" spans="1:7" ht="15.75" thickBot="1">
      <c r="A109" s="286"/>
      <c r="B109" s="286"/>
      <c r="C109" s="286"/>
      <c r="D109" s="286"/>
      <c r="E109" s="286"/>
      <c r="F109" s="286"/>
      <c r="G109" s="286"/>
    </row>
    <row r="110" spans="1:7" ht="20.25" thickBot="1">
      <c r="A110" s="975" t="s">
        <v>283</v>
      </c>
      <c r="B110" s="287"/>
      <c r="C110" s="287"/>
      <c r="D110" s="287"/>
      <c r="E110" s="287"/>
      <c r="F110" s="291"/>
      <c r="G110" s="286"/>
    </row>
    <row r="111" spans="1:7" ht="16.5" thickTop="1" thickBot="1">
      <c r="A111" s="976" t="s">
        <v>4</v>
      </c>
      <c r="B111" s="977" t="s">
        <v>150</v>
      </c>
      <c r="C111" s="977"/>
      <c r="D111" s="977"/>
      <c r="E111" s="977"/>
      <c r="F111" s="978"/>
      <c r="G111" s="286"/>
    </row>
    <row r="112" spans="1:7">
      <c r="A112" s="286" t="s">
        <v>20</v>
      </c>
      <c r="B112" s="980">
        <v>0</v>
      </c>
      <c r="C112" s="286"/>
      <c r="D112" s="286"/>
      <c r="E112" s="286"/>
      <c r="F112" s="286"/>
      <c r="G112" s="286"/>
    </row>
    <row r="113" spans="1:7">
      <c r="A113" s="286" t="s">
        <v>179</v>
      </c>
      <c r="B113" s="980">
        <v>0</v>
      </c>
      <c r="C113" s="286"/>
      <c r="D113" s="286"/>
      <c r="E113" s="286"/>
      <c r="F113" s="286"/>
      <c r="G113" s="286"/>
    </row>
    <row r="114" spans="1:7">
      <c r="A114" s="286" t="s">
        <v>727</v>
      </c>
      <c r="B114" s="980">
        <v>0</v>
      </c>
      <c r="C114" s="286"/>
      <c r="D114" s="286"/>
      <c r="E114" s="286"/>
      <c r="F114" s="286"/>
      <c r="G114" s="286"/>
    </row>
    <row r="115" spans="1:7">
      <c r="A115" s="286" t="s">
        <v>728</v>
      </c>
      <c r="B115" s="980">
        <v>0</v>
      </c>
      <c r="C115" s="286"/>
      <c r="D115" s="286"/>
      <c r="E115" s="286"/>
      <c r="F115" s="286"/>
      <c r="G115" s="286"/>
    </row>
    <row r="116" spans="1:7">
      <c r="A116" s="981" t="s">
        <v>180</v>
      </c>
      <c r="B116" s="986">
        <v>0</v>
      </c>
      <c r="C116" s="289"/>
      <c r="D116" s="289"/>
      <c r="E116" s="289"/>
      <c r="F116" s="289"/>
      <c r="G116" s="286"/>
    </row>
    <row r="117" spans="1:7">
      <c r="A117" s="983"/>
      <c r="B117" s="984"/>
      <c r="C117" s="286"/>
      <c r="D117" s="286"/>
      <c r="E117" s="286"/>
      <c r="F117" s="286"/>
      <c r="G117" s="286"/>
    </row>
    <row r="118" spans="1:7" ht="15.75" thickBot="1">
      <c r="A118" s="286"/>
      <c r="B118" s="286"/>
      <c r="C118" s="286"/>
      <c r="D118" s="286"/>
      <c r="E118" s="286"/>
      <c r="F118" s="286"/>
      <c r="G118" s="286"/>
    </row>
    <row r="119" spans="1:7" ht="20.25" thickBot="1">
      <c r="A119" s="975" t="s">
        <v>729</v>
      </c>
      <c r="B119" s="287"/>
      <c r="C119" s="287"/>
      <c r="D119" s="287"/>
      <c r="E119" s="287"/>
      <c r="F119" s="291"/>
      <c r="G119" s="286"/>
    </row>
    <row r="120" spans="1:7" ht="16.5" thickTop="1" thickBot="1">
      <c r="A120" s="976" t="s">
        <v>4</v>
      </c>
      <c r="B120" s="977" t="s">
        <v>150</v>
      </c>
      <c r="C120" s="977"/>
      <c r="D120" s="977"/>
      <c r="E120" s="977"/>
      <c r="F120" s="978"/>
      <c r="G120" s="286"/>
    </row>
    <row r="121" spans="1:7">
      <c r="A121" s="286" t="s">
        <v>730</v>
      </c>
      <c r="B121" s="980">
        <v>102.71418383201329</v>
      </c>
      <c r="C121" s="286"/>
      <c r="D121" s="286"/>
      <c r="E121" s="286"/>
      <c r="F121" s="286"/>
      <c r="G121" s="286"/>
    </row>
    <row r="122" spans="1:7">
      <c r="A122" s="286" t="s">
        <v>731</v>
      </c>
      <c r="B122" s="980">
        <v>2.986318071470587</v>
      </c>
      <c r="C122" s="286"/>
      <c r="D122" s="286"/>
      <c r="E122" s="286"/>
      <c r="F122" s="286"/>
      <c r="G122" s="286"/>
    </row>
    <row r="123" spans="1:7">
      <c r="A123" s="286" t="s">
        <v>3</v>
      </c>
      <c r="B123" s="980">
        <v>14.931590357352935</v>
      </c>
      <c r="C123" s="286"/>
      <c r="D123" s="286"/>
      <c r="E123" s="286"/>
      <c r="F123" s="286"/>
      <c r="G123" s="286"/>
    </row>
    <row r="124" spans="1:7">
      <c r="A124" s="981" t="s">
        <v>732</v>
      </c>
      <c r="B124" s="986">
        <v>5.6740043357941152</v>
      </c>
      <c r="C124" s="289"/>
      <c r="D124" s="289"/>
      <c r="E124" s="289"/>
      <c r="F124" s="289"/>
      <c r="G124" s="286"/>
    </row>
    <row r="125" spans="1:7">
      <c r="A125" s="286"/>
      <c r="B125" s="286"/>
      <c r="C125" s="286"/>
      <c r="D125" s="286"/>
      <c r="E125" s="286"/>
      <c r="F125" s="286"/>
      <c r="G125" s="286"/>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topLeftCell="A36" workbookViewId="0">
      <selection activeCell="A2" sqref="A2"/>
    </sheetView>
  </sheetViews>
  <sheetFormatPr defaultRowHeight="15"/>
  <cols>
    <col min="1" max="1" width="46.7109375" bestFit="1" customWidth="1"/>
    <col min="2" max="2" width="38.5703125" style="421" customWidth="1"/>
    <col min="7" max="7" width="26.5703125" bestFit="1" customWidth="1"/>
  </cols>
  <sheetData>
    <row r="1" spans="1:12" ht="18.75" thickBot="1">
      <c r="A1" s="120" t="s">
        <v>160</v>
      </c>
      <c r="B1" s="411"/>
      <c r="E1" s="528"/>
      <c r="F1" s="528"/>
    </row>
    <row r="2" spans="1:12">
      <c r="A2" s="374" t="s">
        <v>702</v>
      </c>
      <c r="B2" s="412"/>
      <c r="E2" s="528"/>
      <c r="F2" s="528"/>
    </row>
    <row r="3" spans="1:12">
      <c r="A3" s="44"/>
      <c r="B3" s="412"/>
      <c r="E3" s="528"/>
      <c r="F3" s="528"/>
    </row>
    <row r="4" spans="1:12" ht="18">
      <c r="A4" s="134" t="s">
        <v>161</v>
      </c>
      <c r="B4" s="413" t="s">
        <v>333</v>
      </c>
      <c r="E4" s="528"/>
      <c r="F4" s="528"/>
    </row>
    <row r="5" spans="1:12" ht="21">
      <c r="A5" s="115" t="s">
        <v>163</v>
      </c>
      <c r="B5" s="414"/>
      <c r="E5" s="713"/>
      <c r="F5" s="714"/>
      <c r="G5" s="721"/>
      <c r="H5" s="721"/>
      <c r="I5" s="9"/>
      <c r="J5" s="9"/>
    </row>
    <row r="6" spans="1:12">
      <c r="A6" s="116" t="s">
        <v>164</v>
      </c>
      <c r="B6" s="988">
        <v>4.0513950503279288</v>
      </c>
      <c r="E6" s="715"/>
      <c r="F6" s="715"/>
      <c r="G6" s="722"/>
      <c r="H6" s="722"/>
      <c r="I6" s="10"/>
      <c r="J6" s="10"/>
      <c r="K6" s="10"/>
      <c r="L6" s="10"/>
    </row>
    <row r="7" spans="1:12">
      <c r="A7" s="116" t="s">
        <v>6</v>
      </c>
      <c r="B7" s="988">
        <v>134.98931927673769</v>
      </c>
      <c r="E7" s="528"/>
      <c r="F7" s="528"/>
      <c r="G7" s="723"/>
      <c r="H7" s="723"/>
      <c r="K7" s="10"/>
      <c r="L7" s="10"/>
    </row>
    <row r="8" spans="1:12">
      <c r="A8" s="116" t="s">
        <v>7</v>
      </c>
      <c r="B8" s="988">
        <v>68.701349037463643</v>
      </c>
      <c r="E8" s="528"/>
      <c r="F8" s="528"/>
      <c r="G8" s="723"/>
      <c r="H8" s="723"/>
      <c r="K8" s="10"/>
      <c r="L8" s="10"/>
    </row>
    <row r="9" spans="1:12">
      <c r="A9" s="116" t="s">
        <v>8</v>
      </c>
      <c r="B9" s="988">
        <v>31.909886478760502</v>
      </c>
      <c r="E9" s="715"/>
      <c r="F9" s="715"/>
      <c r="G9" s="722"/>
      <c r="H9" s="722"/>
      <c r="I9" s="10"/>
      <c r="J9" s="10"/>
      <c r="K9" s="10"/>
      <c r="L9" s="10"/>
    </row>
    <row r="10" spans="1:12">
      <c r="A10" s="116" t="s">
        <v>9</v>
      </c>
      <c r="B10" s="988">
        <v>47.900718217356051</v>
      </c>
      <c r="E10" s="716"/>
      <c r="F10" s="716"/>
      <c r="G10" s="724"/>
      <c r="H10" s="724"/>
      <c r="I10" s="11"/>
      <c r="J10" s="11"/>
      <c r="K10" s="10"/>
      <c r="L10" s="10"/>
    </row>
    <row r="11" spans="1:12">
      <c r="A11" s="116" t="s">
        <v>10</v>
      </c>
      <c r="B11" s="988">
        <v>41.361552447157969</v>
      </c>
      <c r="E11" s="528"/>
      <c r="F11" s="716"/>
      <c r="G11" s="724"/>
      <c r="H11" s="724"/>
      <c r="I11" s="11"/>
      <c r="J11" s="11"/>
      <c r="K11" s="10"/>
      <c r="L11" s="10"/>
    </row>
    <row r="12" spans="1:12">
      <c r="A12" s="117" t="s">
        <v>16</v>
      </c>
      <c r="B12" s="988">
        <v>8</v>
      </c>
      <c r="E12" s="716"/>
      <c r="F12" s="715"/>
      <c r="G12" s="722"/>
      <c r="H12" s="722"/>
      <c r="I12" s="10"/>
      <c r="J12" s="10"/>
      <c r="K12" s="10"/>
      <c r="L12" s="10"/>
    </row>
    <row r="13" spans="1:12">
      <c r="A13" s="117" t="s">
        <v>17</v>
      </c>
      <c r="B13" s="988">
        <v>5</v>
      </c>
      <c r="E13" s="715"/>
      <c r="F13" s="715"/>
      <c r="G13" s="722"/>
      <c r="H13" s="722"/>
      <c r="I13" s="10"/>
      <c r="J13" s="10"/>
      <c r="K13" s="10"/>
      <c r="L13" s="10"/>
    </row>
    <row r="14" spans="1:12">
      <c r="A14" s="117" t="s">
        <v>165</v>
      </c>
      <c r="B14" s="988">
        <v>1.5</v>
      </c>
      <c r="E14" s="715"/>
      <c r="F14" s="715"/>
      <c r="G14" s="722"/>
      <c r="H14" s="722"/>
      <c r="I14" s="10"/>
      <c r="J14" s="10"/>
      <c r="K14" s="10"/>
      <c r="L14" s="10"/>
    </row>
    <row r="15" spans="1:12">
      <c r="A15" s="117" t="s">
        <v>166</v>
      </c>
      <c r="B15" s="988">
        <v>18</v>
      </c>
      <c r="E15" s="715"/>
      <c r="F15" s="715"/>
      <c r="G15" s="722"/>
      <c r="H15" s="722"/>
      <c r="I15" s="10"/>
      <c r="J15" s="10"/>
      <c r="K15" s="10"/>
      <c r="L15" s="10"/>
    </row>
    <row r="16" spans="1:12">
      <c r="A16" s="117" t="s">
        <v>575</v>
      </c>
      <c r="B16" s="989">
        <v>10</v>
      </c>
      <c r="E16" s="715"/>
      <c r="F16" s="715"/>
      <c r="G16" s="722"/>
      <c r="H16" s="722"/>
      <c r="I16" s="10"/>
      <c r="J16" s="10"/>
      <c r="K16" s="10"/>
      <c r="L16" s="10"/>
    </row>
    <row r="17" spans="1:12" s="43" customFormat="1" ht="15.75" thickBot="1">
      <c r="A17" s="118"/>
      <c r="B17" s="415"/>
      <c r="E17" s="717"/>
      <c r="F17" s="717"/>
      <c r="G17" s="151"/>
      <c r="H17" s="151"/>
      <c r="I17" s="151"/>
      <c r="J17" s="151"/>
      <c r="K17" s="151"/>
      <c r="L17" s="151"/>
    </row>
    <row r="18" spans="1:12" s="43" customFormat="1" ht="15.75" thickBot="1">
      <c r="A18" s="183"/>
      <c r="B18" s="416"/>
      <c r="E18" s="717"/>
      <c r="F18" s="717"/>
      <c r="G18" s="151"/>
      <c r="H18" s="151"/>
      <c r="I18" s="151"/>
      <c r="J18" s="151"/>
      <c r="K18" s="151"/>
      <c r="L18" s="151"/>
    </row>
    <row r="19" spans="1:12" ht="18.75" thickBot="1">
      <c r="A19" s="120" t="s">
        <v>168</v>
      </c>
      <c r="B19" s="411"/>
      <c r="E19" s="715"/>
      <c r="F19" s="715"/>
      <c r="G19" s="10"/>
      <c r="H19" s="10"/>
      <c r="I19" s="10"/>
      <c r="J19" s="10"/>
      <c r="K19" s="10"/>
      <c r="L19" s="10"/>
    </row>
    <row r="20" spans="1:12">
      <c r="A20" s="44" t="s">
        <v>702</v>
      </c>
      <c r="B20" s="412"/>
      <c r="E20" s="715"/>
      <c r="F20" s="715"/>
      <c r="G20" s="10"/>
      <c r="H20" s="10"/>
      <c r="I20" s="10"/>
      <c r="J20" s="10"/>
      <c r="K20" s="10"/>
      <c r="L20" s="10"/>
    </row>
    <row r="21" spans="1:12">
      <c r="A21" s="44"/>
      <c r="B21" s="412"/>
      <c r="E21" s="715"/>
      <c r="F21" s="715"/>
      <c r="G21" s="10"/>
      <c r="H21" s="10"/>
      <c r="I21" s="10"/>
      <c r="J21" s="10"/>
      <c r="K21" s="10"/>
      <c r="L21" s="10"/>
    </row>
    <row r="22" spans="1:12" ht="18">
      <c r="A22" s="135" t="s">
        <v>161</v>
      </c>
      <c r="B22" s="417" t="s">
        <v>333</v>
      </c>
      <c r="E22" s="715"/>
      <c r="F22" s="715"/>
      <c r="G22" s="10"/>
      <c r="H22" s="10"/>
      <c r="I22" s="10"/>
      <c r="J22" s="10"/>
      <c r="K22" s="10"/>
      <c r="L22" s="10"/>
    </row>
    <row r="23" spans="1:12" s="71" customFormat="1">
      <c r="A23" s="117" t="s">
        <v>163</v>
      </c>
      <c r="B23" s="990">
        <v>10.956893133388585</v>
      </c>
      <c r="E23" s="718"/>
      <c r="F23" s="718"/>
      <c r="G23" s="725"/>
      <c r="H23" s="725"/>
    </row>
    <row r="24" spans="1:12">
      <c r="A24" s="116" t="s">
        <v>164</v>
      </c>
      <c r="B24" s="990">
        <v>4.2231090152811745</v>
      </c>
      <c r="E24" s="715"/>
      <c r="F24" s="715"/>
      <c r="G24" s="722"/>
      <c r="H24" s="722"/>
      <c r="I24" s="10"/>
      <c r="J24" s="10"/>
      <c r="K24" s="10"/>
      <c r="L24" s="10"/>
    </row>
    <row r="25" spans="1:12">
      <c r="A25" s="116" t="s">
        <v>6</v>
      </c>
      <c r="B25" s="990">
        <v>33.566669476592523</v>
      </c>
      <c r="E25" s="715"/>
      <c r="F25" s="715"/>
      <c r="G25" s="722"/>
      <c r="H25" s="722"/>
      <c r="I25" s="10"/>
      <c r="J25" s="10"/>
      <c r="K25" s="10"/>
      <c r="L25" s="10"/>
    </row>
    <row r="26" spans="1:12">
      <c r="A26" s="116" t="s">
        <v>7</v>
      </c>
      <c r="B26" s="990">
        <v>1.9346866177056348</v>
      </c>
      <c r="E26" s="715"/>
      <c r="F26" s="715"/>
      <c r="G26" s="722"/>
      <c r="H26" s="722"/>
      <c r="I26" s="10"/>
      <c r="J26" s="10"/>
      <c r="K26" s="10"/>
      <c r="L26" s="10"/>
    </row>
    <row r="27" spans="1:12">
      <c r="A27" s="116" t="s">
        <v>8</v>
      </c>
      <c r="B27" s="990">
        <v>1.1993683996109175</v>
      </c>
      <c r="E27" s="715"/>
      <c r="F27" s="715"/>
      <c r="G27" s="722"/>
      <c r="H27" s="722"/>
      <c r="I27" s="10"/>
      <c r="J27" s="10"/>
      <c r="K27" s="10"/>
      <c r="L27" s="10"/>
    </row>
    <row r="28" spans="1:12">
      <c r="A28" s="116" t="s">
        <v>9</v>
      </c>
      <c r="B28" s="990">
        <v>5.0655067831320864</v>
      </c>
      <c r="E28" s="715"/>
      <c r="F28" s="715"/>
      <c r="G28" s="722"/>
      <c r="H28" s="722"/>
      <c r="I28" s="10"/>
      <c r="J28" s="10"/>
      <c r="K28" s="10"/>
      <c r="L28" s="10"/>
    </row>
    <row r="29" spans="1:12">
      <c r="A29" s="116" t="s">
        <v>10</v>
      </c>
      <c r="B29" s="990">
        <v>3.3232292777158938</v>
      </c>
      <c r="E29" s="715"/>
      <c r="F29" s="715"/>
      <c r="G29" s="722"/>
      <c r="H29" s="722"/>
      <c r="I29" s="10"/>
      <c r="J29" s="10"/>
      <c r="K29" s="10"/>
      <c r="L29" s="10"/>
    </row>
    <row r="30" spans="1:12">
      <c r="A30" s="117" t="s">
        <v>165</v>
      </c>
      <c r="B30" s="990">
        <v>4.4251827781099822</v>
      </c>
      <c r="E30" s="715"/>
      <c r="F30" s="715"/>
      <c r="G30" s="722"/>
      <c r="H30" s="722"/>
      <c r="I30" s="10"/>
      <c r="J30" s="10"/>
      <c r="K30" s="10"/>
      <c r="L30" s="10"/>
    </row>
    <row r="31" spans="1:12">
      <c r="A31" s="116" t="s">
        <v>11</v>
      </c>
      <c r="B31" s="990">
        <v>1.6075002802320006</v>
      </c>
      <c r="E31" s="715"/>
      <c r="F31" s="715"/>
      <c r="G31" s="722"/>
      <c r="H31" s="722"/>
      <c r="I31" s="10"/>
      <c r="J31" s="10"/>
      <c r="K31" s="10"/>
      <c r="L31" s="10"/>
    </row>
    <row r="32" spans="1:12">
      <c r="A32" s="116" t="s">
        <v>12</v>
      </c>
      <c r="B32" s="990">
        <v>4.8225008406960006</v>
      </c>
      <c r="E32" s="715"/>
      <c r="F32" s="715"/>
      <c r="G32" s="722"/>
      <c r="H32" s="722"/>
      <c r="I32" s="10"/>
      <c r="J32" s="10"/>
      <c r="K32" s="10"/>
      <c r="L32" s="10"/>
    </row>
    <row r="33" spans="1:14">
      <c r="A33" s="116" t="s">
        <v>13</v>
      </c>
      <c r="B33" s="990">
        <v>6.3685027042560023</v>
      </c>
      <c r="E33" s="715"/>
      <c r="F33" s="715"/>
      <c r="G33" s="722"/>
      <c r="H33" s="722"/>
      <c r="I33" s="10"/>
      <c r="J33" s="10"/>
      <c r="K33" s="10"/>
      <c r="L33" s="10"/>
    </row>
    <row r="34" spans="1:14">
      <c r="A34" s="116" t="s">
        <v>14</v>
      </c>
      <c r="B34" s="990">
        <v>4.6362973013280016</v>
      </c>
      <c r="E34" s="715"/>
      <c r="F34" s="715"/>
      <c r="G34" s="722"/>
      <c r="H34" s="722"/>
      <c r="I34" s="10"/>
      <c r="J34" s="10"/>
      <c r="K34" s="10"/>
      <c r="L34" s="10"/>
    </row>
    <row r="35" spans="1:14">
      <c r="A35" s="116" t="s">
        <v>15</v>
      </c>
      <c r="B35" s="990">
        <v>12.338973989496003</v>
      </c>
      <c r="E35" s="715"/>
      <c r="F35" s="715"/>
      <c r="G35" s="722"/>
      <c r="H35" s="722"/>
      <c r="I35" s="10"/>
      <c r="J35" s="10"/>
      <c r="K35" s="10"/>
      <c r="L35" s="10"/>
    </row>
    <row r="36" spans="1:14">
      <c r="A36" s="117" t="s">
        <v>16</v>
      </c>
      <c r="B36" s="990">
        <v>0.19</v>
      </c>
      <c r="E36" s="715"/>
      <c r="F36" s="715"/>
      <c r="G36" s="722"/>
      <c r="H36" s="722"/>
      <c r="I36" s="10"/>
      <c r="J36" s="10"/>
      <c r="K36" s="10"/>
      <c r="L36" s="10"/>
    </row>
    <row r="37" spans="1:14">
      <c r="A37" s="117" t="s">
        <v>17</v>
      </c>
      <c r="B37" s="990">
        <v>0.13</v>
      </c>
      <c r="E37" s="528"/>
      <c r="F37" s="528"/>
      <c r="G37" s="723"/>
      <c r="H37" s="723"/>
    </row>
    <row r="38" spans="1:14">
      <c r="A38" s="117" t="s">
        <v>166</v>
      </c>
      <c r="B38" s="990">
        <v>1.56</v>
      </c>
      <c r="E38" s="528"/>
      <c r="F38" s="528"/>
      <c r="G38" s="723"/>
      <c r="H38" s="723"/>
    </row>
    <row r="39" spans="1:14">
      <c r="A39" s="117" t="s">
        <v>167</v>
      </c>
      <c r="B39" s="990">
        <v>0.76000000000000012</v>
      </c>
      <c r="E39" s="528"/>
      <c r="F39" s="528"/>
      <c r="G39" s="723"/>
      <c r="H39" s="723"/>
    </row>
    <row r="40" spans="1:14">
      <c r="A40" s="117" t="s">
        <v>18</v>
      </c>
      <c r="B40" s="990">
        <v>2.3127899323625901E-2</v>
      </c>
      <c r="E40" s="528"/>
      <c r="F40" s="528"/>
      <c r="G40" s="723"/>
      <c r="H40" s="723"/>
    </row>
    <row r="41" spans="1:14" s="810" customFormat="1">
      <c r="A41" s="117" t="s">
        <v>579</v>
      </c>
      <c r="B41" s="990">
        <v>0.08</v>
      </c>
      <c r="E41" s="528"/>
      <c r="F41" s="528"/>
      <c r="G41" s="723"/>
      <c r="H41" s="723"/>
    </row>
    <row r="42" spans="1:14" s="810" customFormat="1">
      <c r="A42" s="117" t="s">
        <v>580</v>
      </c>
      <c r="B42" s="990">
        <v>0.68</v>
      </c>
      <c r="E42" s="528"/>
      <c r="F42" s="528"/>
      <c r="G42" s="723"/>
      <c r="H42" s="723"/>
    </row>
    <row r="43" spans="1:14" ht="15.75" thickBot="1">
      <c r="A43" s="118"/>
      <c r="B43" s="418"/>
      <c r="E43" s="528"/>
      <c r="F43" s="528"/>
    </row>
    <row r="44" spans="1:14" s="43" customFormat="1" ht="15.75" thickBot="1">
      <c r="A44" s="184"/>
      <c r="B44" s="416"/>
      <c r="E44" s="719"/>
      <c r="F44" s="719"/>
      <c r="G44" s="185"/>
      <c r="H44" s="185"/>
      <c r="I44" s="185"/>
      <c r="J44" s="185"/>
      <c r="K44" s="185"/>
      <c r="L44" s="185"/>
      <c r="M44" s="185"/>
      <c r="N44" s="185"/>
    </row>
    <row r="45" spans="1:14" ht="15.75" thickBot="1">
      <c r="A45" s="120" t="s">
        <v>169</v>
      </c>
      <c r="B45" s="419"/>
      <c r="E45" s="528"/>
      <c r="F45" s="528"/>
    </row>
    <row r="46" spans="1:14">
      <c r="A46" s="44" t="s">
        <v>703</v>
      </c>
      <c r="B46" s="412"/>
      <c r="E46" s="528"/>
      <c r="F46" s="528"/>
    </row>
    <row r="47" spans="1:14">
      <c r="A47" s="44"/>
      <c r="B47" s="412"/>
      <c r="E47" s="528"/>
      <c r="F47" s="528"/>
    </row>
    <row r="48" spans="1:14" ht="18">
      <c r="A48" s="134" t="s">
        <v>170</v>
      </c>
      <c r="B48" s="413" t="s">
        <v>470</v>
      </c>
      <c r="E48" s="528"/>
      <c r="F48" s="528"/>
    </row>
    <row r="49" spans="1:12">
      <c r="A49" s="115" t="s">
        <v>171</v>
      </c>
      <c r="B49" s="991">
        <v>0.84766374105269948</v>
      </c>
      <c r="E49" s="528"/>
      <c r="F49" s="528"/>
    </row>
    <row r="50" spans="1:12">
      <c r="A50" s="117" t="s">
        <v>172</v>
      </c>
      <c r="B50" s="992">
        <v>0.98033586840739151</v>
      </c>
      <c r="E50" s="528"/>
      <c r="F50" s="528"/>
    </row>
    <row r="51" spans="1:12">
      <c r="A51" s="117" t="s">
        <v>165</v>
      </c>
      <c r="B51" s="994">
        <v>3.1294603642524461E-2</v>
      </c>
      <c r="E51" s="528"/>
      <c r="F51" s="528"/>
    </row>
    <row r="52" spans="1:12">
      <c r="A52" s="117" t="s">
        <v>18</v>
      </c>
      <c r="B52" s="996">
        <v>9.2432186519367319E-4</v>
      </c>
      <c r="E52" s="715"/>
      <c r="F52" s="715"/>
      <c r="G52" s="10"/>
      <c r="H52" s="10"/>
      <c r="I52" s="10"/>
      <c r="J52" s="10"/>
      <c r="K52" s="10"/>
      <c r="L52" s="10"/>
    </row>
    <row r="53" spans="1:12">
      <c r="A53" s="117" t="s">
        <v>16</v>
      </c>
      <c r="B53" s="995">
        <v>6.5636535146874862E-3</v>
      </c>
      <c r="E53" s="715"/>
      <c r="F53" s="715"/>
      <c r="G53" s="10"/>
      <c r="H53" s="10"/>
      <c r="I53" s="10"/>
      <c r="J53" s="10"/>
      <c r="K53" s="10"/>
      <c r="L53" s="10"/>
    </row>
    <row r="54" spans="1:12" ht="15.75" thickBot="1">
      <c r="A54" s="118" t="s">
        <v>107</v>
      </c>
      <c r="B54" s="993">
        <v>0.13490828537336544</v>
      </c>
      <c r="E54" s="528"/>
      <c r="F54" s="528"/>
    </row>
    <row r="55" spans="1:12">
      <c r="B55" s="42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election activeCell="B8" sqref="B8"/>
    </sheetView>
  </sheetViews>
  <sheetFormatPr defaultRowHeight="15"/>
  <cols>
    <col min="1" max="1" width="80" customWidth="1"/>
    <col min="2" max="2" width="36" style="384" customWidth="1"/>
    <col min="3" max="3" width="70.28515625" style="424" customWidth="1"/>
  </cols>
  <sheetData>
    <row r="1" spans="1:3" s="286" customFormat="1" ht="15.75" thickBot="1">
      <c r="A1" s="312" t="s">
        <v>487</v>
      </c>
      <c r="B1" s="422"/>
      <c r="C1" s="423"/>
    </row>
    <row r="2" spans="1:3" s="286" customFormat="1">
      <c r="A2" s="316"/>
      <c r="B2" s="402"/>
      <c r="C2" s="425"/>
    </row>
    <row r="3" spans="1:3" s="286" customFormat="1">
      <c r="A3" s="314"/>
      <c r="B3" s="426">
        <v>2022</v>
      </c>
      <c r="C3" s="317" t="s">
        <v>162</v>
      </c>
    </row>
    <row r="4" spans="1:3">
      <c r="A4" s="119" t="s">
        <v>257</v>
      </c>
      <c r="B4" s="427">
        <f>4111848/1000</f>
        <v>4111.848</v>
      </c>
      <c r="C4" s="136" t="s">
        <v>704</v>
      </c>
    </row>
    <row r="5" spans="1:3" ht="15.75" thickBot="1">
      <c r="A5" s="732" t="s">
        <v>486</v>
      </c>
      <c r="B5" s="737">
        <v>669287.74</v>
      </c>
      <c r="C5" s="738" t="s">
        <v>705</v>
      </c>
    </row>
    <row r="11" spans="1:3">
      <c r="B11" s="624"/>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7"/>
  <sheetViews>
    <sheetView showGridLines="0" workbookViewId="0">
      <selection activeCell="L12" sqref="L12"/>
    </sheetView>
  </sheetViews>
  <sheetFormatPr defaultRowHeight="15"/>
  <cols>
    <col min="1" max="1" width="32.42578125" customWidth="1"/>
    <col min="2" max="2" width="57.42578125" customWidth="1"/>
  </cols>
  <sheetData>
    <row r="1" spans="1:2" s="286" customFormat="1" ht="15.75" thickBot="1">
      <c r="A1" s="312" t="s">
        <v>367</v>
      </c>
      <c r="B1" s="313"/>
    </row>
    <row r="2" spans="1:2" s="286" customFormat="1">
      <c r="A2" s="304"/>
      <c r="B2" s="311"/>
    </row>
    <row r="3" spans="1:2" s="286" customFormat="1" ht="18">
      <c r="A3" s="314"/>
      <c r="B3" s="315" t="s">
        <v>370</v>
      </c>
    </row>
    <row r="4" spans="1:2" ht="18">
      <c r="A4" s="119" t="s">
        <v>368</v>
      </c>
      <c r="B4" s="428">
        <v>265</v>
      </c>
    </row>
    <row r="5" spans="1:2" ht="18.75" thickBot="1">
      <c r="A5" s="114" t="s">
        <v>369</v>
      </c>
      <c r="B5" s="429">
        <v>28</v>
      </c>
    </row>
    <row r="7" spans="1:2">
      <c r="A7" t="s">
        <v>764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N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9.7109375" style="810" customWidth="1"/>
    <col min="11" max="11" width="12.85546875" customWidth="1"/>
    <col min="12" max="12" width="28.7109375" customWidth="1"/>
    <col min="13" max="13" width="16.85546875" bestFit="1" customWidth="1"/>
    <col min="14" max="14" width="41.85546875" bestFit="1" customWidth="1"/>
  </cols>
  <sheetData>
    <row r="1" spans="1:14" s="286" customFormat="1" ht="22.7" customHeight="1" thickBot="1">
      <c r="A1" s="308"/>
      <c r="B1" s="309" t="s">
        <v>179</v>
      </c>
      <c r="C1" s="309" t="s">
        <v>180</v>
      </c>
      <c r="D1" s="309" t="s">
        <v>181</v>
      </c>
      <c r="E1" s="309" t="s">
        <v>182</v>
      </c>
      <c r="F1" s="309" t="s">
        <v>100</v>
      </c>
      <c r="G1" s="309" t="s">
        <v>183</v>
      </c>
      <c r="H1" s="309" t="s">
        <v>184</v>
      </c>
      <c r="I1" s="309" t="s">
        <v>185</v>
      </c>
      <c r="J1" s="309" t="s">
        <v>652</v>
      </c>
      <c r="K1" s="309" t="s">
        <v>187</v>
      </c>
      <c r="L1" s="309" t="s">
        <v>186</v>
      </c>
      <c r="M1" s="309" t="s">
        <v>188</v>
      </c>
      <c r="N1" s="310" t="s">
        <v>252</v>
      </c>
    </row>
    <row r="2" spans="1:14" s="286" customFormat="1">
      <c r="A2" s="304" t="s">
        <v>357</v>
      </c>
      <c r="B2" s="292"/>
      <c r="C2" s="292"/>
      <c r="D2" s="292"/>
      <c r="E2" s="292"/>
      <c r="F2" s="292"/>
      <c r="G2" s="292"/>
      <c r="H2" s="292"/>
      <c r="I2" s="292"/>
      <c r="J2" s="292"/>
      <c r="K2" s="292"/>
      <c r="L2" s="292"/>
      <c r="M2" s="292"/>
      <c r="N2" s="311"/>
    </row>
    <row r="3" spans="1:14">
      <c r="A3" s="44"/>
      <c r="B3" s="43"/>
      <c r="C3" s="43"/>
      <c r="D3" s="43"/>
      <c r="E3" s="43"/>
      <c r="F3" s="43"/>
      <c r="G3" s="43"/>
      <c r="H3" s="43"/>
      <c r="I3" s="43"/>
      <c r="J3" s="43"/>
      <c r="K3" s="43"/>
      <c r="L3" s="43"/>
      <c r="M3" s="43"/>
      <c r="N3" s="95"/>
    </row>
    <row r="4" spans="1:14" ht="15.75" thickBot="1">
      <c r="A4" s="192" t="s">
        <v>358</v>
      </c>
      <c r="B4" s="283">
        <v>0.20200000000000001</v>
      </c>
      <c r="C4" s="283">
        <v>0.22700000000000001</v>
      </c>
      <c r="D4" s="283">
        <v>0.26700000000000002</v>
      </c>
      <c r="E4" s="283">
        <v>0.26700000000000002</v>
      </c>
      <c r="F4" s="283">
        <v>0.249</v>
      </c>
      <c r="G4" s="283">
        <v>0.35099999999999998</v>
      </c>
      <c r="H4" s="283">
        <v>0.35399999999999998</v>
      </c>
      <c r="I4" s="283">
        <v>0.26400000000000001</v>
      </c>
      <c r="J4" s="283">
        <v>0</v>
      </c>
      <c r="K4" s="283">
        <v>0</v>
      </c>
      <c r="L4" s="283">
        <v>0</v>
      </c>
      <c r="M4" s="283">
        <v>0</v>
      </c>
      <c r="N4" s="284">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5"/>
  <sheetViews>
    <sheetView showGridLines="0" workbookViewId="0"/>
  </sheetViews>
  <sheetFormatPr defaultRowHeight="15"/>
  <cols>
    <col min="1" max="1" width="82.7109375" style="28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03" t="s">
        <v>397</v>
      </c>
      <c r="B1" s="186"/>
      <c r="C1" s="186"/>
      <c r="D1" s="186"/>
      <c r="E1" s="186"/>
      <c r="F1" s="186"/>
      <c r="G1" s="186"/>
      <c r="H1" s="186"/>
      <c r="I1" s="186"/>
      <c r="J1" s="186"/>
      <c r="K1" s="187"/>
    </row>
    <row r="2" spans="1:11">
      <c r="A2" s="304"/>
      <c r="B2" s="43"/>
      <c r="C2" s="43"/>
      <c r="D2" s="43"/>
      <c r="E2" s="43"/>
      <c r="F2" s="43"/>
      <c r="G2" s="43"/>
      <c r="H2" s="43"/>
      <c r="I2" s="43"/>
      <c r="J2" s="43"/>
      <c r="K2" s="95"/>
    </row>
    <row r="3" spans="1:11">
      <c r="A3" s="304" t="s">
        <v>412</v>
      </c>
      <c r="B3" s="49">
        <f>IF(ISERROR('SECAP template'!C42),0,'SECAP template'!C42)</f>
        <v>2385.494897751561</v>
      </c>
      <c r="C3" s="43" t="s">
        <v>150</v>
      </c>
      <c r="D3" s="43"/>
      <c r="E3" s="151"/>
      <c r="F3" s="43"/>
      <c r="G3" s="43"/>
      <c r="H3" s="43"/>
      <c r="I3" s="43"/>
      <c r="J3" s="43"/>
      <c r="K3" s="95"/>
    </row>
    <row r="4" spans="1:11">
      <c r="A4" s="304" t="s">
        <v>151</v>
      </c>
      <c r="B4" s="49">
        <f>IF(ISERROR('SECAP template'!B105+'SECAP template'!C105),0,'SECAP template'!B105+'SECAP template'!C105)</f>
        <v>516.97665404149075</v>
      </c>
      <c r="C4" s="43" t="s">
        <v>150</v>
      </c>
      <c r="D4" s="43"/>
      <c r="E4" s="43"/>
      <c r="F4" s="43"/>
      <c r="G4" s="43"/>
      <c r="H4" s="43"/>
      <c r="I4" s="43"/>
      <c r="J4" s="43"/>
      <c r="K4" s="95"/>
    </row>
    <row r="5" spans="1:11">
      <c r="A5" s="304" t="s">
        <v>436</v>
      </c>
      <c r="B5" s="49">
        <f>IF(ISERROR('Eigen informatie GS &amp; warmtenet'!B4),0,'Eigen informatie GS &amp; warmtenet'!B4)</f>
        <v>0</v>
      </c>
      <c r="C5" s="43" t="s">
        <v>150</v>
      </c>
      <c r="D5" s="43"/>
      <c r="E5" s="43"/>
      <c r="F5" s="43"/>
      <c r="G5" s="43"/>
      <c r="H5" s="43"/>
      <c r="I5" s="43"/>
      <c r="J5" s="43"/>
      <c r="K5" s="95"/>
    </row>
    <row r="6" spans="1:11" s="810" customFormat="1">
      <c r="A6" s="304" t="s">
        <v>654</v>
      </c>
      <c r="B6" s="49">
        <f>IF(ISERROR('Eigen informatie GS &amp; warmtenet'!B5),0,'Eigen informatie GS &amp; warmtenet'!B5)</f>
        <v>0</v>
      </c>
      <c r="C6" s="43" t="s">
        <v>150</v>
      </c>
      <c r="D6" s="43"/>
      <c r="E6" s="43"/>
      <c r="F6" s="43"/>
      <c r="G6" s="43"/>
      <c r="H6" s="43"/>
      <c r="I6" s="43"/>
      <c r="J6" s="43"/>
      <c r="K6" s="95"/>
    </row>
    <row r="7" spans="1:11">
      <c r="A7" s="304" t="s">
        <v>152</v>
      </c>
      <c r="B7" s="431">
        <f>E7</f>
        <v>0.221</v>
      </c>
      <c r="C7" s="43" t="s">
        <v>153</v>
      </c>
      <c r="D7" s="43"/>
      <c r="E7" s="735">
        <v>0.221</v>
      </c>
      <c r="F7" s="43" t="s">
        <v>528</v>
      </c>
      <c r="G7" s="43" t="s">
        <v>533</v>
      </c>
      <c r="H7" s="43"/>
      <c r="I7" s="43"/>
      <c r="J7" s="43"/>
      <c r="K7" s="95"/>
    </row>
    <row r="8" spans="1:11">
      <c r="A8" s="304"/>
      <c r="B8" s="386"/>
      <c r="C8" s="43"/>
      <c r="D8" s="43"/>
      <c r="E8" s="43"/>
      <c r="F8" s="48"/>
      <c r="G8" s="43"/>
      <c r="H8" s="43"/>
      <c r="I8" s="43"/>
      <c r="J8" s="43"/>
      <c r="K8" s="95"/>
    </row>
    <row r="9" spans="1:11">
      <c r="A9" s="304"/>
      <c r="B9" s="386"/>
      <c r="C9" s="43"/>
      <c r="D9" s="43"/>
      <c r="E9" s="43"/>
      <c r="F9" s="48"/>
      <c r="G9" s="43"/>
      <c r="H9" s="734"/>
      <c r="I9" s="152"/>
      <c r="J9" s="43"/>
      <c r="K9" s="95"/>
    </row>
    <row r="10" spans="1:11">
      <c r="A10" s="304" t="s">
        <v>155</v>
      </c>
      <c r="B10" s="49">
        <f>IF(ISERROR('SECAP template'!O105),0,'SECAP template'!O105)</f>
        <v>0</v>
      </c>
      <c r="C10" s="43" t="s">
        <v>154</v>
      </c>
      <c r="D10" s="43"/>
      <c r="E10" s="43"/>
      <c r="F10" s="43"/>
      <c r="G10" s="43"/>
      <c r="H10" s="43"/>
      <c r="I10" s="43"/>
      <c r="J10" s="43"/>
      <c r="K10" s="95"/>
    </row>
    <row r="11" spans="1:11">
      <c r="A11" s="304" t="s">
        <v>655</v>
      </c>
      <c r="B11" s="48">
        <v>0</v>
      </c>
      <c r="C11" s="43" t="s">
        <v>154</v>
      </c>
      <c r="D11" s="151"/>
      <c r="E11" s="43"/>
      <c r="F11" s="43"/>
      <c r="G11" s="43"/>
      <c r="H11" s="43"/>
      <c r="I11" s="43"/>
      <c r="J11" s="43"/>
      <c r="K11" s="95"/>
    </row>
    <row r="12" spans="1:11">
      <c r="A12" s="304"/>
      <c r="B12" s="386"/>
      <c r="C12" s="43"/>
      <c r="D12" s="43"/>
      <c r="E12" s="43"/>
      <c r="F12" s="43"/>
      <c r="G12" s="43"/>
      <c r="H12" s="43"/>
      <c r="I12" s="43"/>
      <c r="J12" s="43"/>
      <c r="K12" s="95"/>
    </row>
    <row r="13" spans="1:11">
      <c r="A13" s="305" t="s">
        <v>156</v>
      </c>
      <c r="B13" s="430">
        <f>IF((B4+(B5-B6))&gt;B3,(B10+B11)/(B4+(B5-B6)),((B3-B4-(B5-B6))*B7+B10+B11)/B3)</f>
        <v>0.17310560263580646</v>
      </c>
      <c r="C13" s="43" t="s">
        <v>153</v>
      </c>
      <c r="D13" s="43"/>
      <c r="E13" s="151"/>
      <c r="F13" s="43"/>
      <c r="G13" s="43"/>
      <c r="H13" s="43"/>
      <c r="I13" s="43"/>
      <c r="J13" s="43"/>
      <c r="K13" s="95"/>
    </row>
    <row r="14" spans="1:11" ht="15.75" thickBot="1">
      <c r="A14" s="306"/>
      <c r="B14" s="107"/>
      <c r="C14" s="107"/>
      <c r="D14" s="107"/>
      <c r="E14" s="107"/>
      <c r="F14" s="107"/>
      <c r="G14" s="107"/>
      <c r="H14" s="107"/>
      <c r="I14" s="107"/>
      <c r="J14" s="107"/>
      <c r="K14" s="108"/>
    </row>
    <row r="15" spans="1:11" s="43" customFormat="1" ht="15.75" thickBot="1">
      <c r="A15" s="292"/>
    </row>
    <row r="16" spans="1:11">
      <c r="A16" s="307" t="s">
        <v>398</v>
      </c>
      <c r="B16" s="188"/>
      <c r="C16" s="188"/>
      <c r="D16" s="188"/>
      <c r="E16" s="188"/>
      <c r="F16" s="188"/>
      <c r="G16" s="188"/>
      <c r="H16" s="188"/>
      <c r="I16" s="188"/>
      <c r="J16" s="188"/>
      <c r="K16" s="189"/>
    </row>
    <row r="17" spans="1:11">
      <c r="A17" s="304"/>
      <c r="B17" s="43"/>
      <c r="C17" s="43"/>
      <c r="D17" s="43"/>
      <c r="E17" s="43"/>
      <c r="F17" s="43"/>
      <c r="G17" s="43"/>
      <c r="H17" s="43"/>
      <c r="I17" s="43"/>
      <c r="J17" s="43"/>
      <c r="K17" s="95"/>
    </row>
    <row r="18" spans="1:11">
      <c r="A18" s="304" t="s">
        <v>157</v>
      </c>
      <c r="B18" s="49">
        <f>IF(ISERROR('SECAP template'!O117),0,'SECAP template'!O117)</f>
        <v>0</v>
      </c>
      <c r="C18" s="43" t="s">
        <v>154</v>
      </c>
      <c r="D18" s="43"/>
      <c r="E18" s="43"/>
      <c r="F18" s="43"/>
      <c r="G18" s="43"/>
      <c r="H18" s="43"/>
      <c r="I18" s="43"/>
      <c r="J18" s="43"/>
      <c r="K18" s="95"/>
    </row>
    <row r="19" spans="1:11">
      <c r="A19" s="304" t="s">
        <v>158</v>
      </c>
      <c r="B19" s="49">
        <f>IF(ISERROR('Eigen informatie GS &amp; warmtenet'!B54),0,'Eigen informatie GS &amp; warmtenet'!B54)</f>
        <v>0</v>
      </c>
      <c r="C19" s="43" t="s">
        <v>154</v>
      </c>
      <c r="D19" s="43"/>
      <c r="E19" s="43"/>
      <c r="F19" s="43"/>
      <c r="G19" s="43"/>
      <c r="H19" s="43"/>
      <c r="I19" s="43"/>
      <c r="J19" s="43"/>
      <c r="K19" s="95"/>
    </row>
    <row r="20" spans="1:11">
      <c r="A20" s="304" t="s">
        <v>258</v>
      </c>
      <c r="B20" s="49">
        <f>IF(ISERROR('Eigen informatie GS &amp; warmtenet'!B55),0,'Eigen informatie GS &amp; warmtenet'!B55)</f>
        <v>0</v>
      </c>
      <c r="C20" s="43" t="s">
        <v>154</v>
      </c>
      <c r="D20" s="43"/>
      <c r="E20" s="43"/>
      <c r="F20" s="43"/>
      <c r="G20" s="43"/>
      <c r="H20" s="43"/>
      <c r="I20" s="43"/>
      <c r="J20" s="43"/>
      <c r="K20" s="95"/>
    </row>
    <row r="21" spans="1:11">
      <c r="A21" s="304" t="s">
        <v>413</v>
      </c>
      <c r="B21" s="49">
        <f>IF(ISERROR('SECAP template'!D42),0,('SECAP template'!D42))</f>
        <v>0</v>
      </c>
      <c r="C21" s="43" t="s">
        <v>150</v>
      </c>
      <c r="D21" s="43"/>
      <c r="E21" s="151"/>
      <c r="F21" s="151"/>
      <c r="G21" s="43"/>
      <c r="H21" s="43"/>
      <c r="I21" s="43"/>
      <c r="J21" s="43"/>
      <c r="K21" s="95"/>
    </row>
    <row r="22" spans="1:11">
      <c r="A22" s="304"/>
      <c r="B22" s="43"/>
      <c r="C22" s="43"/>
      <c r="D22" s="43"/>
      <c r="E22" s="43"/>
      <c r="F22" s="43"/>
      <c r="G22" s="43"/>
      <c r="H22" s="43"/>
      <c r="I22" s="43"/>
      <c r="J22" s="43"/>
      <c r="K22" s="95"/>
    </row>
    <row r="23" spans="1:11" s="43" customFormat="1">
      <c r="A23" s="305" t="s">
        <v>159</v>
      </c>
      <c r="B23" s="432">
        <f>IF(B21=0,0,(B18+B19-B20)/B21)</f>
        <v>0</v>
      </c>
      <c r="C23" s="43" t="s">
        <v>153</v>
      </c>
      <c r="K23" s="95"/>
    </row>
    <row r="24" spans="1:11" ht="15.75" thickBot="1">
      <c r="A24" s="306"/>
      <c r="B24" s="107"/>
      <c r="C24" s="107"/>
      <c r="D24" s="107"/>
      <c r="E24" s="107"/>
      <c r="F24" s="107"/>
      <c r="G24" s="107"/>
      <c r="H24" s="107"/>
      <c r="I24" s="107"/>
      <c r="J24" s="107"/>
      <c r="K24" s="108"/>
    </row>
    <row r="35" spans="1:1">
      <c r="A35" s="286" t="s">
        <v>209</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L64"/>
  <sheetViews>
    <sheetView showGridLines="0" workbookViewId="0">
      <selection activeCell="A52" sqref="A52:F65"/>
    </sheetView>
  </sheetViews>
  <sheetFormatPr defaultColWidth="9.140625" defaultRowHeight="15"/>
  <cols>
    <col min="1" max="1" width="56.85546875" style="706" bestFit="1" customWidth="1"/>
    <col min="2" max="2" width="22.7109375" style="282" customWidth="1"/>
    <col min="3" max="3" width="31.42578125" style="282" customWidth="1"/>
    <col min="4" max="4" width="22.28515625" style="282" customWidth="1"/>
    <col min="5" max="5" width="12.140625" style="282" customWidth="1"/>
    <col min="6" max="6" width="37.28515625" style="212" bestFit="1" customWidth="1"/>
    <col min="7" max="16384" width="9.140625" style="15"/>
  </cols>
  <sheetData>
    <row r="1" spans="1:12" s="282" customFormat="1">
      <c r="A1" s="706" t="s">
        <v>521</v>
      </c>
      <c r="B1" s="706" t="s">
        <v>264</v>
      </c>
      <c r="C1" s="706" t="s">
        <v>268</v>
      </c>
      <c r="D1" s="706" t="s">
        <v>269</v>
      </c>
      <c r="E1" s="706" t="s">
        <v>270</v>
      </c>
      <c r="F1" s="706" t="s">
        <v>271</v>
      </c>
      <c r="H1" s="838" t="s">
        <v>759</v>
      </c>
    </row>
    <row r="2" spans="1:12" hidden="1">
      <c r="A2" s="282" t="str">
        <f>CONCATENATE(TableECFTransport[[#This Row],[Voertuigtype]],"_",TableECFTransport[[#This Row],[Wegtype]],"_",TableECFTransport[[#This Row],[Brandstoftechnologie]],"_",TableECFTransport[[#This Row],[Brandstof]])</f>
        <v>Tram_gemiddeld_Electric_Electric</v>
      </c>
      <c r="B2" s="282" t="s">
        <v>285</v>
      </c>
      <c r="C2" s="282" t="s">
        <v>296</v>
      </c>
      <c r="D2" s="282" t="s">
        <v>266</v>
      </c>
      <c r="E2" s="282" t="s">
        <v>266</v>
      </c>
      <c r="F2" s="821">
        <v>1.269E-8</v>
      </c>
      <c r="H2"/>
      <c r="I2"/>
      <c r="J2"/>
      <c r="K2"/>
      <c r="L2"/>
    </row>
    <row r="3" spans="1:12" hidden="1">
      <c r="A3" s="282" t="str">
        <f>CONCATENATE(TableECFTransport[[#This Row],[Voertuigtype]],"_",TableECFTransport[[#This Row],[Wegtype]],"_",TableECFTransport[[#This Row],[Brandstoftechnologie]],"_",TableECFTransport[[#This Row],[Brandstof]])</f>
        <v>Lichte voertuigen_Niet-genummerde wegen_Fuel Cell H2_H2</v>
      </c>
      <c r="B3" s="282" t="s">
        <v>504</v>
      </c>
      <c r="C3" s="282" t="s">
        <v>64</v>
      </c>
      <c r="D3" s="282" t="s">
        <v>592</v>
      </c>
      <c r="E3" s="282" t="s">
        <v>593</v>
      </c>
      <c r="F3" s="821">
        <v>1.5973299999999999E-9</v>
      </c>
      <c r="H3"/>
      <c r="I3"/>
      <c r="J3"/>
      <c r="K3"/>
      <c r="L3"/>
    </row>
    <row r="4" spans="1:12" hidden="1">
      <c r="A4" s="282" t="str">
        <f>CONCATENATE(TableECFTransport[[#This Row],[Voertuigtype]],"_",TableECFTransport[[#This Row],[Wegtype]],"_",TableECFTransport[[#This Row],[Brandstoftechnologie]],"_",TableECFTransport[[#This Row],[Brandstof]])</f>
        <v>Lichte voertuigen_Genummerde wegen_Fuel Cell H2_H2</v>
      </c>
      <c r="B4" s="282" t="s">
        <v>504</v>
      </c>
      <c r="C4" s="282" t="s">
        <v>63</v>
      </c>
      <c r="D4" s="282" t="s">
        <v>592</v>
      </c>
      <c r="E4" s="282" t="s">
        <v>593</v>
      </c>
      <c r="F4" s="821">
        <v>1.5973299999999999E-9</v>
      </c>
      <c r="H4"/>
      <c r="I4"/>
      <c r="J4"/>
      <c r="K4"/>
      <c r="L4"/>
    </row>
    <row r="5" spans="1:12" hidden="1">
      <c r="A5" s="282" t="str">
        <f>CONCATENATE(TableECFTransport[[#This Row],[Voertuigtype]],"_",TableECFTransport[[#This Row],[Wegtype]],"_",TableECFTransport[[#This Row],[Brandstoftechnologie]],"_",TableECFTransport[[#This Row],[Brandstof]])</f>
        <v>Lichte voertuigen_Snelwegen_Fuel Cell H2_H2</v>
      </c>
      <c r="B5" s="282" t="s">
        <v>504</v>
      </c>
      <c r="C5" s="282" t="s">
        <v>65</v>
      </c>
      <c r="D5" s="282" t="s">
        <v>592</v>
      </c>
      <c r="E5" s="282" t="s">
        <v>593</v>
      </c>
      <c r="F5" s="821">
        <v>1.5973299999999999E-9</v>
      </c>
      <c r="H5"/>
      <c r="I5"/>
      <c r="J5"/>
      <c r="K5"/>
      <c r="L5"/>
    </row>
    <row r="6" spans="1:12" s="706" customFormat="1" hidden="1">
      <c r="A6" s="282" t="str">
        <f>CONCATENATE(TableECFTransport[[#This Row],[Voertuigtype]],"_",TableECFTransport[[#This Row],[Wegtype]],"_",TableECFTransport[[#This Row],[Brandstoftechnologie]],"_",TableECFTransport[[#This Row],[Brandstof]])</f>
        <v>Lichte voertuigen_Niet-genummerde wegen_Electric_Electric</v>
      </c>
      <c r="B6" s="282" t="s">
        <v>504</v>
      </c>
      <c r="C6" s="282" t="s">
        <v>64</v>
      </c>
      <c r="D6" s="282" t="s">
        <v>266</v>
      </c>
      <c r="E6" s="282" t="s">
        <v>266</v>
      </c>
      <c r="F6" s="821">
        <v>6.1947064515144686E-10</v>
      </c>
      <c r="H6"/>
      <c r="I6"/>
      <c r="J6"/>
      <c r="K6"/>
      <c r="L6"/>
    </row>
    <row r="7" spans="1:12" hidden="1">
      <c r="A7" s="282" t="str">
        <f>CONCATENATE(TableECFTransport[[#This Row],[Voertuigtype]],"_",TableECFTransport[[#This Row],[Wegtype]],"_",TableECFTransport[[#This Row],[Brandstoftechnologie]],"_",TableECFTransport[[#This Row],[Brandstof]])</f>
        <v>Lichte voertuigen_Genummerde wegen_Electric_Electric</v>
      </c>
      <c r="B7" s="282" t="s">
        <v>504</v>
      </c>
      <c r="C7" s="282" t="s">
        <v>63</v>
      </c>
      <c r="D7" s="282" t="s">
        <v>266</v>
      </c>
      <c r="E7" s="282" t="s">
        <v>266</v>
      </c>
      <c r="F7" s="821">
        <v>7.1299968089896556E-10</v>
      </c>
      <c r="H7"/>
      <c r="I7"/>
      <c r="J7"/>
      <c r="K7"/>
      <c r="L7"/>
    </row>
    <row r="8" spans="1:12" hidden="1">
      <c r="A8" s="282" t="str">
        <f>CONCATENATE(TableECFTransport[[#This Row],[Voertuigtype]],"_",TableECFTransport[[#This Row],[Wegtype]],"_",TableECFTransport[[#This Row],[Brandstoftechnologie]],"_",TableECFTransport[[#This Row],[Brandstof]])</f>
        <v>Lichte voertuigen_Snelwegen_Electric_Electric</v>
      </c>
      <c r="B8" s="282" t="s">
        <v>504</v>
      </c>
      <c r="C8" s="282" t="s">
        <v>65</v>
      </c>
      <c r="D8" s="282" t="s">
        <v>266</v>
      </c>
      <c r="E8" s="282" t="s">
        <v>266</v>
      </c>
      <c r="F8" s="821">
        <v>1.2535115033742604E-9</v>
      </c>
      <c r="H8"/>
      <c r="I8"/>
      <c r="J8"/>
      <c r="K8"/>
      <c r="L8"/>
    </row>
    <row r="9" spans="1:12" hidden="1">
      <c r="A9" s="282" t="str">
        <f>CONCATENATE(TableECFTransport[[#This Row],[Voertuigtype]],"_",TableECFTransport[[#This Row],[Wegtype]],"_",TableECFTransport[[#This Row],[Brandstoftechnologie]],"_",TableECFTransport[[#This Row],[Brandstof]])</f>
        <v>Zware voertuigen_Niet-genummerde wegen_Electric_Electric</v>
      </c>
      <c r="B9" s="282" t="s">
        <v>505</v>
      </c>
      <c r="C9" s="282" t="s">
        <v>64</v>
      </c>
      <c r="D9" s="282" t="s">
        <v>266</v>
      </c>
      <c r="E9" s="282" t="s">
        <v>266</v>
      </c>
      <c r="F9" s="821">
        <v>4.5113758700763424E-9</v>
      </c>
      <c r="H9"/>
      <c r="I9"/>
      <c r="J9"/>
      <c r="K9"/>
      <c r="L9"/>
    </row>
    <row r="10" spans="1:12" hidden="1">
      <c r="A10" s="282" t="str">
        <f>CONCATENATE(TableECFTransport[[#This Row],[Voertuigtype]],"_",TableECFTransport[[#This Row],[Wegtype]],"_",TableECFTransport[[#This Row],[Brandstoftechnologie]],"_",TableECFTransport[[#This Row],[Brandstof]])</f>
        <v>Zware voertuigen_Genummerde wegen_Electric_Electric</v>
      </c>
      <c r="B10" s="282" t="s">
        <v>505</v>
      </c>
      <c r="C10" s="282" t="s">
        <v>63</v>
      </c>
      <c r="D10" s="282" t="s">
        <v>266</v>
      </c>
      <c r="E10" s="282" t="s">
        <v>266</v>
      </c>
      <c r="F10" s="821">
        <v>4.5113758700763424E-9</v>
      </c>
      <c r="H10"/>
      <c r="I10"/>
      <c r="J10"/>
      <c r="K10"/>
      <c r="L10"/>
    </row>
    <row r="11" spans="1:12" hidden="1">
      <c r="A11" s="282" t="str">
        <f>CONCATENATE(TableECFTransport[[#This Row],[Voertuigtype]],"_",TableECFTransport[[#This Row],[Wegtype]],"_",TableECFTransport[[#This Row],[Brandstoftechnologie]],"_",TableECFTransport[[#This Row],[Brandstof]])</f>
        <v>Zware voertuigen_Snelwegen_Electric_Electric</v>
      </c>
      <c r="B11" s="282" t="s">
        <v>505</v>
      </c>
      <c r="C11" s="282" t="s">
        <v>65</v>
      </c>
      <c r="D11" s="282" t="s">
        <v>266</v>
      </c>
      <c r="E11" s="282" t="s">
        <v>266</v>
      </c>
      <c r="F11" s="821">
        <v>4.5113758700763424E-9</v>
      </c>
      <c r="H11"/>
      <c r="I11"/>
      <c r="J11"/>
      <c r="K11"/>
      <c r="L11"/>
    </row>
    <row r="12" spans="1:12">
      <c r="A12" s="282" t="str">
        <f>CONCATENATE(TableECFTransport[[#This Row],[Voertuigtype]],"_",TableECFTransport[[#This Row],[Wegtype]],"_",TableECFTransport[[#This Row],[Brandstoftechnologie]],"_",TableECFTransport[[#This Row],[Brandstof]])</f>
        <v>BUS_Niet-genummerde wegen_Electric_Electric</v>
      </c>
      <c r="B12" s="282" t="s">
        <v>520</v>
      </c>
      <c r="C12" s="282" t="s">
        <v>64</v>
      </c>
      <c r="D12" s="282" t="s">
        <v>266</v>
      </c>
      <c r="E12" s="282" t="s">
        <v>266</v>
      </c>
      <c r="F12" s="821">
        <v>4.6800000000000004E-9</v>
      </c>
      <c r="H12"/>
      <c r="I12"/>
      <c r="J12"/>
      <c r="K12"/>
      <c r="L12"/>
    </row>
    <row r="13" spans="1:12">
      <c r="A13" s="282" t="str">
        <f>CONCATENATE(TableECFTransport[[#This Row],[Voertuigtype]],"_",TableECFTransport[[#This Row],[Wegtype]],"_",TableECFTransport[[#This Row],[Brandstoftechnologie]],"_",TableECFTransport[[#This Row],[Brandstof]])</f>
        <v>BUS_Genummerde wegen_Electric_Electric</v>
      </c>
      <c r="B13" s="282" t="s">
        <v>520</v>
      </c>
      <c r="C13" s="282" t="s">
        <v>63</v>
      </c>
      <c r="D13" s="282" t="s">
        <v>266</v>
      </c>
      <c r="E13" s="282" t="s">
        <v>266</v>
      </c>
      <c r="F13" s="821">
        <v>4.6800000000000004E-9</v>
      </c>
      <c r="H13"/>
      <c r="I13"/>
      <c r="J13"/>
      <c r="K13"/>
      <c r="L13"/>
    </row>
    <row r="14" spans="1:12">
      <c r="A14" s="282" t="str">
        <f>CONCATENATE(TableECFTransport[[#This Row],[Voertuigtype]],"_",TableECFTransport[[#This Row],[Wegtype]],"_",TableECFTransport[[#This Row],[Brandstoftechnologie]],"_",TableECFTransport[[#This Row],[Brandstof]])</f>
        <v>BUS_Snelwegen_Electric_Electric</v>
      </c>
      <c r="B14" s="282" t="s">
        <v>520</v>
      </c>
      <c r="C14" s="282" t="s">
        <v>65</v>
      </c>
      <c r="D14" s="282" t="s">
        <v>266</v>
      </c>
      <c r="E14" s="282" t="s">
        <v>266</v>
      </c>
      <c r="F14" s="821">
        <v>4.6800000000000004E-9</v>
      </c>
      <c r="H14"/>
      <c r="I14"/>
      <c r="J14"/>
      <c r="K14"/>
      <c r="L14"/>
    </row>
    <row r="15" spans="1:12" hidden="1">
      <c r="A15" s="282" t="str">
        <f>CONCATENATE(TableECFTransport[[#This Row],[Voertuigtype]],"_",TableECFTransport[[#This Row],[Wegtype]],"_",TableECFTransport[[#This Row],[Brandstoftechnologie]],"_",TableECFTransport[[#This Row],[Brandstof]])</f>
        <v>Lichte voertuigen_Niet-genummerde wegen_CNG_CNG</v>
      </c>
      <c r="B15" s="282" t="s">
        <v>504</v>
      </c>
      <c r="C15" s="282" t="s">
        <v>64</v>
      </c>
      <c r="D15" s="282" t="s">
        <v>265</v>
      </c>
      <c r="E15" s="282" t="s">
        <v>265</v>
      </c>
      <c r="F15" s="821">
        <v>4.169843005415759E-9</v>
      </c>
      <c r="H15"/>
      <c r="I15"/>
      <c r="J15"/>
      <c r="K15"/>
      <c r="L15"/>
    </row>
    <row r="16" spans="1:12" hidden="1">
      <c r="A16" s="282" t="str">
        <f>CONCATENATE(TableECFTransport[[#This Row],[Voertuigtype]],"_",TableECFTransport[[#This Row],[Wegtype]],"_",TableECFTransport[[#This Row],[Brandstoftechnologie]],"_",TableECFTransport[[#This Row],[Brandstof]])</f>
        <v>Lichte voertuigen_Genummerde wegen_CNG_CNG</v>
      </c>
      <c r="B16" s="282" t="s">
        <v>504</v>
      </c>
      <c r="C16" s="282" t="s">
        <v>63</v>
      </c>
      <c r="D16" s="282" t="s">
        <v>265</v>
      </c>
      <c r="E16" s="282" t="s">
        <v>265</v>
      </c>
      <c r="F16" s="821">
        <v>2.4361120239356282E-9</v>
      </c>
      <c r="H16"/>
      <c r="I16"/>
      <c r="J16"/>
      <c r="K16"/>
      <c r="L16"/>
    </row>
    <row r="17" spans="1:12" hidden="1">
      <c r="A17" s="282" t="str">
        <f>CONCATENATE(TableECFTransport[[#This Row],[Voertuigtype]],"_",TableECFTransport[[#This Row],[Wegtype]],"_",TableECFTransport[[#This Row],[Brandstoftechnologie]],"_",TableECFTransport[[#This Row],[Brandstof]])</f>
        <v>Lichte voertuigen_Snelwegen_CNG_CNG</v>
      </c>
      <c r="B17" s="282" t="s">
        <v>504</v>
      </c>
      <c r="C17" s="282" t="s">
        <v>65</v>
      </c>
      <c r="D17" s="282" t="s">
        <v>265</v>
      </c>
      <c r="E17" s="282" t="s">
        <v>265</v>
      </c>
      <c r="F17" s="821">
        <v>2.2021053033035721E-9</v>
      </c>
      <c r="H17"/>
      <c r="I17"/>
      <c r="J17"/>
      <c r="K17"/>
      <c r="L17"/>
    </row>
    <row r="18" spans="1:12" hidden="1">
      <c r="A18" s="282" t="str">
        <f>CONCATENATE(TableECFTransport[[#This Row],[Voertuigtype]],"_",TableECFTransport[[#This Row],[Wegtype]],"_",TableECFTransport[[#This Row],[Brandstoftechnologie]],"_",TableECFTransport[[#This Row],[Brandstof]])</f>
        <v>Lichte voertuigen_Niet-genummerde wegen_Diesel_Diesel</v>
      </c>
      <c r="B18" s="282" t="s">
        <v>504</v>
      </c>
      <c r="C18" s="282" t="s">
        <v>64</v>
      </c>
      <c r="D18" s="282" t="s">
        <v>182</v>
      </c>
      <c r="E18" s="282" t="s">
        <v>182</v>
      </c>
      <c r="F18" s="821">
        <v>3.3428478587334867E-9</v>
      </c>
      <c r="H18"/>
      <c r="I18"/>
      <c r="J18"/>
      <c r="K18"/>
      <c r="L18"/>
    </row>
    <row r="19" spans="1:12" hidden="1">
      <c r="A19" s="282" t="str">
        <f>CONCATENATE(TableECFTransport[[#This Row],[Voertuigtype]],"_",TableECFTransport[[#This Row],[Wegtype]],"_",TableECFTransport[[#This Row],[Brandstoftechnologie]],"_",TableECFTransport[[#This Row],[Brandstof]])</f>
        <v>Lichte voertuigen_Genummerde wegen_Diesel_Diesel</v>
      </c>
      <c r="B19" s="282" t="s">
        <v>504</v>
      </c>
      <c r="C19" s="282" t="s">
        <v>63</v>
      </c>
      <c r="D19" s="282" t="s">
        <v>182</v>
      </c>
      <c r="E19" s="282" t="s">
        <v>182</v>
      </c>
      <c r="F19" s="821">
        <v>2.3582792833006251E-9</v>
      </c>
      <c r="H19"/>
      <c r="I19"/>
      <c r="J19"/>
      <c r="K19"/>
      <c r="L19"/>
    </row>
    <row r="20" spans="1:12" hidden="1">
      <c r="A20" s="282" t="str">
        <f>CONCATENATE(TableECFTransport[[#This Row],[Voertuigtype]],"_",TableECFTransport[[#This Row],[Wegtype]],"_",TableECFTransport[[#This Row],[Brandstoftechnologie]],"_",TableECFTransport[[#This Row],[Brandstof]])</f>
        <v>Lichte voertuigen_Snelwegen_Diesel_Diesel</v>
      </c>
      <c r="B20" s="282" t="s">
        <v>504</v>
      </c>
      <c r="C20" s="282" t="s">
        <v>65</v>
      </c>
      <c r="D20" s="282" t="s">
        <v>182</v>
      </c>
      <c r="E20" s="282" t="s">
        <v>182</v>
      </c>
      <c r="F20" s="821">
        <v>2.4910239691257086E-9</v>
      </c>
      <c r="H20"/>
      <c r="I20"/>
      <c r="J20"/>
      <c r="K20"/>
      <c r="L20"/>
    </row>
    <row r="21" spans="1:12" hidden="1">
      <c r="A21" s="282" t="str">
        <f>CONCATENATE(TableECFTransport[[#This Row],[Voertuigtype]],"_",TableECFTransport[[#This Row],[Wegtype]],"_",TableECFTransport[[#This Row],[Brandstoftechnologie]],"_",TableECFTransport[[#This Row],[Brandstof]])</f>
        <v>Lichte voertuigen_Niet-genummerde wegen_Diesel Hybrid PHEV_Diesel</v>
      </c>
      <c r="B21" s="282" t="s">
        <v>504</v>
      </c>
      <c r="C21" s="282" t="s">
        <v>64</v>
      </c>
      <c r="D21" s="282" t="s">
        <v>594</v>
      </c>
      <c r="E21" s="282" t="s">
        <v>182</v>
      </c>
      <c r="F21" s="821">
        <v>1.8995997168942899E-9</v>
      </c>
      <c r="H21"/>
      <c r="I21"/>
      <c r="J21"/>
      <c r="K21"/>
      <c r="L21"/>
    </row>
    <row r="22" spans="1:12" hidden="1">
      <c r="A22" s="282" t="str">
        <f>CONCATENATE(TableECFTransport[[#This Row],[Voertuigtype]],"_",TableECFTransport[[#This Row],[Wegtype]],"_",TableECFTransport[[#This Row],[Brandstoftechnologie]],"_",TableECFTransport[[#This Row],[Brandstof]])</f>
        <v>Lichte voertuigen_Niet-genummerde wegen_Diesel Hybrid PHEV_Electric</v>
      </c>
      <c r="B22" s="282" t="s">
        <v>504</v>
      </c>
      <c r="C22" s="282" t="s">
        <v>64</v>
      </c>
      <c r="D22" s="282" t="s">
        <v>594</v>
      </c>
      <c r="E22" s="282" t="s">
        <v>266</v>
      </c>
      <c r="F22" s="821">
        <v>6.3319990563142991E-10</v>
      </c>
      <c r="H22"/>
      <c r="I22"/>
      <c r="J22"/>
      <c r="K22"/>
      <c r="L22"/>
    </row>
    <row r="23" spans="1:12" hidden="1">
      <c r="A23" s="282" t="str">
        <f>CONCATENATE(TableECFTransport[[#This Row],[Voertuigtype]],"_",TableECFTransport[[#This Row],[Wegtype]],"_",TableECFTransport[[#This Row],[Brandstoftechnologie]],"_",TableECFTransport[[#This Row],[Brandstof]])</f>
        <v>Lichte voertuigen_Genummerde wegen_Diesel Hybrid PHEV_Diesel</v>
      </c>
      <c r="B23" s="282" t="s">
        <v>504</v>
      </c>
      <c r="C23" s="282" t="s">
        <v>63</v>
      </c>
      <c r="D23" s="282" t="s">
        <v>594</v>
      </c>
      <c r="E23" s="282" t="s">
        <v>182</v>
      </c>
      <c r="F23" s="821">
        <v>1.231890881767182E-9</v>
      </c>
      <c r="H23"/>
      <c r="I23"/>
      <c r="J23"/>
      <c r="K23"/>
      <c r="L23"/>
    </row>
    <row r="24" spans="1:12" hidden="1">
      <c r="A24" s="282" t="str">
        <f>CONCATENATE(TableECFTransport[[#This Row],[Voertuigtype]],"_",TableECFTransport[[#This Row],[Wegtype]],"_",TableECFTransport[[#This Row],[Brandstoftechnologie]],"_",TableECFTransport[[#This Row],[Brandstof]])</f>
        <v>Lichte voertuigen_Genummerde wegen_Diesel Hybrid PHEV_Electric</v>
      </c>
      <c r="B24" s="282" t="s">
        <v>504</v>
      </c>
      <c r="C24" s="282" t="s">
        <v>63</v>
      </c>
      <c r="D24" s="282" t="s">
        <v>594</v>
      </c>
      <c r="E24" s="282" t="s">
        <v>266</v>
      </c>
      <c r="F24" s="821">
        <v>4.10630293922394E-10</v>
      </c>
      <c r="H24"/>
      <c r="I24"/>
      <c r="J24"/>
      <c r="K24"/>
      <c r="L24"/>
    </row>
    <row r="25" spans="1:12" hidden="1">
      <c r="A25" s="282" t="str">
        <f>CONCATENATE(TableECFTransport[[#This Row],[Voertuigtype]],"_",TableECFTransport[[#This Row],[Wegtype]],"_",TableECFTransport[[#This Row],[Brandstoftechnologie]],"_",TableECFTransport[[#This Row],[Brandstof]])</f>
        <v>Lichte voertuigen_Snelwegen_Diesel Hybrid PHEV_Diesel</v>
      </c>
      <c r="B25" s="282" t="s">
        <v>504</v>
      </c>
      <c r="C25" s="282" t="s">
        <v>65</v>
      </c>
      <c r="D25" s="282" t="s">
        <v>594</v>
      </c>
      <c r="E25" s="282" t="s">
        <v>182</v>
      </c>
      <c r="F25" s="821">
        <v>1.8695689513593206E-9</v>
      </c>
      <c r="H25"/>
      <c r="I25"/>
      <c r="J25"/>
      <c r="K25"/>
      <c r="L25"/>
    </row>
    <row r="26" spans="1:12" hidden="1">
      <c r="A26" s="282" t="str">
        <f>CONCATENATE(TableECFTransport[[#This Row],[Voertuigtype]],"_",TableECFTransport[[#This Row],[Wegtype]],"_",TableECFTransport[[#This Row],[Brandstoftechnologie]],"_",TableECFTransport[[#This Row],[Brandstof]])</f>
        <v>Lichte voertuigen_Snelwegen_Diesel Hybrid PHEV_Electric</v>
      </c>
      <c r="B26" s="282" t="s">
        <v>504</v>
      </c>
      <c r="C26" s="282" t="s">
        <v>65</v>
      </c>
      <c r="D26" s="282" t="s">
        <v>594</v>
      </c>
      <c r="E26" s="282" t="s">
        <v>266</v>
      </c>
      <c r="F26" s="821">
        <v>6.2318965045310678E-10</v>
      </c>
      <c r="H26"/>
      <c r="I26"/>
      <c r="J26"/>
      <c r="K26"/>
      <c r="L26"/>
    </row>
    <row r="27" spans="1:12" hidden="1">
      <c r="A27" s="282" t="str">
        <f>CONCATENATE(TableECFTransport[[#This Row],[Voertuigtype]],"_",TableECFTransport[[#This Row],[Wegtype]],"_",TableECFTransport[[#This Row],[Brandstoftechnologie]],"_",TableECFTransport[[#This Row],[Brandstof]])</f>
        <v>Lichte voertuigen_Niet-genummerde wegen_LPG_LPG</v>
      </c>
      <c r="B27" s="282" t="s">
        <v>504</v>
      </c>
      <c r="C27" s="282" t="s">
        <v>64</v>
      </c>
      <c r="D27" s="282" t="s">
        <v>99</v>
      </c>
      <c r="E27" s="282" t="s">
        <v>99</v>
      </c>
      <c r="F27" s="821">
        <v>3.6280563059837001E-9</v>
      </c>
      <c r="G27" s="720"/>
      <c r="H27"/>
      <c r="I27"/>
      <c r="J27"/>
      <c r="K27"/>
      <c r="L27"/>
    </row>
    <row r="28" spans="1:12" hidden="1">
      <c r="A28" s="282" t="str">
        <f>CONCATENATE(TableECFTransport[[#This Row],[Voertuigtype]],"_",TableECFTransport[[#This Row],[Wegtype]],"_",TableECFTransport[[#This Row],[Brandstoftechnologie]],"_",TableECFTransport[[#This Row],[Brandstof]])</f>
        <v>Lichte voertuigen_Genummerde wegen_LPG_LPG</v>
      </c>
      <c r="B28" s="282" t="s">
        <v>504</v>
      </c>
      <c r="C28" s="282" t="s">
        <v>63</v>
      </c>
      <c r="D28" s="282" t="s">
        <v>99</v>
      </c>
      <c r="E28" s="282" t="s">
        <v>99</v>
      </c>
      <c r="F28" s="821">
        <v>2.3942392696684876E-9</v>
      </c>
      <c r="H28"/>
      <c r="I28"/>
      <c r="J28"/>
      <c r="K28"/>
      <c r="L28"/>
    </row>
    <row r="29" spans="1:12" hidden="1">
      <c r="A29" s="282" t="str">
        <f>CONCATENATE(TableECFTransport[[#This Row],[Voertuigtype]],"_",TableECFTransport[[#This Row],[Wegtype]],"_",TableECFTransport[[#This Row],[Brandstoftechnologie]],"_",TableECFTransport[[#This Row],[Brandstof]])</f>
        <v>Lichte voertuigen_Snelwegen_LPG_LPG</v>
      </c>
      <c r="B29" s="282" t="s">
        <v>504</v>
      </c>
      <c r="C29" s="282" t="s">
        <v>65</v>
      </c>
      <c r="D29" s="282" t="s">
        <v>99</v>
      </c>
      <c r="E29" s="282" t="s">
        <v>99</v>
      </c>
      <c r="F29" s="821">
        <v>2.7837448024622433E-9</v>
      </c>
      <c r="H29"/>
      <c r="I29"/>
      <c r="J29"/>
      <c r="K29"/>
      <c r="L29"/>
    </row>
    <row r="30" spans="1:12" hidden="1">
      <c r="A30" s="282" t="str">
        <f>CONCATENATE(TableECFTransport[[#This Row],[Voertuigtype]],"_",TableECFTransport[[#This Row],[Wegtype]],"_",TableECFTransport[[#This Row],[Brandstoftechnologie]],"_",TableECFTransport[[#This Row],[Brandstof]])</f>
        <v>Lichte voertuigen_Niet-genummerde wegen_Petrol_Petrol</v>
      </c>
      <c r="B30" s="282" t="s">
        <v>504</v>
      </c>
      <c r="C30" s="282" t="s">
        <v>64</v>
      </c>
      <c r="D30" s="282" t="s">
        <v>267</v>
      </c>
      <c r="E30" s="282" t="s">
        <v>267</v>
      </c>
      <c r="F30" s="821">
        <v>3.6283054595907816E-9</v>
      </c>
      <c r="H30"/>
      <c r="I30"/>
      <c r="J30"/>
      <c r="K30"/>
      <c r="L30"/>
    </row>
    <row r="31" spans="1:12" hidden="1">
      <c r="A31" s="282" t="str">
        <f>CONCATENATE(TableECFTransport[[#This Row],[Voertuigtype]],"_",TableECFTransport[[#This Row],[Wegtype]],"_",TableECFTransport[[#This Row],[Brandstoftechnologie]],"_",TableECFTransport[[#This Row],[Brandstof]])</f>
        <v>Lichte voertuigen_Genummerde wegen_Petrol_Petrol</v>
      </c>
      <c r="B31" s="282" t="s">
        <v>504</v>
      </c>
      <c r="C31" s="282" t="s">
        <v>63</v>
      </c>
      <c r="D31" s="282" t="s">
        <v>267</v>
      </c>
      <c r="E31" s="282" t="s">
        <v>267</v>
      </c>
      <c r="F31" s="821">
        <v>2.3639098398732437E-9</v>
      </c>
      <c r="H31"/>
      <c r="I31"/>
      <c r="J31"/>
      <c r="K31"/>
      <c r="L31"/>
    </row>
    <row r="32" spans="1:12" hidden="1">
      <c r="A32" s="282" t="str">
        <f>CONCATENATE(TableECFTransport[[#This Row],[Voertuigtype]],"_",TableECFTransport[[#This Row],[Wegtype]],"_",TableECFTransport[[#This Row],[Brandstoftechnologie]],"_",TableECFTransport[[#This Row],[Brandstof]])</f>
        <v>Lichte voertuigen_Snelwegen_Petrol_Petrol</v>
      </c>
      <c r="B32" s="282" t="s">
        <v>504</v>
      </c>
      <c r="C32" s="282" t="s">
        <v>65</v>
      </c>
      <c r="D32" s="282" t="s">
        <v>267</v>
      </c>
      <c r="E32" s="282" t="s">
        <v>267</v>
      </c>
      <c r="F32" s="821">
        <v>2.317305856096542E-9</v>
      </c>
      <c r="H32"/>
      <c r="I32"/>
      <c r="J32"/>
      <c r="K32"/>
      <c r="L32"/>
    </row>
    <row r="33" spans="1:12" hidden="1">
      <c r="A33" s="282" t="str">
        <f>CONCATENATE(TableECFTransport[[#This Row],[Voertuigtype]],"_",TableECFTransport[[#This Row],[Wegtype]],"_",TableECFTransport[[#This Row],[Brandstoftechnologie]],"_",TableECFTransport[[#This Row],[Brandstof]])</f>
        <v>Lichte voertuigen_Niet-genummerde wegen_Petrol Hybrid CS_Petrol</v>
      </c>
      <c r="B33" s="282" t="s">
        <v>504</v>
      </c>
      <c r="C33" s="282" t="s">
        <v>64</v>
      </c>
      <c r="D33" s="282" t="s">
        <v>596</v>
      </c>
      <c r="E33" s="282" t="s">
        <v>267</v>
      </c>
      <c r="F33" s="821">
        <v>2.6853264028798338E-9</v>
      </c>
      <c r="H33"/>
      <c r="I33"/>
      <c r="J33"/>
      <c r="K33"/>
      <c r="L33"/>
    </row>
    <row r="34" spans="1:12" hidden="1">
      <c r="A34" s="282" t="str">
        <f>CONCATENATE(TableECFTransport[[#This Row],[Voertuigtype]],"_",TableECFTransport[[#This Row],[Wegtype]],"_",TableECFTransport[[#This Row],[Brandstoftechnologie]],"_",TableECFTransport[[#This Row],[Brandstof]])</f>
        <v>Lichte voertuigen_Genummerde wegen_Petrol Hybrid CS_Petrol</v>
      </c>
      <c r="B34" s="282" t="s">
        <v>504</v>
      </c>
      <c r="C34" s="282" t="s">
        <v>63</v>
      </c>
      <c r="D34" s="282" t="s">
        <v>596</v>
      </c>
      <c r="E34" s="282" t="s">
        <v>267</v>
      </c>
      <c r="F34" s="821">
        <v>1.6760215218307396E-9</v>
      </c>
      <c r="H34"/>
      <c r="I34"/>
      <c r="J34"/>
      <c r="K34"/>
      <c r="L34"/>
    </row>
    <row r="35" spans="1:12" hidden="1">
      <c r="A35" s="282" t="str">
        <f>CONCATENATE(TableECFTransport[[#This Row],[Voertuigtype]],"_",TableECFTransport[[#This Row],[Wegtype]],"_",TableECFTransport[[#This Row],[Brandstoftechnologie]],"_",TableECFTransport[[#This Row],[Brandstof]])</f>
        <v>Lichte voertuigen_Snelwegen_Petrol Hybrid CS_Petrol</v>
      </c>
      <c r="B35" s="282" t="s">
        <v>504</v>
      </c>
      <c r="C35" s="282" t="s">
        <v>65</v>
      </c>
      <c r="D35" s="282" t="s">
        <v>596</v>
      </c>
      <c r="E35" s="282" t="s">
        <v>267</v>
      </c>
      <c r="F35" s="821">
        <v>1.8401536890973979E-9</v>
      </c>
      <c r="H35"/>
      <c r="I35"/>
      <c r="J35"/>
      <c r="K35"/>
      <c r="L35"/>
    </row>
    <row r="36" spans="1:12" hidden="1">
      <c r="A36" s="282" t="str">
        <f>CONCATENATE(TableECFTransport[[#This Row],[Voertuigtype]],"_",TableECFTransport[[#This Row],[Wegtype]],"_",TableECFTransport[[#This Row],[Brandstoftechnologie]],"_",TableECFTransport[[#This Row],[Brandstof]])</f>
        <v>Lichte voertuigen_Niet-genummerde wegen_Petrol Hybrid PHEV_Electric</v>
      </c>
      <c r="B36" s="282" t="s">
        <v>504</v>
      </c>
      <c r="C36" s="282" t="s">
        <v>64</v>
      </c>
      <c r="D36" s="282" t="s">
        <v>595</v>
      </c>
      <c r="E36" s="282" t="s">
        <v>266</v>
      </c>
      <c r="F36" s="821">
        <v>6.4689240328794229E-10</v>
      </c>
      <c r="H36"/>
      <c r="I36"/>
      <c r="J36"/>
      <c r="K36"/>
      <c r="L36"/>
    </row>
    <row r="37" spans="1:12" hidden="1">
      <c r="A37" s="282" t="str">
        <f>CONCATENATE(TableECFTransport[[#This Row],[Voertuigtype]],"_",TableECFTransport[[#This Row],[Wegtype]],"_",TableECFTransport[[#This Row],[Brandstoftechnologie]],"_",TableECFTransport[[#This Row],[Brandstof]])</f>
        <v>Lichte voertuigen_Niet-genummerde wegen_Petrol Hybrid PHEV_Petrol</v>
      </c>
      <c r="B37" s="282" t="s">
        <v>504</v>
      </c>
      <c r="C37" s="282" t="s">
        <v>64</v>
      </c>
      <c r="D37" s="282" t="s">
        <v>595</v>
      </c>
      <c r="E37" s="282" t="s">
        <v>267</v>
      </c>
      <c r="F37" s="821">
        <v>1.9406772098638272E-9</v>
      </c>
      <c r="H37"/>
      <c r="I37"/>
      <c r="J37"/>
      <c r="K37"/>
      <c r="L37"/>
    </row>
    <row r="38" spans="1:12" hidden="1">
      <c r="A38" s="282" t="str">
        <f>CONCATENATE(TableECFTransport[[#This Row],[Voertuigtype]],"_",TableECFTransport[[#This Row],[Wegtype]],"_",TableECFTransport[[#This Row],[Brandstoftechnologie]],"_",TableECFTransport[[#This Row],[Brandstof]])</f>
        <v>Lichte voertuigen_Genummerde wegen_Petrol Hybrid PHEV_Electric</v>
      </c>
      <c r="B38" s="282" t="s">
        <v>504</v>
      </c>
      <c r="C38" s="282" t="s">
        <v>63</v>
      </c>
      <c r="D38" s="282" t="s">
        <v>595</v>
      </c>
      <c r="E38" s="282" t="s">
        <v>266</v>
      </c>
      <c r="F38" s="821">
        <v>3.891517922663111E-10</v>
      </c>
      <c r="H38"/>
      <c r="I38"/>
      <c r="J38"/>
      <c r="K38"/>
      <c r="L38"/>
    </row>
    <row r="39" spans="1:12" hidden="1">
      <c r="A39" s="282" t="str">
        <f>CONCATENATE(TableECFTransport[[#This Row],[Voertuigtype]],"_",TableECFTransport[[#This Row],[Wegtype]],"_",TableECFTransport[[#This Row],[Brandstoftechnologie]],"_",TableECFTransport[[#This Row],[Brandstof]])</f>
        <v>Lichte voertuigen_Genummerde wegen_Petrol Hybrid PHEV_Petrol</v>
      </c>
      <c r="B39" s="282" t="s">
        <v>504</v>
      </c>
      <c r="C39" s="282" t="s">
        <v>63</v>
      </c>
      <c r="D39" s="282" t="s">
        <v>595</v>
      </c>
      <c r="E39" s="282" t="s">
        <v>267</v>
      </c>
      <c r="F39" s="821">
        <v>1.1674553767989334E-9</v>
      </c>
      <c r="H39"/>
      <c r="I39"/>
      <c r="J39"/>
      <c r="K39"/>
      <c r="L39"/>
    </row>
    <row r="40" spans="1:12" hidden="1">
      <c r="A40" s="282" t="str">
        <f>CONCATENATE(TableECFTransport[[#This Row],[Voertuigtype]],"_",TableECFTransport[[#This Row],[Wegtype]],"_",TableECFTransport[[#This Row],[Brandstoftechnologie]],"_",TableECFTransport[[#This Row],[Brandstof]])</f>
        <v>Lichte voertuigen_Snelwegen_Petrol Hybrid PHEV_Electric</v>
      </c>
      <c r="B40" s="282" t="s">
        <v>504</v>
      </c>
      <c r="C40" s="282" t="s">
        <v>65</v>
      </c>
      <c r="D40" s="282" t="s">
        <v>595</v>
      </c>
      <c r="E40" s="282" t="s">
        <v>266</v>
      </c>
      <c r="F40" s="821">
        <v>5.6539088127372046E-10</v>
      </c>
      <c r="H40"/>
      <c r="I40"/>
      <c r="J40"/>
      <c r="K40"/>
      <c r="L40"/>
    </row>
    <row r="41" spans="1:12" hidden="1">
      <c r="A41" s="282" t="str">
        <f>CONCATENATE(TableECFTransport[[#This Row],[Voertuigtype]],"_",TableECFTransport[[#This Row],[Wegtype]],"_",TableECFTransport[[#This Row],[Brandstoftechnologie]],"_",TableECFTransport[[#This Row],[Brandstof]])</f>
        <v>Lichte voertuigen_Snelwegen_Petrol Hybrid PHEV_Petrol</v>
      </c>
      <c r="B41" s="282" t="s">
        <v>504</v>
      </c>
      <c r="C41" s="282" t="s">
        <v>65</v>
      </c>
      <c r="D41" s="282" t="s">
        <v>595</v>
      </c>
      <c r="E41" s="282" t="s">
        <v>267</v>
      </c>
      <c r="F41" s="821">
        <v>1.6961726438211618E-9</v>
      </c>
      <c r="H41"/>
      <c r="I41"/>
      <c r="J41"/>
      <c r="K41"/>
      <c r="L41"/>
    </row>
    <row r="42" spans="1:12" hidden="1">
      <c r="A42" s="282" t="str">
        <f>CONCATENATE(TableECFTransport[[#This Row],[Voertuigtype]],"_",TableECFTransport[[#This Row],[Wegtype]],"_",TableECFTransport[[#This Row],[Brandstoftechnologie]],"_",TableECFTransport[[#This Row],[Brandstof]])</f>
        <v>Zware voertuigen_Niet-genummerde wegen_Diesel_Diesel</v>
      </c>
      <c r="B42" s="282" t="s">
        <v>505</v>
      </c>
      <c r="C42" s="282" t="s">
        <v>64</v>
      </c>
      <c r="D42" s="282" t="s">
        <v>182</v>
      </c>
      <c r="E42" s="282" t="s">
        <v>182</v>
      </c>
      <c r="F42" s="821">
        <v>1.3522064919978104E-8</v>
      </c>
      <c r="H42"/>
      <c r="I42"/>
      <c r="J42"/>
      <c r="K42"/>
      <c r="L42"/>
    </row>
    <row r="43" spans="1:12" hidden="1">
      <c r="A43" s="282" t="str">
        <f>CONCATENATE(TableECFTransport[[#This Row],[Voertuigtype]],"_",TableECFTransport[[#This Row],[Wegtype]],"_",TableECFTransport[[#This Row],[Brandstoftechnologie]],"_",TableECFTransport[[#This Row],[Brandstof]])</f>
        <v>Zware voertuigen_Genummerde wegen_Diesel_Diesel</v>
      </c>
      <c r="B43" s="282" t="s">
        <v>505</v>
      </c>
      <c r="C43" s="282" t="s">
        <v>63</v>
      </c>
      <c r="D43" s="282" t="s">
        <v>182</v>
      </c>
      <c r="E43" s="282" t="s">
        <v>182</v>
      </c>
      <c r="F43" s="821">
        <v>1.0415365062469838E-8</v>
      </c>
      <c r="H43"/>
      <c r="I43"/>
      <c r="J43"/>
      <c r="K43"/>
      <c r="L43"/>
    </row>
    <row r="44" spans="1:12" hidden="1">
      <c r="A44" s="282" t="str">
        <f>CONCATENATE(TableECFTransport[[#This Row],[Voertuigtype]],"_",TableECFTransport[[#This Row],[Wegtype]],"_",TableECFTransport[[#This Row],[Brandstoftechnologie]],"_",TableECFTransport[[#This Row],[Brandstof]])</f>
        <v>Zware voertuigen_Snelwegen_Diesel_Diesel</v>
      </c>
      <c r="B44" s="282" t="s">
        <v>505</v>
      </c>
      <c r="C44" s="282" t="s">
        <v>65</v>
      </c>
      <c r="D44" s="282" t="s">
        <v>182</v>
      </c>
      <c r="E44" s="282" t="s">
        <v>182</v>
      </c>
      <c r="F44" s="821">
        <v>9.6873379014373334E-9</v>
      </c>
      <c r="H44"/>
      <c r="I44"/>
      <c r="J44"/>
      <c r="K44"/>
      <c r="L44"/>
    </row>
    <row r="45" spans="1:12" hidden="1">
      <c r="A45" s="282" t="str">
        <f>CONCATENATE(TableECFTransport[[#This Row],[Voertuigtype]],"_",TableECFTransport[[#This Row],[Wegtype]],"_",TableECFTransport[[#This Row],[Brandstoftechnologie]],"_",TableECFTransport[[#This Row],[Brandstof]])</f>
        <v>Zware voertuigen_Niet-genummerde wegen_Petrol_Petrol</v>
      </c>
      <c r="B45" s="282" t="s">
        <v>505</v>
      </c>
      <c r="C45" s="282" t="s">
        <v>64</v>
      </c>
      <c r="D45" s="282" t="s">
        <v>267</v>
      </c>
      <c r="E45" s="282" t="s">
        <v>267</v>
      </c>
      <c r="F45" s="821">
        <v>7.6653519389191348E-9</v>
      </c>
      <c r="H45"/>
      <c r="I45"/>
      <c r="J45"/>
      <c r="K45"/>
      <c r="L45"/>
    </row>
    <row r="46" spans="1:12" hidden="1">
      <c r="A46" s="282" t="str">
        <f>CONCATENATE(TableECFTransport[[#This Row],[Voertuigtype]],"_",TableECFTransport[[#This Row],[Wegtype]],"_",TableECFTransport[[#This Row],[Brandstoftechnologie]],"_",TableECFTransport[[#This Row],[Brandstof]])</f>
        <v>Zware voertuigen_Genummerde wegen_Petrol_Petrol</v>
      </c>
      <c r="B46" s="282" t="s">
        <v>505</v>
      </c>
      <c r="C46" s="282" t="s">
        <v>63</v>
      </c>
      <c r="D46" s="282" t="s">
        <v>267</v>
      </c>
      <c r="E46" s="282" t="s">
        <v>267</v>
      </c>
      <c r="F46" s="821">
        <v>6.3506130742713403E-9</v>
      </c>
      <c r="H46"/>
      <c r="I46"/>
      <c r="J46"/>
      <c r="K46"/>
      <c r="L46"/>
    </row>
    <row r="47" spans="1:12" hidden="1">
      <c r="A47" s="282" t="str">
        <f>CONCATENATE(TableECFTransport[[#This Row],[Voertuigtype]],"_",TableECFTransport[[#This Row],[Wegtype]],"_",TableECFTransport[[#This Row],[Brandstoftechnologie]],"_",TableECFTransport[[#This Row],[Brandstof]])</f>
        <v>Zware voertuigen_Snelwegen_Petrol_Petrol</v>
      </c>
      <c r="B47" s="282" t="s">
        <v>505</v>
      </c>
      <c r="C47" s="282" t="s">
        <v>65</v>
      </c>
      <c r="D47" s="282" t="s">
        <v>267</v>
      </c>
      <c r="E47" s="282" t="s">
        <v>267</v>
      </c>
      <c r="F47" s="821">
        <v>6.5365124469575579E-9</v>
      </c>
      <c r="H47"/>
      <c r="I47"/>
      <c r="J47"/>
      <c r="K47"/>
      <c r="L47"/>
    </row>
    <row r="48" spans="1:12">
      <c r="A48" s="282" t="str">
        <f>CONCATENATE(TableECFTransport[[#This Row],[Voertuigtype]],"_",TableECFTransport[[#This Row],[Wegtype]],"_",TableECFTransport[[#This Row],[Brandstoftechnologie]],"_",TableECFTransport[[#This Row],[Brandstof]])</f>
        <v>BUS_Niet-genummerde wegen_CNG_CNG</v>
      </c>
      <c r="B48" s="282" t="s">
        <v>520</v>
      </c>
      <c r="C48" s="282" t="s">
        <v>64</v>
      </c>
      <c r="D48" s="282" t="s">
        <v>265</v>
      </c>
      <c r="E48" s="282" t="s">
        <v>265</v>
      </c>
      <c r="F48" s="821">
        <v>2.3303083752649972E-8</v>
      </c>
      <c r="H48"/>
      <c r="I48"/>
      <c r="J48"/>
      <c r="K48"/>
      <c r="L48"/>
    </row>
    <row r="49" spans="1:12">
      <c r="A49" s="282" t="str">
        <f>CONCATENATE(TableECFTransport[[#This Row],[Voertuigtype]],"_",TableECFTransport[[#This Row],[Wegtype]],"_",TableECFTransport[[#This Row],[Brandstoftechnologie]],"_",TableECFTransport[[#This Row],[Brandstof]])</f>
        <v>BUS_Genummerde wegen_CNG_CNG</v>
      </c>
      <c r="B49" s="282" t="s">
        <v>520</v>
      </c>
      <c r="C49" s="282" t="s">
        <v>63</v>
      </c>
      <c r="D49" s="282" t="s">
        <v>265</v>
      </c>
      <c r="E49" s="282" t="s">
        <v>265</v>
      </c>
      <c r="F49" s="821">
        <v>1.2452720009185941E-8</v>
      </c>
      <c r="H49"/>
      <c r="I49"/>
      <c r="J49"/>
      <c r="K49"/>
      <c r="L49"/>
    </row>
    <row r="50" spans="1:12">
      <c r="A50" s="282" t="str">
        <f>CONCATENATE(TableECFTransport[[#This Row],[Voertuigtype]],"_",TableECFTransport[[#This Row],[Wegtype]],"_",TableECFTransport[[#This Row],[Brandstoftechnologie]],"_",TableECFTransport[[#This Row],[Brandstof]])</f>
        <v>BUS_Niet-genummerde wegen_Diesel_Diesel</v>
      </c>
      <c r="B50" s="282" t="s">
        <v>520</v>
      </c>
      <c r="C50" s="282" t="s">
        <v>64</v>
      </c>
      <c r="D50" s="282" t="s">
        <v>182</v>
      </c>
      <c r="E50" s="282" t="s">
        <v>182</v>
      </c>
      <c r="F50" s="821">
        <v>1.6462224129424279E-8</v>
      </c>
      <c r="G50" s="1029"/>
      <c r="H50"/>
      <c r="I50"/>
      <c r="J50"/>
      <c r="K50"/>
      <c r="L50"/>
    </row>
    <row r="51" spans="1:12">
      <c r="A51" s="282" t="str">
        <f>CONCATENATE(TableECFTransport[[#This Row],[Voertuigtype]],"_",TableECFTransport[[#This Row],[Wegtype]],"_",TableECFTransport[[#This Row],[Brandstoftechnologie]],"_",TableECFTransport[[#This Row],[Brandstof]])</f>
        <v>BUS_Genummerde wegen_Diesel_Diesel</v>
      </c>
      <c r="B51" s="282" t="s">
        <v>520</v>
      </c>
      <c r="C51" s="282" t="s">
        <v>63</v>
      </c>
      <c r="D51" s="282" t="s">
        <v>182</v>
      </c>
      <c r="E51" s="282" t="s">
        <v>182</v>
      </c>
      <c r="F51" s="821">
        <v>1.0474688879046888E-8</v>
      </c>
      <c r="G51" s="1029"/>
      <c r="H51"/>
      <c r="I51"/>
      <c r="J51"/>
      <c r="K51"/>
      <c r="L51"/>
    </row>
    <row r="52" spans="1:12">
      <c r="A52" s="282" t="str">
        <f>CONCATENATE(TableECFTransport[[#This Row],[Voertuigtype]],"_",TableECFTransport[[#This Row],[Wegtype]],"_",TableECFTransport[[#This Row],[Brandstoftechnologie]],"_",TableECFTransport[[#This Row],[Brandstof]])</f>
        <v>BUS_Niet-genummerde wegen_Diesel Hybrid PHEV_Diesel</v>
      </c>
      <c r="B52" s="282" t="s">
        <v>520</v>
      </c>
      <c r="C52" s="282" t="s">
        <v>64</v>
      </c>
      <c r="D52" s="282" t="s">
        <v>594</v>
      </c>
      <c r="E52" s="282" t="s">
        <v>182</v>
      </c>
      <c r="F52" s="821">
        <v>8.7427564960859346E-9</v>
      </c>
      <c r="G52" s="1029"/>
      <c r="H52"/>
      <c r="I52"/>
      <c r="J52"/>
      <c r="K52"/>
      <c r="L52"/>
    </row>
    <row r="53" spans="1:12">
      <c r="A53" s="282" t="str">
        <f>CONCATENATE(TableECFTransport[[#This Row],[Voertuigtype]],"_",TableECFTransport[[#This Row],[Wegtype]],"_",TableECFTransport[[#This Row],[Brandstoftechnologie]],"_",TableECFTransport[[#This Row],[Brandstof]])</f>
        <v>BUS_Niet-genummerde wegen_Diesel Hybrid PHEV_Electric</v>
      </c>
      <c r="B53" s="282" t="s">
        <v>520</v>
      </c>
      <c r="C53" s="282" t="s">
        <v>64</v>
      </c>
      <c r="D53" s="282" t="s">
        <v>594</v>
      </c>
      <c r="E53" s="282" t="s">
        <v>266</v>
      </c>
      <c r="F53" s="821">
        <v>2.9142521653619788E-9</v>
      </c>
      <c r="G53" s="1029"/>
      <c r="H53"/>
      <c r="I53"/>
      <c r="J53"/>
      <c r="K53"/>
      <c r="L53"/>
    </row>
    <row r="54" spans="1:12">
      <c r="A54" s="282" t="str">
        <f>CONCATENATE(TableECFTransport[[#This Row],[Voertuigtype]],"_",TableECFTransport[[#This Row],[Wegtype]],"_",TableECFTransport[[#This Row],[Brandstoftechnologie]],"_",TableECFTransport[[#This Row],[Brandstof]])</f>
        <v>BUS_Genummerde wegen_Diesel Hybrid PHEV_Diesel</v>
      </c>
      <c r="B54" s="282" t="s">
        <v>520</v>
      </c>
      <c r="C54" s="282" t="s">
        <v>63</v>
      </c>
      <c r="D54" s="282" t="s">
        <v>594</v>
      </c>
      <c r="E54" s="282" t="s">
        <v>182</v>
      </c>
      <c r="F54" s="821">
        <v>5.0342719087863849E-9</v>
      </c>
      <c r="G54" s="1029"/>
      <c r="H54"/>
      <c r="I54"/>
      <c r="J54"/>
      <c r="K54"/>
      <c r="L54"/>
    </row>
    <row r="55" spans="1:12">
      <c r="A55" s="282" t="str">
        <f>CONCATENATE(TableECFTransport[[#This Row],[Voertuigtype]],"_",TableECFTransport[[#This Row],[Wegtype]],"_",TableECFTransport[[#This Row],[Brandstoftechnologie]],"_",TableECFTransport[[#This Row],[Brandstof]])</f>
        <v>BUS_Genummerde wegen_Diesel Hybrid PHEV_Electric</v>
      </c>
      <c r="B55" s="282" t="s">
        <v>520</v>
      </c>
      <c r="C55" s="282" t="s">
        <v>63</v>
      </c>
      <c r="D55" s="282" t="s">
        <v>594</v>
      </c>
      <c r="E55" s="282" t="s">
        <v>266</v>
      </c>
      <c r="F55" s="821">
        <v>1.6780906362621283E-9</v>
      </c>
      <c r="G55" s="1029"/>
      <c r="H55"/>
      <c r="I55"/>
      <c r="J55"/>
      <c r="K55"/>
      <c r="L55"/>
    </row>
    <row r="56" spans="1:12" hidden="1">
      <c r="A56" s="282" t="str">
        <f>CONCATENATE(TableECFTransport[[#This Row],[Voertuigtype]],"_",TableECFTransport[[#This Row],[Wegtype]],"_",TableECFTransport[[#This Row],[Brandstoftechnologie]],"_",TableECFTransport[[#This Row],[Brandstof]])</f>
        <v>Zware voertuigen_Niet-genummerde wegen_CNG_CNG</v>
      </c>
      <c r="B56" s="282" t="s">
        <v>505</v>
      </c>
      <c r="C56" s="282" t="s">
        <v>64</v>
      </c>
      <c r="D56" s="282" t="s">
        <v>265</v>
      </c>
      <c r="E56" s="282" t="s">
        <v>265</v>
      </c>
      <c r="F56" s="1030">
        <f>F42</f>
        <v>1.3522064919978104E-8</v>
      </c>
    </row>
    <row r="57" spans="1:12" hidden="1">
      <c r="A57" s="282" t="str">
        <f>CONCATENATE(TableECFTransport[[#This Row],[Voertuigtype]],"_",TableECFTransport[[#This Row],[Wegtype]],"_",TableECFTransport[[#This Row],[Brandstoftechnologie]],"_",TableECFTransport[[#This Row],[Brandstof]])</f>
        <v>Zware voertuigen_Genummerde wegen_CNG_CNG</v>
      </c>
      <c r="B57" s="282" t="s">
        <v>505</v>
      </c>
      <c r="C57" s="282" t="s">
        <v>63</v>
      </c>
      <c r="D57" s="282" t="s">
        <v>265</v>
      </c>
      <c r="E57" s="282" t="s">
        <v>265</v>
      </c>
      <c r="F57" s="1030">
        <f>F43</f>
        <v>1.0415365062469838E-8</v>
      </c>
    </row>
    <row r="58" spans="1:12" hidden="1">
      <c r="A58" s="282" t="str">
        <f>CONCATENATE(TableECFTransport[[#This Row],[Voertuigtype]],"_",TableECFTransport[[#This Row],[Wegtype]],"_",TableECFTransport[[#This Row],[Brandstoftechnologie]],"_",TableECFTransport[[#This Row],[Brandstof]])</f>
        <v>Zware voertuigen_Snelwegen_CNG_CNG</v>
      </c>
      <c r="B58" s="282" t="s">
        <v>505</v>
      </c>
      <c r="C58" s="282" t="s">
        <v>65</v>
      </c>
      <c r="D58" s="282" t="s">
        <v>265</v>
      </c>
      <c r="E58" s="282" t="s">
        <v>265</v>
      </c>
      <c r="F58" s="1030">
        <f>F44</f>
        <v>9.6873379014373334E-9</v>
      </c>
    </row>
    <row r="59" spans="1:12" hidden="1">
      <c r="A59" s="282" t="str">
        <f>CONCATENATE(TableECFTransport[[#This Row],[Voertuigtype]],"_",TableECFTransport[[#This Row],[Wegtype]],"_",TableECFTransport[[#This Row],[Brandstoftechnologie]],"_",TableECFTransport[[#This Row],[Brandstof]])</f>
        <v>Zware voertuigen_Niet-genummerde wegen_Diesel Hybrid CS_Diesel</v>
      </c>
      <c r="B59" s="282" t="s">
        <v>505</v>
      </c>
      <c r="C59" s="282" t="s">
        <v>64</v>
      </c>
      <c r="D59" s="282" t="s">
        <v>770</v>
      </c>
      <c r="E59" s="282" t="s">
        <v>182</v>
      </c>
      <c r="F59" s="1030">
        <f>F42</f>
        <v>1.3522064919978104E-8</v>
      </c>
    </row>
    <row r="60" spans="1:12" hidden="1">
      <c r="A60" s="282" t="str">
        <f>CONCATENATE(TableECFTransport[[#This Row],[Voertuigtype]],"_",TableECFTransport[[#This Row],[Wegtype]],"_",TableECFTransport[[#This Row],[Brandstoftechnologie]],"_",TableECFTransport[[#This Row],[Brandstof]])</f>
        <v>Zware voertuigen_Genummerde wegen_Diesel Hybrid CS_Diesel</v>
      </c>
      <c r="B60" s="282" t="s">
        <v>505</v>
      </c>
      <c r="C60" s="282" t="s">
        <v>63</v>
      </c>
      <c r="D60" s="282" t="s">
        <v>770</v>
      </c>
      <c r="E60" s="282" t="s">
        <v>182</v>
      </c>
      <c r="F60" s="1030">
        <f>F43</f>
        <v>1.0415365062469838E-8</v>
      </c>
    </row>
    <row r="61" spans="1:12" hidden="1">
      <c r="A61" s="282" t="str">
        <f>CONCATENATE(TableECFTransport[[#This Row],[Voertuigtype]],"_",TableECFTransport[[#This Row],[Wegtype]],"_",TableECFTransport[[#This Row],[Brandstoftechnologie]],"_",TableECFTransport[[#This Row],[Brandstof]])</f>
        <v>Zware voertuigen_Snelwegen_Diesel Hybrid CS_Diesel</v>
      </c>
      <c r="B61" s="282" t="s">
        <v>505</v>
      </c>
      <c r="C61" s="282" t="s">
        <v>65</v>
      </c>
      <c r="D61" s="282" t="s">
        <v>770</v>
      </c>
      <c r="E61" s="282" t="s">
        <v>182</v>
      </c>
      <c r="F61" s="1030">
        <f>F44</f>
        <v>9.6873379014373334E-9</v>
      </c>
    </row>
    <row r="62" spans="1:12" hidden="1">
      <c r="A62" s="282" t="str">
        <f>CONCATENATE(TableECFTransport[[#This Row],[Voertuigtype]],"_",TableECFTransport[[#This Row],[Wegtype]],"_",TableECFTransport[[#This Row],[Brandstoftechnologie]],"_",TableECFTransport[[#This Row],[Brandstof]])</f>
        <v>Zware voertuigen_Niet-genummerde wegen_Fuel Cell H2_H2</v>
      </c>
      <c r="B62" s="282" t="s">
        <v>505</v>
      </c>
      <c r="C62" s="282" t="s">
        <v>64</v>
      </c>
      <c r="D62" s="282" t="s">
        <v>592</v>
      </c>
      <c r="E62" s="282" t="s">
        <v>593</v>
      </c>
      <c r="F62" s="1030">
        <f>F9</f>
        <v>4.5113758700763424E-9</v>
      </c>
    </row>
    <row r="63" spans="1:12" hidden="1">
      <c r="A63" s="282" t="str">
        <f>CONCATENATE(TableECFTransport[[#This Row],[Voertuigtype]],"_",TableECFTransport[[#This Row],[Wegtype]],"_",TableECFTransport[[#This Row],[Brandstoftechnologie]],"_",TableECFTransport[[#This Row],[Brandstof]])</f>
        <v>Zware voertuigen_Genummerde wegen_Fuel Cell H2_H2</v>
      </c>
      <c r="B63" s="282" t="s">
        <v>505</v>
      </c>
      <c r="C63" s="282" t="s">
        <v>63</v>
      </c>
      <c r="D63" s="282" t="s">
        <v>592</v>
      </c>
      <c r="E63" s="282" t="s">
        <v>593</v>
      </c>
      <c r="F63" s="1030">
        <f>F10</f>
        <v>4.5113758700763424E-9</v>
      </c>
    </row>
    <row r="64" spans="1:12" hidden="1">
      <c r="A64" s="282" t="str">
        <f>CONCATENATE(TableECFTransport[[#This Row],[Voertuigtype]],"_",TableECFTransport[[#This Row],[Wegtype]],"_",TableECFTransport[[#This Row],[Brandstoftechnologie]],"_",TableECFTransport[[#This Row],[Brandstof]])</f>
        <v>Zware voertuigen_Snelwegen_Fuel Cell H2_H2</v>
      </c>
      <c r="B64" s="282" t="s">
        <v>505</v>
      </c>
      <c r="C64" s="282" t="s">
        <v>65</v>
      </c>
      <c r="D64" s="282" t="s">
        <v>592</v>
      </c>
      <c r="E64" s="282" t="s">
        <v>593</v>
      </c>
      <c r="F64" s="1030">
        <f>F11</f>
        <v>4.5113758700763424E-9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J26" sqref="J26"/>
    </sheetView>
  </sheetViews>
  <sheetFormatPr defaultRowHeight="15"/>
  <cols>
    <col min="1" max="1" width="22.28515625" style="43" customWidth="1"/>
    <col min="2" max="2" width="69" style="43" customWidth="1"/>
    <col min="3" max="3" width="9.28515625" bestFit="1" customWidth="1"/>
    <col min="4" max="6" width="10.140625" bestFit="1" customWidth="1"/>
    <col min="7" max="7" width="13" bestFit="1" customWidth="1"/>
    <col min="8"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51">
        <v>2022</v>
      </c>
      <c r="B1" s="1152"/>
      <c r="C1" s="75" t="s">
        <v>93</v>
      </c>
      <c r="D1" s="76" t="s">
        <v>94</v>
      </c>
      <c r="E1" s="75" t="s">
        <v>95</v>
      </c>
      <c r="F1" s="77" t="s">
        <v>96</v>
      </c>
      <c r="G1" s="76" t="s">
        <v>97</v>
      </c>
      <c r="H1" s="76" t="s">
        <v>98</v>
      </c>
      <c r="I1" s="75" t="s">
        <v>99</v>
      </c>
      <c r="J1" s="75" t="s">
        <v>100</v>
      </c>
      <c r="K1" s="75" t="s">
        <v>101</v>
      </c>
      <c r="L1" s="75" t="s">
        <v>102</v>
      </c>
      <c r="M1" s="76" t="s">
        <v>103</v>
      </c>
      <c r="N1" s="76" t="s">
        <v>104</v>
      </c>
      <c r="O1" s="76" t="s">
        <v>105</v>
      </c>
      <c r="P1" s="76" t="s">
        <v>106</v>
      </c>
      <c r="Q1" s="76" t="s">
        <v>107</v>
      </c>
      <c r="R1" s="78" t="s">
        <v>108</v>
      </c>
      <c r="S1" s="76" t="s">
        <v>109</v>
      </c>
      <c r="T1" s="76" t="s">
        <v>110</v>
      </c>
      <c r="U1" s="76" t="s">
        <v>111</v>
      </c>
      <c r="V1" s="77" t="s">
        <v>112</v>
      </c>
      <c r="W1" s="77" t="s">
        <v>113</v>
      </c>
      <c r="X1" s="76" t="s">
        <v>114</v>
      </c>
      <c r="Y1" s="75" t="s">
        <v>115</v>
      </c>
      <c r="Z1" s="75" t="s">
        <v>116</v>
      </c>
      <c r="AA1" s="79" t="s">
        <v>117</v>
      </c>
      <c r="AB1" s="80" t="s">
        <v>118</v>
      </c>
      <c r="AC1" s="77" t="s">
        <v>96</v>
      </c>
    </row>
    <row r="2" spans="1:29" s="2" customFormat="1" ht="11.25">
      <c r="A2" s="1153"/>
      <c r="B2" s="1154"/>
      <c r="C2" s="81"/>
      <c r="D2" s="81"/>
      <c r="E2" s="81"/>
      <c r="F2" s="82" t="s">
        <v>119</v>
      </c>
      <c r="G2" s="83" t="s">
        <v>120</v>
      </c>
      <c r="H2" s="84" t="s">
        <v>121</v>
      </c>
      <c r="I2" s="81"/>
      <c r="J2" s="81"/>
      <c r="K2" s="83"/>
      <c r="L2" s="84" t="s">
        <v>122</v>
      </c>
      <c r="M2" s="84" t="s">
        <v>123</v>
      </c>
      <c r="N2" s="84" t="s">
        <v>124</v>
      </c>
      <c r="O2" s="84"/>
      <c r="P2" s="84" t="s">
        <v>125</v>
      </c>
      <c r="Q2" s="83" t="s">
        <v>126</v>
      </c>
      <c r="R2" s="85" t="s">
        <v>127</v>
      </c>
      <c r="S2" s="84" t="s">
        <v>128</v>
      </c>
      <c r="T2" s="84" t="s">
        <v>129</v>
      </c>
      <c r="U2" s="84" t="s">
        <v>129</v>
      </c>
      <c r="V2" s="82"/>
      <c r="W2" s="82" t="s">
        <v>130</v>
      </c>
      <c r="X2" s="84" t="s">
        <v>131</v>
      </c>
      <c r="Y2" s="84"/>
      <c r="Z2" s="84" t="s">
        <v>132</v>
      </c>
      <c r="AA2" s="86"/>
      <c r="AB2" s="86" t="s">
        <v>133</v>
      </c>
      <c r="AC2" s="82"/>
    </row>
    <row r="3" spans="1:29" s="2" customFormat="1" ht="11.25">
      <c r="A3" s="1153"/>
      <c r="B3" s="1154"/>
      <c r="C3" s="84" t="s">
        <v>134</v>
      </c>
      <c r="D3" s="84" t="s">
        <v>134</v>
      </c>
      <c r="E3" s="84" t="s">
        <v>134</v>
      </c>
      <c r="F3" s="82" t="s">
        <v>134</v>
      </c>
      <c r="G3" s="83" t="s">
        <v>134</v>
      </c>
      <c r="H3" s="84" t="s">
        <v>134</v>
      </c>
      <c r="I3" s="84" t="s">
        <v>134</v>
      </c>
      <c r="J3" s="84" t="s">
        <v>134</v>
      </c>
      <c r="K3" s="83" t="s">
        <v>134</v>
      </c>
      <c r="L3" s="84" t="s">
        <v>134</v>
      </c>
      <c r="M3" s="84" t="s">
        <v>134</v>
      </c>
      <c r="N3" s="84" t="s">
        <v>134</v>
      </c>
      <c r="O3" s="84" t="s">
        <v>134</v>
      </c>
      <c r="P3" s="84" t="s">
        <v>134</v>
      </c>
      <c r="Q3" s="83" t="s">
        <v>134</v>
      </c>
      <c r="R3" s="85" t="s">
        <v>134</v>
      </c>
      <c r="S3" s="84" t="s">
        <v>134</v>
      </c>
      <c r="T3" s="84" t="s">
        <v>134</v>
      </c>
      <c r="U3" s="84" t="s">
        <v>134</v>
      </c>
      <c r="V3" s="82" t="s">
        <v>134</v>
      </c>
      <c r="W3" s="82" t="s">
        <v>134</v>
      </c>
      <c r="X3" s="84" t="s">
        <v>134</v>
      </c>
      <c r="Y3" s="84" t="s">
        <v>134</v>
      </c>
      <c r="Z3" s="84" t="s">
        <v>134</v>
      </c>
      <c r="AA3" s="86" t="s">
        <v>134</v>
      </c>
      <c r="AB3" s="86" t="s">
        <v>134</v>
      </c>
      <c r="AC3" s="82" t="s">
        <v>134</v>
      </c>
    </row>
    <row r="4" spans="1:29" s="2" customFormat="1" ht="11.25">
      <c r="A4" s="1155"/>
      <c r="B4" s="1156"/>
      <c r="C4" s="87"/>
      <c r="D4" s="87"/>
      <c r="E4" s="87"/>
      <c r="F4" s="88"/>
      <c r="G4" s="89"/>
      <c r="H4" s="87"/>
      <c r="I4" s="87"/>
      <c r="J4" s="87"/>
      <c r="K4" s="89"/>
      <c r="L4" s="87"/>
      <c r="M4" s="87"/>
      <c r="N4" s="87"/>
      <c r="O4" s="87"/>
      <c r="P4" s="87"/>
      <c r="Q4" s="89"/>
      <c r="R4" s="90"/>
      <c r="S4" s="87"/>
      <c r="T4" s="87"/>
      <c r="U4" s="87"/>
      <c r="V4" s="88"/>
      <c r="W4" s="88"/>
      <c r="X4" s="87"/>
      <c r="Y4" s="87"/>
      <c r="Z4" s="87"/>
      <c r="AA4" s="91"/>
      <c r="AB4" s="91"/>
      <c r="AC4" s="88"/>
    </row>
    <row r="5" spans="1:29" s="2" customFormat="1">
      <c r="A5" s="149" t="s">
        <v>339</v>
      </c>
      <c r="B5" s="840" t="s">
        <v>734</v>
      </c>
      <c r="C5" s="142"/>
      <c r="D5" s="142"/>
      <c r="E5" s="142"/>
      <c r="F5" s="142"/>
      <c r="G5" s="143"/>
      <c r="H5" s="142"/>
      <c r="I5" s="142"/>
      <c r="J5" s="142"/>
      <c r="K5" s="143"/>
      <c r="L5" s="142"/>
      <c r="M5" s="142"/>
      <c r="N5" s="142"/>
      <c r="O5" s="142"/>
      <c r="P5" s="142"/>
      <c r="Q5" s="143"/>
      <c r="R5" s="143"/>
      <c r="S5" s="142"/>
      <c r="T5" s="142"/>
      <c r="U5" s="142"/>
      <c r="V5" s="142"/>
      <c r="W5" s="142"/>
      <c r="X5" s="142"/>
      <c r="Y5" s="142"/>
      <c r="Z5" s="142"/>
      <c r="AA5" s="144"/>
      <c r="AB5" s="144"/>
      <c r="AC5" s="145"/>
    </row>
    <row r="6" spans="1:29" s="2" customFormat="1">
      <c r="A6" s="193"/>
      <c r="B6" s="194"/>
      <c r="C6" s="147"/>
      <c r="D6" s="147"/>
      <c r="E6" s="147"/>
      <c r="F6" s="147"/>
      <c r="G6" s="146"/>
      <c r="H6" s="147"/>
      <c r="I6" s="147"/>
      <c r="J6" s="147"/>
      <c r="K6" s="146"/>
      <c r="L6" s="147"/>
      <c r="M6" s="147"/>
      <c r="N6" s="147"/>
      <c r="O6" s="147"/>
      <c r="P6" s="147"/>
      <c r="Q6" s="146"/>
      <c r="R6" s="146"/>
      <c r="S6" s="147"/>
      <c r="T6" s="147"/>
      <c r="U6" s="147"/>
      <c r="V6" s="147"/>
      <c r="W6" s="147"/>
      <c r="X6" s="147"/>
      <c r="Y6" s="147"/>
      <c r="Z6" s="147"/>
      <c r="AA6" s="148"/>
      <c r="AB6" s="148"/>
      <c r="AC6" s="195"/>
    </row>
    <row r="7" spans="1:29">
      <c r="A7" s="196" t="s">
        <v>135</v>
      </c>
      <c r="B7" s="197"/>
      <c r="C7" s="678">
        <v>0</v>
      </c>
      <c r="D7" s="678">
        <v>0.28155672302757495</v>
      </c>
      <c r="E7" s="678">
        <v>0</v>
      </c>
      <c r="F7" s="679">
        <v>0.28155672302757495</v>
      </c>
      <c r="G7" s="678">
        <v>0</v>
      </c>
      <c r="H7" s="678">
        <v>0</v>
      </c>
      <c r="I7" s="678">
        <v>2.3700334448601845</v>
      </c>
      <c r="J7" s="678">
        <v>0.88618043885892139</v>
      </c>
      <c r="K7" s="678">
        <v>0</v>
      </c>
      <c r="L7" s="678">
        <v>43.138449107116074</v>
      </c>
      <c r="M7" s="678">
        <v>0</v>
      </c>
      <c r="N7" s="678">
        <v>0</v>
      </c>
      <c r="O7" s="678">
        <v>0</v>
      </c>
      <c r="P7" s="678">
        <v>0</v>
      </c>
      <c r="Q7" s="678">
        <v>0</v>
      </c>
      <c r="R7" s="679">
        <v>46.39466299083518</v>
      </c>
      <c r="S7" s="678">
        <v>118.7867755956606</v>
      </c>
      <c r="T7" s="678">
        <v>0</v>
      </c>
      <c r="U7" s="678">
        <v>0</v>
      </c>
      <c r="V7" s="679">
        <v>118.7867755956606</v>
      </c>
      <c r="W7" s="679">
        <v>165.46299530952334</v>
      </c>
      <c r="X7" s="678">
        <v>1.33615720106893</v>
      </c>
      <c r="Y7" s="678">
        <v>16.467575773302677</v>
      </c>
      <c r="Z7" s="678">
        <v>71.927989899090363</v>
      </c>
      <c r="AA7" s="680">
        <v>9.3652367903422586</v>
      </c>
      <c r="AB7" s="680">
        <v>0</v>
      </c>
      <c r="AC7" s="679">
        <v>264.55995497332759</v>
      </c>
    </row>
    <row r="8" spans="1:29">
      <c r="A8" s="198" t="s">
        <v>136</v>
      </c>
      <c r="B8" s="199"/>
      <c r="C8" s="681">
        <v>0</v>
      </c>
      <c r="D8" s="681">
        <v>8.7900000000000009E-5</v>
      </c>
      <c r="E8" s="681">
        <v>0</v>
      </c>
      <c r="F8" s="682">
        <v>8.7900000000000009E-5</v>
      </c>
      <c r="G8" s="681">
        <v>0</v>
      </c>
      <c r="H8" s="681">
        <v>0</v>
      </c>
      <c r="I8" s="681">
        <v>0.18627178794669222</v>
      </c>
      <c r="J8" s="681">
        <v>1.8448272556544328E-3</v>
      </c>
      <c r="K8" s="681">
        <v>0</v>
      </c>
      <c r="L8" s="681">
        <v>8.0347079064862008</v>
      </c>
      <c r="M8" s="681">
        <v>0</v>
      </c>
      <c r="N8" s="681">
        <v>0</v>
      </c>
      <c r="O8" s="681">
        <v>0</v>
      </c>
      <c r="P8" s="681">
        <v>0</v>
      </c>
      <c r="Q8" s="681">
        <v>0</v>
      </c>
      <c r="R8" s="682">
        <v>8.2228245216885476</v>
      </c>
      <c r="S8" s="681">
        <v>40.459804118985204</v>
      </c>
      <c r="T8" s="681">
        <v>0</v>
      </c>
      <c r="U8" s="681">
        <v>0</v>
      </c>
      <c r="V8" s="682">
        <v>40.459804118985204</v>
      </c>
      <c r="W8" s="682">
        <v>48.682716540673752</v>
      </c>
      <c r="X8" s="681">
        <v>1.33615720106893</v>
      </c>
      <c r="Y8" s="681">
        <v>3.364969512419592</v>
      </c>
      <c r="Z8" s="681">
        <v>40.260148555031357</v>
      </c>
      <c r="AA8" s="683">
        <v>2.2331621248874889</v>
      </c>
      <c r="AB8" s="683">
        <v>0</v>
      </c>
      <c r="AC8" s="682">
        <v>95.877153934081122</v>
      </c>
    </row>
    <row r="9" spans="1:29">
      <c r="A9" s="3"/>
      <c r="B9" s="6" t="s">
        <v>137</v>
      </c>
      <c r="C9" s="684">
        <v>0</v>
      </c>
      <c r="D9" s="684">
        <v>0</v>
      </c>
      <c r="E9" s="684">
        <v>0</v>
      </c>
      <c r="F9" s="685">
        <v>0</v>
      </c>
      <c r="G9" s="684">
        <v>0</v>
      </c>
      <c r="H9" s="684">
        <v>0</v>
      </c>
      <c r="I9" s="684">
        <v>0</v>
      </c>
      <c r="J9" s="684">
        <v>0</v>
      </c>
      <c r="K9" s="684">
        <v>0</v>
      </c>
      <c r="L9" s="684">
        <v>0.37231281752173978</v>
      </c>
      <c r="M9" s="684">
        <v>0</v>
      </c>
      <c r="N9" s="684">
        <v>0</v>
      </c>
      <c r="O9" s="684">
        <v>0</v>
      </c>
      <c r="P9" s="684">
        <v>0</v>
      </c>
      <c r="Q9" s="684">
        <v>0</v>
      </c>
      <c r="R9" s="685">
        <v>0.37231281752173978</v>
      </c>
      <c r="S9" s="684">
        <v>3.113482598452963</v>
      </c>
      <c r="T9" s="684">
        <v>0</v>
      </c>
      <c r="U9" s="684">
        <v>0</v>
      </c>
      <c r="V9" s="685">
        <v>3.113482598452963</v>
      </c>
      <c r="W9" s="685">
        <v>3.4857954159747027</v>
      </c>
      <c r="X9" s="684">
        <v>0</v>
      </c>
      <c r="Y9" s="684">
        <v>0</v>
      </c>
      <c r="Z9" s="684">
        <v>3.0223645550273379</v>
      </c>
      <c r="AA9" s="686">
        <v>0</v>
      </c>
      <c r="AB9" s="686">
        <v>0</v>
      </c>
      <c r="AC9" s="685">
        <v>6.5081599710020406</v>
      </c>
    </row>
    <row r="10" spans="1:29">
      <c r="A10" s="3"/>
      <c r="B10" s="6" t="s">
        <v>138</v>
      </c>
      <c r="C10" s="684">
        <v>0</v>
      </c>
      <c r="D10" s="684">
        <v>0</v>
      </c>
      <c r="E10" s="684">
        <v>0</v>
      </c>
      <c r="F10" s="685">
        <v>0</v>
      </c>
      <c r="G10" s="684">
        <v>0</v>
      </c>
      <c r="H10" s="684">
        <v>0</v>
      </c>
      <c r="I10" s="684">
        <v>0</v>
      </c>
      <c r="J10" s="684">
        <v>0</v>
      </c>
      <c r="K10" s="684">
        <v>0</v>
      </c>
      <c r="L10" s="684">
        <v>6.5880884863655342E-2</v>
      </c>
      <c r="M10" s="684">
        <v>0</v>
      </c>
      <c r="N10" s="684">
        <v>0</v>
      </c>
      <c r="O10" s="684">
        <v>0</v>
      </c>
      <c r="P10" s="684">
        <v>0</v>
      </c>
      <c r="Q10" s="684">
        <v>0</v>
      </c>
      <c r="R10" s="685">
        <v>6.5880884863655342E-2</v>
      </c>
      <c r="S10" s="684">
        <v>6.321705991557903</v>
      </c>
      <c r="T10" s="684">
        <v>0</v>
      </c>
      <c r="U10" s="684">
        <v>0</v>
      </c>
      <c r="V10" s="685">
        <v>6.321705991557903</v>
      </c>
      <c r="W10" s="685">
        <v>6.3875868764215582</v>
      </c>
      <c r="X10" s="684">
        <v>0</v>
      </c>
      <c r="Y10" s="684">
        <v>1.827694992E-2</v>
      </c>
      <c r="Z10" s="684">
        <v>3.7511494633440758</v>
      </c>
      <c r="AA10" s="686">
        <v>0</v>
      </c>
      <c r="AB10" s="686">
        <v>0</v>
      </c>
      <c r="AC10" s="685">
        <v>10.157013289685633</v>
      </c>
    </row>
    <row r="11" spans="1:29">
      <c r="A11" s="3"/>
      <c r="B11" s="6" t="s">
        <v>139</v>
      </c>
      <c r="C11" s="684">
        <v>0</v>
      </c>
      <c r="D11" s="684">
        <v>0</v>
      </c>
      <c r="E11" s="684">
        <v>0</v>
      </c>
      <c r="F11" s="685">
        <v>0</v>
      </c>
      <c r="G11" s="684">
        <v>0</v>
      </c>
      <c r="H11" s="684">
        <v>0</v>
      </c>
      <c r="I11" s="684">
        <v>0</v>
      </c>
      <c r="J11" s="684">
        <v>0</v>
      </c>
      <c r="K11" s="684">
        <v>0</v>
      </c>
      <c r="L11" s="684">
        <v>0.13176084349940489</v>
      </c>
      <c r="M11" s="684">
        <v>0</v>
      </c>
      <c r="N11" s="684">
        <v>0</v>
      </c>
      <c r="O11" s="684">
        <v>0</v>
      </c>
      <c r="P11" s="684">
        <v>0</v>
      </c>
      <c r="Q11" s="684">
        <v>0</v>
      </c>
      <c r="R11" s="685">
        <v>0.13176084349940489</v>
      </c>
      <c r="S11" s="684">
        <v>4.0295830226513507</v>
      </c>
      <c r="T11" s="684">
        <v>0</v>
      </c>
      <c r="U11" s="684">
        <v>0</v>
      </c>
      <c r="V11" s="685">
        <v>4.0295830226513507</v>
      </c>
      <c r="W11" s="685">
        <v>4.161343866150756</v>
      </c>
      <c r="X11" s="684">
        <v>0</v>
      </c>
      <c r="Y11" s="684">
        <v>1.6580897999999998E-3</v>
      </c>
      <c r="Z11" s="684">
        <v>1.7979031840888</v>
      </c>
      <c r="AA11" s="686">
        <v>0</v>
      </c>
      <c r="AB11" s="686">
        <v>0</v>
      </c>
      <c r="AC11" s="685">
        <v>5.9609051400395563</v>
      </c>
    </row>
    <row r="12" spans="1:29">
      <c r="A12" s="3"/>
      <c r="B12" s="6" t="s">
        <v>140</v>
      </c>
      <c r="C12" s="684">
        <v>0</v>
      </c>
      <c r="D12" s="684">
        <v>0</v>
      </c>
      <c r="E12" s="684">
        <v>0</v>
      </c>
      <c r="F12" s="685">
        <v>0</v>
      </c>
      <c r="G12" s="684">
        <v>0</v>
      </c>
      <c r="H12" s="684">
        <v>0</v>
      </c>
      <c r="I12" s="684">
        <v>8.7861305585546534E-7</v>
      </c>
      <c r="J12" s="684">
        <v>0</v>
      </c>
      <c r="K12" s="684">
        <v>0</v>
      </c>
      <c r="L12" s="684">
        <v>0.97620608862785641</v>
      </c>
      <c r="M12" s="684">
        <v>0</v>
      </c>
      <c r="N12" s="684">
        <v>0</v>
      </c>
      <c r="O12" s="684">
        <v>0</v>
      </c>
      <c r="P12" s="684">
        <v>0</v>
      </c>
      <c r="Q12" s="684">
        <v>0</v>
      </c>
      <c r="R12" s="685">
        <v>0.97620696724091227</v>
      </c>
      <c r="S12" s="684">
        <v>13.721049975643975</v>
      </c>
      <c r="T12" s="684">
        <v>0</v>
      </c>
      <c r="U12" s="684">
        <v>0</v>
      </c>
      <c r="V12" s="685">
        <v>13.721049975643975</v>
      </c>
      <c r="W12" s="685">
        <v>14.697256942884888</v>
      </c>
      <c r="X12" s="684">
        <v>0</v>
      </c>
      <c r="Y12" s="684">
        <v>1.4505478537031394E-2</v>
      </c>
      <c r="Z12" s="684">
        <v>11.818278405679781</v>
      </c>
      <c r="AA12" s="686">
        <v>0</v>
      </c>
      <c r="AB12" s="686">
        <v>0</v>
      </c>
      <c r="AC12" s="685">
        <v>26.530040827101701</v>
      </c>
    </row>
    <row r="13" spans="1:29">
      <c r="A13" s="3"/>
      <c r="B13" s="6" t="s">
        <v>141</v>
      </c>
      <c r="C13" s="684">
        <v>0</v>
      </c>
      <c r="D13" s="684">
        <v>0</v>
      </c>
      <c r="E13" s="684">
        <v>0</v>
      </c>
      <c r="F13" s="685">
        <v>0</v>
      </c>
      <c r="G13" s="684">
        <v>0</v>
      </c>
      <c r="H13" s="684">
        <v>0</v>
      </c>
      <c r="I13" s="684">
        <v>2.8757737799999997E-4</v>
      </c>
      <c r="J13" s="684">
        <v>0</v>
      </c>
      <c r="K13" s="684">
        <v>0</v>
      </c>
      <c r="L13" s="684">
        <v>0.79527928204333831</v>
      </c>
      <c r="M13" s="684">
        <v>0</v>
      </c>
      <c r="N13" s="684">
        <v>0</v>
      </c>
      <c r="O13" s="684">
        <v>0</v>
      </c>
      <c r="P13" s="684">
        <v>0</v>
      </c>
      <c r="Q13" s="684">
        <v>0</v>
      </c>
      <c r="R13" s="685">
        <v>0.79556685942133831</v>
      </c>
      <c r="S13" s="684">
        <v>6.8081591643292763</v>
      </c>
      <c r="T13" s="684">
        <v>0</v>
      </c>
      <c r="U13" s="684">
        <v>0</v>
      </c>
      <c r="V13" s="685">
        <v>6.8081591643292763</v>
      </c>
      <c r="W13" s="685">
        <v>7.6037260237506148</v>
      </c>
      <c r="X13" s="684">
        <v>0</v>
      </c>
      <c r="Y13" s="684">
        <v>7.1287061999999995E-3</v>
      </c>
      <c r="Z13" s="684">
        <v>10.475774714030557</v>
      </c>
      <c r="AA13" s="686">
        <v>0</v>
      </c>
      <c r="AB13" s="686">
        <v>0</v>
      </c>
      <c r="AC13" s="685">
        <v>18.08662944398117</v>
      </c>
    </row>
    <row r="14" spans="1:29">
      <c r="A14" s="200"/>
      <c r="B14" s="201" t="s">
        <v>142</v>
      </c>
      <c r="C14" s="687">
        <v>0</v>
      </c>
      <c r="D14" s="687">
        <v>8.7900000000000009E-5</v>
      </c>
      <c r="E14" s="687">
        <v>0</v>
      </c>
      <c r="F14" s="688">
        <v>8.7900000000000009E-5</v>
      </c>
      <c r="G14" s="684">
        <v>0</v>
      </c>
      <c r="H14" s="684">
        <v>0</v>
      </c>
      <c r="I14" s="684">
        <v>0.18598333195563638</v>
      </c>
      <c r="J14" s="684">
        <v>1.8448272556544328E-3</v>
      </c>
      <c r="K14" s="684">
        <v>0</v>
      </c>
      <c r="L14" s="684">
        <v>5.6932679899302059</v>
      </c>
      <c r="M14" s="684">
        <v>0</v>
      </c>
      <c r="N14" s="684">
        <v>0</v>
      </c>
      <c r="O14" s="684">
        <v>0</v>
      </c>
      <c r="P14" s="684">
        <v>0</v>
      </c>
      <c r="Q14" s="684">
        <v>0</v>
      </c>
      <c r="R14" s="688">
        <v>5.8810961491414968</v>
      </c>
      <c r="S14" s="684">
        <v>6.4658233663497313</v>
      </c>
      <c r="T14" s="687">
        <v>0</v>
      </c>
      <c r="U14" s="687">
        <v>0</v>
      </c>
      <c r="V14" s="688">
        <v>6.4658233663497313</v>
      </c>
      <c r="W14" s="688">
        <v>12.347007415491227</v>
      </c>
      <c r="X14" s="684">
        <v>1.33615720106893</v>
      </c>
      <c r="Y14" s="684">
        <v>3.3234002879625604</v>
      </c>
      <c r="Z14" s="684">
        <v>9.3946782328608087</v>
      </c>
      <c r="AA14" s="689">
        <v>0</v>
      </c>
      <c r="AB14" s="689">
        <v>0</v>
      </c>
      <c r="AC14" s="688">
        <v>26.401243137383528</v>
      </c>
    </row>
    <row r="15" spans="1:29">
      <c r="A15" s="198" t="s">
        <v>143</v>
      </c>
      <c r="B15" s="202"/>
      <c r="C15" s="690">
        <v>0</v>
      </c>
      <c r="D15" s="690">
        <v>3.0970000000000053E-2</v>
      </c>
      <c r="E15" s="690">
        <v>0.17199180000000025</v>
      </c>
      <c r="F15" s="691">
        <v>0.2029618000000003</v>
      </c>
      <c r="G15" s="690">
        <v>0</v>
      </c>
      <c r="H15" s="690">
        <v>0</v>
      </c>
      <c r="I15" s="690">
        <v>2.8014635978325195</v>
      </c>
      <c r="J15" s="690">
        <v>0.11857265748868066</v>
      </c>
      <c r="K15" s="690">
        <v>0</v>
      </c>
      <c r="L15" s="690">
        <v>7.8683650444778817</v>
      </c>
      <c r="M15" s="690">
        <v>1.154568E-4</v>
      </c>
      <c r="N15" s="690">
        <v>0.47388864295991617</v>
      </c>
      <c r="O15" s="690">
        <v>0</v>
      </c>
      <c r="P15" s="690">
        <v>1.27075E-2</v>
      </c>
      <c r="Q15" s="690">
        <v>0</v>
      </c>
      <c r="R15" s="808">
        <v>11.275112899558998</v>
      </c>
      <c r="S15" s="690">
        <v>28.000803871081978</v>
      </c>
      <c r="T15" s="690">
        <v>0</v>
      </c>
      <c r="U15" s="690">
        <v>0</v>
      </c>
      <c r="V15" s="808">
        <v>28.000803871081978</v>
      </c>
      <c r="W15" s="808">
        <v>39.478878570640973</v>
      </c>
      <c r="X15" s="814">
        <v>4.6620781000001631E-2</v>
      </c>
      <c r="Y15" s="690">
        <v>1.7783411781947784</v>
      </c>
      <c r="Z15" s="690">
        <v>37.439370482650801</v>
      </c>
      <c r="AA15" s="692">
        <v>0.40131520439759072</v>
      </c>
      <c r="AB15" s="692">
        <v>0</v>
      </c>
      <c r="AC15" s="691">
        <v>79.144526216884145</v>
      </c>
    </row>
    <row r="16" spans="1:29">
      <c r="A16" s="5"/>
      <c r="B16" s="6" t="s">
        <v>34</v>
      </c>
      <c r="C16" s="693">
        <v>0</v>
      </c>
      <c r="D16" s="693">
        <v>0</v>
      </c>
      <c r="E16" s="693">
        <v>0</v>
      </c>
      <c r="F16" s="685">
        <v>0</v>
      </c>
      <c r="G16" s="693">
        <v>0</v>
      </c>
      <c r="H16" s="693">
        <v>0</v>
      </c>
      <c r="I16" s="693">
        <v>1.1987999999999999E-3</v>
      </c>
      <c r="J16" s="693">
        <v>0</v>
      </c>
      <c r="K16" s="693">
        <v>0</v>
      </c>
      <c r="L16" s="693">
        <v>1.8280519872859724E-3</v>
      </c>
      <c r="M16" s="693">
        <v>0</v>
      </c>
      <c r="N16" s="693">
        <v>1.2778851280000003E-2</v>
      </c>
      <c r="O16" s="693">
        <v>0</v>
      </c>
      <c r="P16" s="693">
        <v>0</v>
      </c>
      <c r="Q16" s="693">
        <v>0</v>
      </c>
      <c r="R16" s="685">
        <v>1.5805703267285975E-2</v>
      </c>
      <c r="S16" s="693">
        <v>0.16987898371923205</v>
      </c>
      <c r="T16" s="693">
        <v>0</v>
      </c>
      <c r="U16" s="693">
        <v>0</v>
      </c>
      <c r="V16" s="694">
        <v>0.16987898371923205</v>
      </c>
      <c r="W16" s="685">
        <v>0.18568468698651802</v>
      </c>
      <c r="X16" s="815">
        <v>6.9388939039072284E-18</v>
      </c>
      <c r="Y16" s="693">
        <v>0</v>
      </c>
      <c r="Z16" s="693">
        <v>0.43524499667431815</v>
      </c>
      <c r="AA16" s="686">
        <v>0</v>
      </c>
      <c r="AB16" s="686">
        <v>0</v>
      </c>
      <c r="AC16" s="685">
        <v>0.62092968366083623</v>
      </c>
    </row>
    <row r="17" spans="1:31">
      <c r="A17" s="5"/>
      <c r="B17" s="6" t="s">
        <v>37</v>
      </c>
      <c r="C17" s="693">
        <v>0</v>
      </c>
      <c r="D17" s="693">
        <v>0</v>
      </c>
      <c r="E17" s="693">
        <v>0.17199180000000025</v>
      </c>
      <c r="F17" s="685">
        <v>0.17199180000000025</v>
      </c>
      <c r="G17" s="693">
        <v>0</v>
      </c>
      <c r="H17" s="693">
        <v>0</v>
      </c>
      <c r="I17" s="693">
        <v>4.0706682719999993E-3</v>
      </c>
      <c r="J17" s="693">
        <v>0</v>
      </c>
      <c r="K17" s="693">
        <v>0</v>
      </c>
      <c r="L17" s="693">
        <v>1.655035546483799E-2</v>
      </c>
      <c r="M17" s="693">
        <v>0</v>
      </c>
      <c r="N17" s="693">
        <v>0</v>
      </c>
      <c r="O17" s="693">
        <v>0</v>
      </c>
      <c r="P17" s="693">
        <v>1.27075E-2</v>
      </c>
      <c r="Q17" s="693">
        <v>0</v>
      </c>
      <c r="R17" s="685">
        <v>3.3328523736837992E-2</v>
      </c>
      <c r="S17" s="693">
        <v>0.76664778977263959</v>
      </c>
      <c r="T17" s="693">
        <v>0</v>
      </c>
      <c r="U17" s="693">
        <v>0</v>
      </c>
      <c r="V17" s="694">
        <v>0.76664778977263959</v>
      </c>
      <c r="W17" s="685">
        <v>0.97196811350947787</v>
      </c>
      <c r="X17" s="815">
        <v>0</v>
      </c>
      <c r="Y17" s="693">
        <v>0</v>
      </c>
      <c r="Z17" s="693">
        <v>0.52592273780566945</v>
      </c>
      <c r="AA17" s="686">
        <v>0</v>
      </c>
      <c r="AB17" s="686">
        <v>0</v>
      </c>
      <c r="AC17" s="685">
        <v>1.4978908513151472</v>
      </c>
    </row>
    <row r="18" spans="1:31">
      <c r="A18" s="5"/>
      <c r="B18" s="6" t="s">
        <v>35</v>
      </c>
      <c r="C18" s="693">
        <v>0</v>
      </c>
      <c r="D18" s="693">
        <v>0</v>
      </c>
      <c r="E18" s="693">
        <v>0</v>
      </c>
      <c r="F18" s="685">
        <v>0</v>
      </c>
      <c r="G18" s="693">
        <v>0</v>
      </c>
      <c r="H18" s="693">
        <v>0</v>
      </c>
      <c r="I18" s="693">
        <v>2.8441048786604473E-2</v>
      </c>
      <c r="J18" s="693">
        <v>2.0746660170000001E-3</v>
      </c>
      <c r="K18" s="693">
        <v>0</v>
      </c>
      <c r="L18" s="693">
        <v>0.30307572149346157</v>
      </c>
      <c r="M18" s="693">
        <v>0</v>
      </c>
      <c r="N18" s="693">
        <v>0</v>
      </c>
      <c r="O18" s="693">
        <v>0</v>
      </c>
      <c r="P18" s="693">
        <v>0</v>
      </c>
      <c r="Q18" s="693">
        <v>0</v>
      </c>
      <c r="R18" s="685">
        <v>0.33359143629706606</v>
      </c>
      <c r="S18" s="693">
        <v>3.9223249566109164</v>
      </c>
      <c r="T18" s="693">
        <v>0</v>
      </c>
      <c r="U18" s="693">
        <v>0</v>
      </c>
      <c r="V18" s="694">
        <v>3.9223249566109164</v>
      </c>
      <c r="W18" s="685">
        <v>4.2559163929079826</v>
      </c>
      <c r="X18" s="815">
        <v>1.9544110000000001E-3</v>
      </c>
      <c r="Y18" s="693">
        <v>8.2017592209773588E-2</v>
      </c>
      <c r="Z18" s="693">
        <v>5.1282003857259859</v>
      </c>
      <c r="AA18" s="686">
        <v>0</v>
      </c>
      <c r="AB18" s="686">
        <v>0</v>
      </c>
      <c r="AC18" s="685">
        <v>9.4680887818437416</v>
      </c>
    </row>
    <row r="19" spans="1:31">
      <c r="A19" s="5"/>
      <c r="B19" s="6" t="s">
        <v>32</v>
      </c>
      <c r="C19" s="693">
        <v>0</v>
      </c>
      <c r="D19" s="693">
        <v>0</v>
      </c>
      <c r="E19" s="693">
        <v>0</v>
      </c>
      <c r="F19" s="685">
        <v>0</v>
      </c>
      <c r="G19" s="693">
        <v>0</v>
      </c>
      <c r="H19" s="693">
        <v>0</v>
      </c>
      <c r="I19" s="693">
        <v>4.255971357976579E-2</v>
      </c>
      <c r="J19" s="693">
        <v>0.11649799147168066</v>
      </c>
      <c r="K19" s="693">
        <v>0</v>
      </c>
      <c r="L19" s="693">
        <v>6.8328059797050784</v>
      </c>
      <c r="M19" s="693">
        <v>0</v>
      </c>
      <c r="N19" s="693">
        <v>1.3898261679916136E-2</v>
      </c>
      <c r="O19" s="693">
        <v>0</v>
      </c>
      <c r="P19" s="693">
        <v>0</v>
      </c>
      <c r="Q19" s="693">
        <v>0</v>
      </c>
      <c r="R19" s="685">
        <v>7.0057619464364409</v>
      </c>
      <c r="S19" s="693">
        <v>3.2447213286626191</v>
      </c>
      <c r="T19" s="693">
        <v>0</v>
      </c>
      <c r="U19" s="693">
        <v>0</v>
      </c>
      <c r="V19" s="694">
        <v>3.2447213286626191</v>
      </c>
      <c r="W19" s="685">
        <v>10.250483275099061</v>
      </c>
      <c r="X19" s="815">
        <v>0</v>
      </c>
      <c r="Y19" s="693">
        <v>0.43550216882809978</v>
      </c>
      <c r="Z19" s="693">
        <v>6.7594106953269364</v>
      </c>
      <c r="AA19" s="686">
        <v>0</v>
      </c>
      <c r="AB19" s="686">
        <v>0</v>
      </c>
      <c r="AC19" s="685">
        <v>17.445396139254097</v>
      </c>
    </row>
    <row r="20" spans="1:31">
      <c r="A20" s="5"/>
      <c r="B20" s="6" t="s">
        <v>40</v>
      </c>
      <c r="C20" s="693">
        <v>0</v>
      </c>
      <c r="D20" s="693">
        <v>0</v>
      </c>
      <c r="E20" s="693">
        <v>0</v>
      </c>
      <c r="F20" s="685">
        <v>0</v>
      </c>
      <c r="G20" s="693">
        <v>0</v>
      </c>
      <c r="H20" s="693">
        <v>0</v>
      </c>
      <c r="I20" s="693">
        <v>2.632323939811505E-2</v>
      </c>
      <c r="J20" s="693">
        <v>0</v>
      </c>
      <c r="K20" s="693">
        <v>0</v>
      </c>
      <c r="L20" s="693">
        <v>0.37541189239913153</v>
      </c>
      <c r="M20" s="693">
        <v>1.154568E-4</v>
      </c>
      <c r="N20" s="693">
        <v>2.8021130000000002E-2</v>
      </c>
      <c r="O20" s="693">
        <v>0</v>
      </c>
      <c r="P20" s="693">
        <v>0</v>
      </c>
      <c r="Q20" s="693">
        <v>0</v>
      </c>
      <c r="R20" s="685">
        <v>0.4298717185972466</v>
      </c>
      <c r="S20" s="693">
        <v>11.718808542681021</v>
      </c>
      <c r="T20" s="693">
        <v>0</v>
      </c>
      <c r="U20" s="693">
        <v>0</v>
      </c>
      <c r="V20" s="694">
        <v>11.718808542681021</v>
      </c>
      <c r="W20" s="685">
        <v>12.148680261278267</v>
      </c>
      <c r="X20" s="815">
        <v>0</v>
      </c>
      <c r="Y20" s="693">
        <v>0.65303435483502248</v>
      </c>
      <c r="Z20" s="693">
        <v>9.9347562886670922</v>
      </c>
      <c r="AA20" s="686">
        <v>0</v>
      </c>
      <c r="AB20" s="686">
        <v>0</v>
      </c>
      <c r="AC20" s="685">
        <v>22.736470904780383</v>
      </c>
    </row>
    <row r="21" spans="1:31">
      <c r="A21" s="5"/>
      <c r="B21" s="6" t="s">
        <v>39</v>
      </c>
      <c r="C21" s="693">
        <v>0</v>
      </c>
      <c r="D21" s="693">
        <v>0</v>
      </c>
      <c r="E21" s="693">
        <v>0</v>
      </c>
      <c r="F21" s="685">
        <v>0</v>
      </c>
      <c r="G21" s="693">
        <v>0</v>
      </c>
      <c r="H21" s="693">
        <v>0</v>
      </c>
      <c r="I21" s="693">
        <v>2.655633465389351E-2</v>
      </c>
      <c r="J21" s="693">
        <v>0</v>
      </c>
      <c r="K21" s="693">
        <v>0</v>
      </c>
      <c r="L21" s="693">
        <v>7.9766297011415729E-2</v>
      </c>
      <c r="M21" s="693">
        <v>0</v>
      </c>
      <c r="N21" s="693">
        <v>0</v>
      </c>
      <c r="O21" s="693">
        <v>0</v>
      </c>
      <c r="P21" s="693">
        <v>0</v>
      </c>
      <c r="Q21" s="693">
        <v>0</v>
      </c>
      <c r="R21" s="685">
        <v>0.10632263166530924</v>
      </c>
      <c r="S21" s="693">
        <v>1.3283652697551664</v>
      </c>
      <c r="T21" s="693">
        <v>0</v>
      </c>
      <c r="U21" s="693">
        <v>0</v>
      </c>
      <c r="V21" s="694">
        <v>1.3283652697551664</v>
      </c>
      <c r="W21" s="685">
        <v>1.4346879014204756</v>
      </c>
      <c r="X21" s="815">
        <v>0</v>
      </c>
      <c r="Y21" s="693">
        <v>2.4939E-4</v>
      </c>
      <c r="Z21" s="693">
        <v>2.0023529246795309</v>
      </c>
      <c r="AA21" s="686">
        <v>0</v>
      </c>
      <c r="AB21" s="686">
        <v>0</v>
      </c>
      <c r="AC21" s="685">
        <v>3.4372902161000063</v>
      </c>
    </row>
    <row r="22" spans="1:31">
      <c r="A22" s="5"/>
      <c r="B22" s="6" t="s">
        <v>36</v>
      </c>
      <c r="C22" s="693">
        <v>0</v>
      </c>
      <c r="D22" s="693">
        <v>3.0970000000000053E-2</v>
      </c>
      <c r="E22" s="693">
        <v>0</v>
      </c>
      <c r="F22" s="685">
        <v>3.0970000000000053E-2</v>
      </c>
      <c r="G22" s="693">
        <v>0</v>
      </c>
      <c r="H22" s="693">
        <v>0</v>
      </c>
      <c r="I22" s="693">
        <v>1.169449195914E-2</v>
      </c>
      <c r="J22" s="693">
        <v>0</v>
      </c>
      <c r="K22" s="693">
        <v>0</v>
      </c>
      <c r="L22" s="693">
        <v>0.17830921956271434</v>
      </c>
      <c r="M22" s="693">
        <v>0</v>
      </c>
      <c r="N22" s="693">
        <v>0</v>
      </c>
      <c r="O22" s="693">
        <v>0</v>
      </c>
      <c r="P22" s="693">
        <v>0</v>
      </c>
      <c r="Q22" s="693">
        <v>0</v>
      </c>
      <c r="R22" s="685">
        <v>0.19000371152185433</v>
      </c>
      <c r="S22" s="693">
        <v>1.5923313215099419</v>
      </c>
      <c r="T22" s="693">
        <v>0</v>
      </c>
      <c r="U22" s="693">
        <v>0</v>
      </c>
      <c r="V22" s="694">
        <v>1.5923313215099419</v>
      </c>
      <c r="W22" s="685">
        <v>1.8133050330317961</v>
      </c>
      <c r="X22" s="815">
        <v>0</v>
      </c>
      <c r="Y22" s="693">
        <v>0.60024467363958756</v>
      </c>
      <c r="Z22" s="693">
        <v>1.3856896900246969</v>
      </c>
      <c r="AA22" s="686">
        <v>0</v>
      </c>
      <c r="AB22" s="686">
        <v>0</v>
      </c>
      <c r="AC22" s="685">
        <v>3.7992393966960805</v>
      </c>
    </row>
    <row r="23" spans="1:31">
      <c r="A23" s="5"/>
      <c r="B23" s="6" t="s">
        <v>38</v>
      </c>
      <c r="C23" s="693">
        <v>0</v>
      </c>
      <c r="D23" s="693">
        <v>0</v>
      </c>
      <c r="E23" s="693">
        <v>0</v>
      </c>
      <c r="F23" s="685">
        <v>0</v>
      </c>
      <c r="G23" s="693">
        <v>0</v>
      </c>
      <c r="H23" s="693">
        <v>0</v>
      </c>
      <c r="I23" s="693">
        <v>0</v>
      </c>
      <c r="J23" s="693">
        <v>0</v>
      </c>
      <c r="K23" s="693">
        <v>0</v>
      </c>
      <c r="L23" s="693">
        <v>5.7737807999999995E-3</v>
      </c>
      <c r="M23" s="693">
        <v>0</v>
      </c>
      <c r="N23" s="693">
        <v>0</v>
      </c>
      <c r="O23" s="693">
        <v>0</v>
      </c>
      <c r="P23" s="693">
        <v>0</v>
      </c>
      <c r="Q23" s="693">
        <v>0</v>
      </c>
      <c r="R23" s="685">
        <v>5.7737807999999995E-3</v>
      </c>
      <c r="S23" s="693">
        <v>0.44549977106927496</v>
      </c>
      <c r="T23" s="693">
        <v>0</v>
      </c>
      <c r="U23" s="693">
        <v>0</v>
      </c>
      <c r="V23" s="694">
        <v>0.44549977106927496</v>
      </c>
      <c r="W23" s="685">
        <v>0.45127355186927498</v>
      </c>
      <c r="X23" s="815">
        <v>0</v>
      </c>
      <c r="Y23" s="693">
        <v>-1.5098384764655748E-9</v>
      </c>
      <c r="Z23" s="693">
        <v>0.59854880328642279</v>
      </c>
      <c r="AA23" s="686">
        <v>0</v>
      </c>
      <c r="AB23" s="686">
        <v>0</v>
      </c>
      <c r="AC23" s="685">
        <v>1.0498223536458593</v>
      </c>
    </row>
    <row r="24" spans="1:31">
      <c r="A24" s="203"/>
      <c r="B24" s="201" t="s">
        <v>33</v>
      </c>
      <c r="C24" s="693">
        <v>0</v>
      </c>
      <c r="D24" s="693">
        <v>0</v>
      </c>
      <c r="E24" s="693">
        <v>0</v>
      </c>
      <c r="F24" s="685">
        <v>0</v>
      </c>
      <c r="G24" s="693">
        <v>0</v>
      </c>
      <c r="H24" s="693">
        <v>0</v>
      </c>
      <c r="I24" s="693">
        <v>2.6606193011830004</v>
      </c>
      <c r="J24" s="693">
        <v>0</v>
      </c>
      <c r="K24" s="693">
        <v>0</v>
      </c>
      <c r="L24" s="693">
        <v>7.484374605395594E-2</v>
      </c>
      <c r="M24" s="693">
        <v>0</v>
      </c>
      <c r="N24" s="693">
        <v>0.41919040000000002</v>
      </c>
      <c r="O24" s="693">
        <v>0</v>
      </c>
      <c r="P24" s="693">
        <v>0</v>
      </c>
      <c r="Q24" s="693">
        <v>0</v>
      </c>
      <c r="R24" s="685">
        <v>3.1546534472369565</v>
      </c>
      <c r="S24" s="693">
        <v>4.812225907301162</v>
      </c>
      <c r="T24" s="693">
        <v>0</v>
      </c>
      <c r="U24" s="693">
        <v>0</v>
      </c>
      <c r="V24" s="694">
        <v>4.812225907301162</v>
      </c>
      <c r="W24" s="685">
        <v>7.9668793545381185</v>
      </c>
      <c r="X24" s="815">
        <v>4.4666370000001621E-2</v>
      </c>
      <c r="Y24" s="693">
        <v>7.293000192133553E-3</v>
      </c>
      <c r="Z24" s="693">
        <v>10.669243960460147</v>
      </c>
      <c r="AA24" s="686">
        <v>0</v>
      </c>
      <c r="AB24" s="686">
        <v>0</v>
      </c>
      <c r="AC24" s="685">
        <v>18.688082685190402</v>
      </c>
    </row>
    <row r="25" spans="1:31" s="10" customFormat="1">
      <c r="A25" s="1017" t="s">
        <v>503</v>
      </c>
      <c r="B25" s="1006"/>
      <c r="C25" s="1018">
        <f>SUM(C27:C32)</f>
        <v>0</v>
      </c>
      <c r="D25" s="1018">
        <f t="shared" ref="D25:E25" si="0">SUM(D27:D32)</f>
        <v>0.26246834190301005</v>
      </c>
      <c r="E25" s="1018">
        <f t="shared" si="0"/>
        <v>0</v>
      </c>
      <c r="F25" s="1019">
        <f>SUM(F27:F32)</f>
        <v>0.26246834190301005</v>
      </c>
      <c r="G25" s="1020">
        <f>SUM(G27:G32)</f>
        <v>0</v>
      </c>
      <c r="H25" s="1020">
        <f t="shared" ref="H25:Q25" si="1">SUM(H27:H32)</f>
        <v>0</v>
      </c>
      <c r="I25" s="1020">
        <f t="shared" si="1"/>
        <v>8.1519789142217997E-2</v>
      </c>
      <c r="J25" s="1020">
        <f t="shared" si="1"/>
        <v>8.8623811229192981E-2</v>
      </c>
      <c r="K25" s="1020">
        <f t="shared" si="1"/>
        <v>0</v>
      </c>
      <c r="L25" s="1020">
        <f t="shared" si="1"/>
        <v>8.0349777821273776</v>
      </c>
      <c r="M25" s="1020">
        <f t="shared" si="1"/>
        <v>0.21168757214451403</v>
      </c>
      <c r="N25" s="1020">
        <f t="shared" si="1"/>
        <v>0.21765103860692897</v>
      </c>
      <c r="O25" s="1020">
        <f t="shared" si="1"/>
        <v>0</v>
      </c>
      <c r="P25" s="1020">
        <f t="shared" si="1"/>
        <v>0</v>
      </c>
      <c r="Q25" s="1020">
        <f t="shared" si="1"/>
        <v>0</v>
      </c>
      <c r="R25" s="1019">
        <f>SUM(R27:R32)</f>
        <v>8.6344599932502319</v>
      </c>
      <c r="S25" s="1020">
        <f>SUM(S27:S32)</f>
        <v>20.181983418999994</v>
      </c>
      <c r="T25" s="1020">
        <f t="shared" ref="T25:U25" si="2">SUM(T27:T32)</f>
        <v>0</v>
      </c>
      <c r="U25" s="1020">
        <f t="shared" si="2"/>
        <v>0</v>
      </c>
      <c r="V25" s="1019">
        <f>SUM(V27:V32)</f>
        <v>20.181983418999994</v>
      </c>
      <c r="W25" s="1019">
        <f>SUM(W27:W32)</f>
        <v>29.078911754153236</v>
      </c>
      <c r="X25" s="1018">
        <f>SUM(X27:X32)</f>
        <v>2.7709984800000005E-3</v>
      </c>
      <c r="Y25" s="1020">
        <f>SUM(Y27:Y32)</f>
        <v>1.9929446175436343</v>
      </c>
      <c r="Z25" s="1020">
        <f>SUM(Z27:Z32)</f>
        <v>-4.6583111313351404</v>
      </c>
      <c r="AA25" s="1018">
        <v>4.3734596799999997E-2</v>
      </c>
      <c r="AB25" s="1018">
        <v>0</v>
      </c>
      <c r="AC25" s="1019">
        <f>SUM(W25:AB25)</f>
        <v>26.460050835641731</v>
      </c>
      <c r="AE25" s="1007"/>
    </row>
    <row r="26" spans="1:31">
      <c r="A26" s="5"/>
      <c r="B26" s="125"/>
      <c r="C26" s="695"/>
      <c r="D26" s="696"/>
      <c r="E26" s="695"/>
      <c r="F26" s="685"/>
      <c r="G26" s="696"/>
      <c r="H26" s="696"/>
      <c r="I26" s="696"/>
      <c r="J26" s="696"/>
      <c r="K26" s="696"/>
      <c r="L26" s="696"/>
      <c r="M26" s="696"/>
      <c r="N26" s="696"/>
      <c r="O26" s="696"/>
      <c r="P26" s="696"/>
      <c r="Q26" s="696"/>
      <c r="R26" s="685"/>
      <c r="S26" s="696"/>
      <c r="T26" s="695"/>
      <c r="U26" s="695"/>
      <c r="V26" s="685"/>
      <c r="W26" s="685"/>
      <c r="X26" s="695"/>
      <c r="Y26" s="699"/>
      <c r="Z26" s="1023">
        <v>2.0828231819999998</v>
      </c>
      <c r="AA26" s="700"/>
      <c r="AB26" s="697"/>
      <c r="AC26" s="698"/>
      <c r="AE26" s="38"/>
    </row>
    <row r="27" spans="1:31">
      <c r="A27" s="3"/>
      <c r="B27" s="1021" t="s">
        <v>144</v>
      </c>
      <c r="C27" s="684">
        <v>0</v>
      </c>
      <c r="D27" s="684">
        <v>0</v>
      </c>
      <c r="E27" s="684">
        <v>0</v>
      </c>
      <c r="F27" s="685">
        <v>0</v>
      </c>
      <c r="G27" s="684">
        <v>0</v>
      </c>
      <c r="H27" s="684">
        <v>0</v>
      </c>
      <c r="I27" s="684">
        <v>6.4763461730160995E-2</v>
      </c>
      <c r="J27" s="684">
        <v>2.0276608458966233E-3</v>
      </c>
      <c r="K27" s="684">
        <v>0</v>
      </c>
      <c r="L27" s="684">
        <v>4.4390942023533881</v>
      </c>
      <c r="M27" s="684">
        <v>0.17178195943747424</v>
      </c>
      <c r="N27" s="684">
        <v>0</v>
      </c>
      <c r="O27" s="684">
        <v>0</v>
      </c>
      <c r="P27" s="684">
        <v>0</v>
      </c>
      <c r="Q27" s="684">
        <v>0</v>
      </c>
      <c r="R27" s="685">
        <v>4.6776672843669207</v>
      </c>
      <c r="S27" s="684">
        <v>0.28303315040382698</v>
      </c>
      <c r="T27" s="684">
        <v>0</v>
      </c>
      <c r="U27" s="684">
        <v>0</v>
      </c>
      <c r="V27" s="685">
        <v>0.28303315040382698</v>
      </c>
      <c r="W27" s="685">
        <v>4.9607004347707475</v>
      </c>
      <c r="X27" s="684">
        <v>2.7709984800000005E-3</v>
      </c>
      <c r="Y27" s="684">
        <v>0.89848380178185816</v>
      </c>
      <c r="Z27" s="684">
        <v>1.0441337738924408</v>
      </c>
      <c r="AA27" s="686">
        <v>0</v>
      </c>
      <c r="AB27" s="686">
        <v>0</v>
      </c>
      <c r="AC27" s="685">
        <v>6.9060890089250471</v>
      </c>
    </row>
    <row r="28" spans="1:31">
      <c r="A28" s="3"/>
      <c r="B28" s="1021" t="s">
        <v>145</v>
      </c>
      <c r="C28" s="684">
        <v>0</v>
      </c>
      <c r="D28" s="684">
        <v>4.1613588175929707E-4</v>
      </c>
      <c r="E28" s="684">
        <v>0</v>
      </c>
      <c r="F28" s="685">
        <v>4.1613588175929707E-4</v>
      </c>
      <c r="G28" s="684">
        <v>0</v>
      </c>
      <c r="H28" s="684">
        <v>0</v>
      </c>
      <c r="I28" s="684">
        <v>4.0718183164919998E-3</v>
      </c>
      <c r="J28" s="684">
        <v>1.1598967647756925E-3</v>
      </c>
      <c r="K28" s="684">
        <v>0</v>
      </c>
      <c r="L28" s="684">
        <v>2.4658252116884296</v>
      </c>
      <c r="M28" s="684">
        <v>6.0141231939906522E-3</v>
      </c>
      <c r="N28" s="684">
        <v>0</v>
      </c>
      <c r="O28" s="684">
        <v>0</v>
      </c>
      <c r="P28" s="684">
        <v>0</v>
      </c>
      <c r="Q28" s="684">
        <v>0</v>
      </c>
      <c r="R28" s="685">
        <v>2.4770710499636879</v>
      </c>
      <c r="S28" s="684">
        <v>3.606276565137E-3</v>
      </c>
      <c r="T28" s="684">
        <v>0</v>
      </c>
      <c r="U28" s="684">
        <v>0</v>
      </c>
      <c r="V28" s="685">
        <v>3.606276565137E-3</v>
      </c>
      <c r="W28" s="685">
        <v>2.481093462410584</v>
      </c>
      <c r="X28" s="684">
        <v>0</v>
      </c>
      <c r="Y28" s="684">
        <v>0.97324895535121003</v>
      </c>
      <c r="Z28" s="684">
        <v>0.27683704876918158</v>
      </c>
      <c r="AA28" s="686">
        <v>0</v>
      </c>
      <c r="AB28" s="686">
        <v>0</v>
      </c>
      <c r="AC28" s="685">
        <v>3.7311794665309757</v>
      </c>
    </row>
    <row r="29" spans="1:31">
      <c r="A29" s="3"/>
      <c r="B29" s="1021" t="s">
        <v>146</v>
      </c>
      <c r="C29" s="684">
        <v>0</v>
      </c>
      <c r="D29" s="684">
        <v>0.18368748715298</v>
      </c>
      <c r="E29" s="684">
        <v>0</v>
      </c>
      <c r="F29" s="685">
        <v>0.18368748715298</v>
      </c>
      <c r="G29" s="684">
        <v>0</v>
      </c>
      <c r="H29" s="684">
        <v>0</v>
      </c>
      <c r="I29" s="684">
        <v>4.3119975045750004E-3</v>
      </c>
      <c r="J29" s="684">
        <v>4.6037929125593343E-3</v>
      </c>
      <c r="K29" s="684">
        <v>0</v>
      </c>
      <c r="L29" s="684">
        <v>0.38271678245988594</v>
      </c>
      <c r="M29" s="684">
        <v>3.2144566370570289E-2</v>
      </c>
      <c r="N29" s="684">
        <v>0.18002572337075792</v>
      </c>
      <c r="O29" s="684">
        <v>0</v>
      </c>
      <c r="P29" s="684">
        <v>0</v>
      </c>
      <c r="Q29" s="684">
        <v>0</v>
      </c>
      <c r="R29" s="685">
        <v>0.60380286261834848</v>
      </c>
      <c r="S29" s="684">
        <v>19.614363078557766</v>
      </c>
      <c r="T29" s="684">
        <v>0</v>
      </c>
      <c r="U29" s="684">
        <v>0</v>
      </c>
      <c r="V29" s="685">
        <v>19.614363078557766</v>
      </c>
      <c r="W29" s="685">
        <v>20.401853428329094</v>
      </c>
      <c r="X29" s="684">
        <v>0</v>
      </c>
      <c r="Y29" s="684">
        <v>0.11937306273056598</v>
      </c>
      <c r="Z29" s="684">
        <v>-6.5178353743281141</v>
      </c>
      <c r="AA29" s="686">
        <v>0</v>
      </c>
      <c r="AB29" s="686">
        <v>0</v>
      </c>
      <c r="AC29" s="685">
        <v>14.003391116731546</v>
      </c>
    </row>
    <row r="30" spans="1:31">
      <c r="A30" s="3"/>
      <c r="B30" s="1021" t="s">
        <v>147</v>
      </c>
      <c r="C30" s="684">
        <v>0</v>
      </c>
      <c r="D30" s="684">
        <v>7.8364718868270747E-2</v>
      </c>
      <c r="E30" s="684">
        <v>0</v>
      </c>
      <c r="F30" s="685">
        <v>7.8364718868270747E-2</v>
      </c>
      <c r="G30" s="684">
        <v>0</v>
      </c>
      <c r="H30" s="684">
        <v>0</v>
      </c>
      <c r="I30" s="684">
        <v>8.3706139622899984E-3</v>
      </c>
      <c r="J30" s="684">
        <v>7.7730103714973376E-3</v>
      </c>
      <c r="K30" s="684">
        <v>0</v>
      </c>
      <c r="L30" s="684">
        <v>0.73775837763257801</v>
      </c>
      <c r="M30" s="684">
        <v>1.7469231424788677E-3</v>
      </c>
      <c r="N30" s="684">
        <v>3.7625315236171054E-2</v>
      </c>
      <c r="O30" s="684">
        <v>0</v>
      </c>
      <c r="P30" s="684">
        <v>0</v>
      </c>
      <c r="Q30" s="684">
        <v>0</v>
      </c>
      <c r="R30" s="685">
        <v>0.79327424034501526</v>
      </c>
      <c r="S30" s="684">
        <v>0.28098091347326604</v>
      </c>
      <c r="T30" s="684">
        <v>0</v>
      </c>
      <c r="U30" s="684">
        <v>0</v>
      </c>
      <c r="V30" s="685">
        <v>0.28098091347326604</v>
      </c>
      <c r="W30" s="685">
        <v>1.152619872686552</v>
      </c>
      <c r="X30" s="684">
        <v>0</v>
      </c>
      <c r="Y30" s="684">
        <v>1.83879768E-3</v>
      </c>
      <c r="Z30" s="684">
        <v>0.53851559203535182</v>
      </c>
      <c r="AA30" s="686">
        <v>0</v>
      </c>
      <c r="AB30" s="686">
        <v>0</v>
      </c>
      <c r="AC30" s="685">
        <v>1.6929742624019037</v>
      </c>
    </row>
    <row r="31" spans="1:31">
      <c r="A31" s="3"/>
      <c r="B31" s="1021" t="s">
        <v>148</v>
      </c>
      <c r="C31" s="684">
        <v>0</v>
      </c>
      <c r="D31" s="684">
        <v>0</v>
      </c>
      <c r="E31" s="684">
        <v>0</v>
      </c>
      <c r="F31" s="685">
        <v>0</v>
      </c>
      <c r="G31" s="684">
        <v>0</v>
      </c>
      <c r="H31" s="684">
        <v>0</v>
      </c>
      <c r="I31" s="684">
        <v>1.8976287E-6</v>
      </c>
      <c r="J31" s="684">
        <v>7.0887370403640002E-2</v>
      </c>
      <c r="K31" s="684">
        <v>0</v>
      </c>
      <c r="L31" s="684">
        <v>7.0931198643449994E-3</v>
      </c>
      <c r="M31" s="684">
        <v>0</v>
      </c>
      <c r="N31" s="684">
        <v>0</v>
      </c>
      <c r="O31" s="684">
        <v>0</v>
      </c>
      <c r="P31" s="684">
        <v>0</v>
      </c>
      <c r="Q31" s="684">
        <v>0</v>
      </c>
      <c r="R31" s="685">
        <v>7.798238789668499E-2</v>
      </c>
      <c r="S31" s="684">
        <v>0</v>
      </c>
      <c r="T31" s="684">
        <v>0</v>
      </c>
      <c r="U31" s="684">
        <v>0</v>
      </c>
      <c r="V31" s="685">
        <v>0</v>
      </c>
      <c r="W31" s="685">
        <v>7.798238789668499E-2</v>
      </c>
      <c r="X31" s="684">
        <v>0</v>
      </c>
      <c r="Y31" s="684">
        <v>0</v>
      </c>
      <c r="Z31" s="684">
        <v>0</v>
      </c>
      <c r="AA31" s="686">
        <v>0</v>
      </c>
      <c r="AB31" s="686">
        <v>0</v>
      </c>
      <c r="AC31" s="685">
        <v>7.798238789668499E-2</v>
      </c>
    </row>
    <row r="32" spans="1:31">
      <c r="A32" s="4"/>
      <c r="B32" s="1022" t="s">
        <v>149</v>
      </c>
      <c r="C32" s="702">
        <v>0</v>
      </c>
      <c r="D32" s="702">
        <v>0</v>
      </c>
      <c r="E32" s="702">
        <v>0</v>
      </c>
      <c r="F32" s="701">
        <v>0</v>
      </c>
      <c r="G32" s="702">
        <v>0</v>
      </c>
      <c r="H32" s="702">
        <v>0</v>
      </c>
      <c r="I32" s="702">
        <v>0</v>
      </c>
      <c r="J32" s="702">
        <v>2.1720799308239998E-3</v>
      </c>
      <c r="K32" s="702">
        <v>0</v>
      </c>
      <c r="L32" s="702">
        <v>2.4900881287499999E-3</v>
      </c>
      <c r="M32" s="702">
        <v>0</v>
      </c>
      <c r="N32" s="702">
        <v>0</v>
      </c>
      <c r="O32" s="702">
        <v>0</v>
      </c>
      <c r="P32" s="702">
        <v>0</v>
      </c>
      <c r="Q32" s="702">
        <v>0</v>
      </c>
      <c r="R32" s="701">
        <v>4.6621680595739998E-3</v>
      </c>
      <c r="S32" s="702">
        <v>0</v>
      </c>
      <c r="T32" s="702">
        <v>0</v>
      </c>
      <c r="U32" s="702">
        <v>0</v>
      </c>
      <c r="V32" s="701">
        <v>0</v>
      </c>
      <c r="W32" s="701">
        <v>4.6621680595739998E-3</v>
      </c>
      <c r="X32" s="702">
        <v>0</v>
      </c>
      <c r="Y32" s="702">
        <v>0</v>
      </c>
      <c r="Z32" s="702">
        <v>3.7828296000000008E-5</v>
      </c>
      <c r="AA32" s="703">
        <v>0</v>
      </c>
      <c r="AB32" s="703">
        <v>0</v>
      </c>
      <c r="AC32" s="701">
        <v>4.6999963555739996E-3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E983F-2C76-4E59-B250-124A1B011657}">
  <sheetPr codeName="Sheet27">
    <tabColor theme="5" tint="-0.249977111117893"/>
  </sheetPr>
  <dimension ref="A1:C31"/>
  <sheetViews>
    <sheetView topLeftCell="A3" workbookViewId="0">
      <selection activeCell="C10" sqref="C10"/>
    </sheetView>
  </sheetViews>
  <sheetFormatPr defaultColWidth="8.85546875" defaultRowHeight="15"/>
  <cols>
    <col min="1" max="1" width="54" style="810" customWidth="1"/>
    <col min="2" max="2" width="69.85546875" style="810" customWidth="1"/>
    <col min="3" max="3" width="117.85546875" style="810" bestFit="1" customWidth="1"/>
    <col min="4" max="16384" width="8.85546875" style="810"/>
  </cols>
  <sheetData>
    <row r="1" spans="1:3" ht="15.75" thickBot="1"/>
    <row r="2" spans="1:3" s="11" customFormat="1" ht="60.75" customHeight="1" thickBot="1">
      <c r="A2" s="1157" t="s">
        <v>390</v>
      </c>
      <c r="B2" s="1158"/>
      <c r="C2" s="110"/>
    </row>
    <row r="3" spans="1:3" s="812" customFormat="1" ht="15.75">
      <c r="A3" s="97"/>
      <c r="B3" s="69"/>
      <c r="C3" s="98"/>
    </row>
    <row r="4" spans="1:3">
      <c r="A4" s="94" t="s">
        <v>315</v>
      </c>
      <c r="B4" s="68" t="s">
        <v>327</v>
      </c>
      <c r="C4" s="99" t="s">
        <v>326</v>
      </c>
    </row>
    <row r="5" spans="1:3">
      <c r="A5" s="111"/>
      <c r="B5" s="43"/>
      <c r="C5" s="95"/>
    </row>
    <row r="6" spans="1:3" s="11" customFormat="1" ht="30">
      <c r="A6" s="841" t="s">
        <v>473</v>
      </c>
      <c r="B6" s="127" t="s">
        <v>392</v>
      </c>
      <c r="C6" s="158" t="s">
        <v>635</v>
      </c>
    </row>
    <row r="7" spans="1:3" s="11" customFormat="1">
      <c r="A7" s="129"/>
      <c r="B7" s="130"/>
      <c r="C7" s="131"/>
    </row>
    <row r="8" spans="1:3" s="11" customFormat="1" ht="30">
      <c r="A8" s="841" t="s">
        <v>474</v>
      </c>
      <c r="B8" s="127" t="s">
        <v>392</v>
      </c>
      <c r="C8" s="158" t="s">
        <v>636</v>
      </c>
    </row>
    <row r="9" spans="1:3" s="11" customFormat="1">
      <c r="A9" s="129"/>
      <c r="B9" s="130"/>
      <c r="C9" s="131"/>
    </row>
    <row r="10" spans="1:3" s="11" customFormat="1" ht="30">
      <c r="A10" s="112" t="s">
        <v>174</v>
      </c>
      <c r="B10" s="127" t="s">
        <v>392</v>
      </c>
      <c r="C10" s="158" t="s">
        <v>767</v>
      </c>
    </row>
    <row r="11" spans="1:3" s="11" customFormat="1">
      <c r="A11" s="129"/>
      <c r="B11" s="130"/>
      <c r="C11" s="131"/>
    </row>
    <row r="12" spans="1:3" s="11" customFormat="1" ht="45">
      <c r="A12" s="112" t="s">
        <v>135</v>
      </c>
      <c r="B12" s="127" t="s">
        <v>392</v>
      </c>
      <c r="C12" s="280" t="s">
        <v>638</v>
      </c>
    </row>
    <row r="13" spans="1:3" s="11" customFormat="1">
      <c r="A13" s="129"/>
      <c r="B13" s="130"/>
      <c r="C13" s="131"/>
    </row>
    <row r="14" spans="1:3" s="11" customFormat="1" ht="45">
      <c r="A14" s="112" t="s">
        <v>136</v>
      </c>
      <c r="B14" s="127" t="s">
        <v>392</v>
      </c>
      <c r="C14" s="280" t="s">
        <v>769</v>
      </c>
    </row>
    <row r="15" spans="1:3" s="11" customFormat="1">
      <c r="A15" s="129"/>
      <c r="B15" s="130"/>
      <c r="C15" s="131"/>
    </row>
    <row r="16" spans="1:3" s="11" customFormat="1" ht="45">
      <c r="A16" s="112" t="s">
        <v>334</v>
      </c>
      <c r="B16" s="127" t="s">
        <v>392</v>
      </c>
      <c r="C16" s="280" t="s">
        <v>639</v>
      </c>
    </row>
    <row r="17" spans="1:3" s="11" customFormat="1">
      <c r="A17" s="129"/>
      <c r="B17" s="130"/>
      <c r="C17" s="131"/>
    </row>
    <row r="18" spans="1:3" s="11" customFormat="1" ht="45">
      <c r="A18" s="112" t="s">
        <v>92</v>
      </c>
      <c r="B18" s="127" t="s">
        <v>400</v>
      </c>
      <c r="C18" s="280" t="s">
        <v>639</v>
      </c>
    </row>
    <row r="19" spans="1:3" s="11" customFormat="1" ht="63">
      <c r="A19" s="122"/>
      <c r="B19" s="127" t="s">
        <v>401</v>
      </c>
      <c r="C19" s="280" t="s">
        <v>405</v>
      </c>
    </row>
    <row r="20" spans="1:3" s="11" customFormat="1">
      <c r="A20" s="129"/>
      <c r="B20" s="130"/>
      <c r="C20" s="131"/>
    </row>
    <row r="21" spans="1:3" s="11" customFormat="1" ht="45">
      <c r="A21" s="112" t="s">
        <v>391</v>
      </c>
      <c r="B21" s="127" t="s">
        <v>440</v>
      </c>
      <c r="C21" s="158" t="s">
        <v>441</v>
      </c>
    </row>
    <row r="22" spans="1:3" s="11" customFormat="1">
      <c r="A22" s="129"/>
      <c r="B22" s="130"/>
      <c r="C22" s="131"/>
    </row>
    <row r="23" spans="1:3" s="11" customFormat="1" ht="60">
      <c r="A23" s="112" t="s">
        <v>337</v>
      </c>
      <c r="B23" s="279" t="s">
        <v>768</v>
      </c>
      <c r="C23" s="158" t="s">
        <v>672</v>
      </c>
    </row>
    <row r="24" spans="1:3" s="11" customFormat="1">
      <c r="A24" s="112"/>
      <c r="B24" s="127"/>
      <c r="C24" s="128"/>
    </row>
    <row r="25" spans="1:3" ht="21">
      <c r="A25" s="124" t="s">
        <v>393</v>
      </c>
      <c r="B25" s="123"/>
      <c r="C25" s="121"/>
    </row>
    <row r="31" spans="1:3">
      <c r="B31" s="810" t="s">
        <v>209</v>
      </c>
    </row>
  </sheetData>
  <mergeCells count="1">
    <mergeCell ref="A2:B2"/>
  </mergeCells>
  <hyperlinks>
    <hyperlink ref="A10" location="'openbare verlichting'!A1" display="openbare verlichting" xr:uid="{161CFA55-9889-474F-80FE-CA4E70807ECB}"/>
    <hyperlink ref="A12" location="huishoudens!A1" display="huishoudens" xr:uid="{418EED93-65C2-4D38-8493-E0BEBD7C8DA6}"/>
    <hyperlink ref="A14" location="tertiair!A1" display="tertiair" xr:uid="{E5799406-E18D-48D1-AF08-5961CBCB894E}"/>
    <hyperlink ref="A16" location="industrie!A1" display="industrie" xr:uid="{C66E3C0A-9480-438A-9A1A-C23AA510BDF9}"/>
    <hyperlink ref="A18" location="landbouw!A1" display="landbouw" xr:uid="{AE3D3F0A-E98F-4E37-8696-9D600DEFA54E}"/>
    <hyperlink ref="A21" location="transport!A1" display="transport" xr:uid="{42E55BD4-EE82-446B-B695-CFD0B8091356}"/>
    <hyperlink ref="A23" location="'lokale energieproductie'!A1" display="lokale energieproductie" xr:uid="{AB34CA5B-ED44-4375-A383-8841807D8B4D}"/>
    <hyperlink ref="A8" location="'Eigen openbare verlichting'!A1" display="Eigen openbare verlichting" xr:uid="{CDBA2F1E-F65D-4E76-BDF5-A7CE8B05285D}"/>
    <hyperlink ref="A6" location="'Eigen gebouwen'!A1" display="Eigen gebouwen" xr:uid="{667534EA-E22B-4D29-B401-82ED9733C08E}"/>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5" tint="-0.249977111117893"/>
  </sheetPr>
  <dimension ref="A1:Q10"/>
  <sheetViews>
    <sheetView showGridLines="0" zoomScale="71" zoomScaleNormal="71" workbookViewId="0">
      <selection activeCell="F4" sqref="F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55.140625" style="384" customWidth="1"/>
    <col min="6" max="6" width="14.85546875" style="384" customWidth="1"/>
    <col min="7" max="7" width="8.5703125" style="384" bestFit="1" customWidth="1"/>
    <col min="8" max="8" width="10.8554687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35.7109375" style="384"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02"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outlineLevel="1">
      <c r="A4" s="16" t="s">
        <v>473</v>
      </c>
      <c r="B4" s="30">
        <f>kWh_eigengeb_elektriciteit/1000</f>
        <v>33.969866058711801</v>
      </c>
      <c r="C4" s="30">
        <f>kWh_eigengeb_warmtekoude/1000</f>
        <v>0</v>
      </c>
      <c r="D4" s="30">
        <f>kWh_eigengeb_aardgas/1000*0.903</f>
        <v>200.27585246886522</v>
      </c>
      <c r="E4" s="30">
        <f>kWh_eigengeb_vloeibaargas/1000</f>
        <v>0</v>
      </c>
      <c r="F4" s="30">
        <f>kWh_eigengeb_stookolie/1000</f>
        <v>0</v>
      </c>
      <c r="G4" s="30" t="s">
        <v>667</v>
      </c>
      <c r="H4" s="30" t="s">
        <v>667</v>
      </c>
      <c r="I4" s="30" t="s">
        <v>667</v>
      </c>
      <c r="J4" s="30" t="s">
        <v>667</v>
      </c>
      <c r="K4" s="30" t="s">
        <v>667</v>
      </c>
      <c r="L4" s="879" t="s">
        <v>668</v>
      </c>
      <c r="M4" s="30" t="s">
        <v>667</v>
      </c>
      <c r="N4" s="30" t="s">
        <v>667</v>
      </c>
      <c r="O4" s="30">
        <f>kWh_eigengeb_overigebiomassa/1000</f>
        <v>0</v>
      </c>
      <c r="P4" s="30" t="s">
        <v>637</v>
      </c>
      <c r="Q4" s="30" t="s">
        <v>637</v>
      </c>
    </row>
    <row r="5" spans="1:17" outlineLevel="1">
      <c r="B5" s="19"/>
      <c r="C5" s="19"/>
      <c r="D5" s="19"/>
      <c r="E5" s="19"/>
      <c r="F5" s="19"/>
      <c r="G5" s="19"/>
      <c r="H5" s="19"/>
      <c r="L5" s="19"/>
      <c r="M5" s="19"/>
      <c r="N5" s="19"/>
      <c r="O5" s="19"/>
      <c r="P5" s="19"/>
      <c r="Q5" s="19"/>
    </row>
    <row r="6" spans="1:17" s="393" customFormat="1" outlineLevel="1">
      <c r="A6" s="399" t="s">
        <v>261</v>
      </c>
      <c r="B6" s="21">
        <f>SUM(B4:B4)</f>
        <v>33.969866058711801</v>
      </c>
      <c r="C6" s="21">
        <f>SUM(C4:C4)</f>
        <v>0</v>
      </c>
      <c r="D6" s="21">
        <f>SUM(D4:D4)</f>
        <v>200.27585246886522</v>
      </c>
      <c r="E6" s="21">
        <f>SUM(E4:E4)</f>
        <v>0</v>
      </c>
      <c r="F6" s="21">
        <f>SUM(F4:F4)</f>
        <v>0</v>
      </c>
      <c r="G6" s="21" t="s">
        <v>667</v>
      </c>
      <c r="H6" s="21" t="s">
        <v>667</v>
      </c>
      <c r="I6" s="21" t="s">
        <v>667</v>
      </c>
      <c r="J6" s="21" t="s">
        <v>667</v>
      </c>
      <c r="K6" s="21">
        <f t="shared" ref="K6:O6" si="0">SUM(K4:K4)</f>
        <v>0</v>
      </c>
      <c r="L6" s="21" t="s">
        <v>668</v>
      </c>
      <c r="M6" s="21" t="s">
        <v>668</v>
      </c>
      <c r="N6" s="21">
        <f t="shared" si="0"/>
        <v>0</v>
      </c>
      <c r="O6" s="21">
        <f t="shared" si="0"/>
        <v>0</v>
      </c>
      <c r="P6" s="21" t="s">
        <v>637</v>
      </c>
      <c r="Q6" s="21" t="s">
        <v>637</v>
      </c>
    </row>
    <row r="7" spans="1:17" outlineLevel="1">
      <c r="B7" s="19"/>
      <c r="C7" s="19"/>
      <c r="D7" s="19"/>
      <c r="E7" s="19"/>
      <c r="F7" s="19"/>
      <c r="G7" s="19"/>
      <c r="H7" s="19"/>
      <c r="I7" s="19"/>
      <c r="J7" s="19"/>
      <c r="K7" s="19"/>
      <c r="L7" s="19"/>
      <c r="M7" s="19"/>
      <c r="N7" s="19"/>
      <c r="O7" s="19"/>
      <c r="P7" s="19"/>
      <c r="Q7" s="19"/>
    </row>
    <row r="8" spans="1:17" outlineLevel="1">
      <c r="A8" s="401" t="s">
        <v>477</v>
      </c>
      <c r="B8" s="917">
        <f>'EF ele_warmte'!B13</f>
        <v>0.17310560263580646</v>
      </c>
      <c r="C8" s="917">
        <f>'EF ele_warmte'!B23</f>
        <v>0</v>
      </c>
      <c r="D8" s="917">
        <f>EF_CO2_aardgas</f>
        <v>0.20200000000000001</v>
      </c>
      <c r="E8" s="917">
        <f>EF_VLgas_CO2</f>
        <v>0.22700000000000001</v>
      </c>
      <c r="F8" s="917">
        <f>EF_stookolie_CO2</f>
        <v>0.26700000000000002</v>
      </c>
      <c r="G8" s="917"/>
      <c r="H8" s="917"/>
      <c r="I8" s="917">
        <f>EF_bruinkool_CO2</f>
        <v>0.35099999999999998</v>
      </c>
      <c r="J8" s="917">
        <f>EF_steenkool_CO2</f>
        <v>0.35399999999999998</v>
      </c>
      <c r="K8" s="917">
        <f>EF_anderfossiel_CO2</f>
        <v>0.26400000000000001</v>
      </c>
      <c r="L8" s="918">
        <f>EF_biogas_CO2</f>
        <v>0</v>
      </c>
      <c r="M8" s="917">
        <f>'EF brandstof'!L4</f>
        <v>0</v>
      </c>
      <c r="N8" s="917">
        <f>'EF brandstof'!K4</f>
        <v>0</v>
      </c>
      <c r="O8" s="917">
        <f>'EF brandstof'!M4</f>
        <v>0</v>
      </c>
      <c r="P8" s="917">
        <v>0</v>
      </c>
      <c r="Q8" s="917">
        <v>0</v>
      </c>
    </row>
    <row r="9" spans="1:17" outlineLevel="1">
      <c r="B9" s="19"/>
      <c r="C9" s="19"/>
      <c r="D9" s="19"/>
      <c r="E9" s="19"/>
      <c r="F9" s="19"/>
      <c r="G9" s="19"/>
      <c r="H9" s="19"/>
      <c r="I9" s="19"/>
      <c r="J9" s="19"/>
      <c r="K9" s="19"/>
      <c r="L9" s="19"/>
      <c r="M9" s="19"/>
      <c r="N9" s="19"/>
      <c r="O9" s="19"/>
      <c r="P9" s="19"/>
      <c r="Q9" s="19"/>
    </row>
    <row r="10" spans="1:17" outlineLevel="1">
      <c r="A10" s="399" t="s">
        <v>193</v>
      </c>
      <c r="B10" s="23">
        <f>B6*B8</f>
        <v>5.8803741355509338</v>
      </c>
      <c r="C10" s="23">
        <f>C6*C8</f>
        <v>0</v>
      </c>
      <c r="D10" s="23">
        <f>D6*D8</f>
        <v>40.455722198710781</v>
      </c>
      <c r="E10" s="23">
        <f>E6*E8</f>
        <v>0</v>
      </c>
      <c r="F10" s="23">
        <f>F6*F8</f>
        <v>0</v>
      </c>
      <c r="G10" s="23" t="s">
        <v>667</v>
      </c>
      <c r="H10" s="23" t="s">
        <v>667</v>
      </c>
      <c r="I10" s="23" t="s">
        <v>667</v>
      </c>
      <c r="J10" s="23" t="s">
        <v>667</v>
      </c>
      <c r="K10" s="23" t="s">
        <v>667</v>
      </c>
      <c r="L10" s="23" t="s">
        <v>668</v>
      </c>
      <c r="M10" s="23" t="s">
        <v>667</v>
      </c>
      <c r="N10" s="23">
        <f t="shared" ref="N10:O10" si="1">N6*N8</f>
        <v>0</v>
      </c>
      <c r="O10" s="23">
        <f t="shared" si="1"/>
        <v>0</v>
      </c>
      <c r="P10" s="23" t="s">
        <v>637</v>
      </c>
      <c r="Q10" s="23" t="s">
        <v>637</v>
      </c>
    </row>
  </sheetData>
  <mergeCells count="6">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5" tint="-0.249977111117893"/>
  </sheetPr>
  <dimension ref="A1:Q10"/>
  <sheetViews>
    <sheetView showGridLines="0" zoomScaleNormal="100" workbookViewId="0">
      <selection activeCell="B4" sqref="B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40.5703125" style="384" customWidth="1"/>
    <col min="6" max="6" width="14.85546875" style="384" customWidth="1"/>
    <col min="7" max="7" width="6.5703125" style="384" bestFit="1" customWidth="1"/>
    <col min="8" max="8" width="8.14062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26.42578125" style="384" bestFit="1"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s="810" customFormat="1">
      <c r="A4" s="16" t="s">
        <v>474</v>
      </c>
      <c r="B4" s="30">
        <f>kWh_eigenov_elektriciteit/1000</f>
        <v>56.092999999999805</v>
      </c>
      <c r="C4" s="18" t="s">
        <v>667</v>
      </c>
      <c r="D4" s="18" t="s">
        <v>667</v>
      </c>
      <c r="E4" s="18" t="s">
        <v>667</v>
      </c>
      <c r="F4" s="18" t="s">
        <v>667</v>
      </c>
      <c r="G4" s="18" t="s">
        <v>667</v>
      </c>
      <c r="H4" s="18" t="s">
        <v>667</v>
      </c>
      <c r="I4" s="18" t="s">
        <v>667</v>
      </c>
      <c r="J4" s="18" t="s">
        <v>667</v>
      </c>
      <c r="K4" s="18" t="s">
        <v>667</v>
      </c>
      <c r="L4" s="18" t="s">
        <v>667</v>
      </c>
      <c r="M4" s="18" t="s">
        <v>667</v>
      </c>
      <c r="N4" s="18" t="s">
        <v>667</v>
      </c>
      <c r="O4" s="18" t="s">
        <v>667</v>
      </c>
      <c r="P4" s="18" t="s">
        <v>667</v>
      </c>
      <c r="Q4" s="18" t="s">
        <v>667</v>
      </c>
    </row>
    <row r="5" spans="1:17" outlineLevel="1">
      <c r="A5" s="397"/>
      <c r="B5" s="919"/>
      <c r="C5" s="403"/>
      <c r="D5" s="403"/>
      <c r="E5" s="403"/>
      <c r="F5" s="403"/>
      <c r="G5" s="403"/>
      <c r="H5" s="403"/>
      <c r="I5" s="403"/>
      <c r="J5" s="403"/>
      <c r="K5" s="403"/>
      <c r="L5" s="403"/>
      <c r="M5" s="403"/>
      <c r="N5" s="403"/>
      <c r="O5" s="403"/>
      <c r="P5" s="403"/>
      <c r="Q5" s="403"/>
    </row>
    <row r="6" spans="1:17" s="393" customFormat="1" outlineLevel="1">
      <c r="A6" s="399" t="s">
        <v>262</v>
      </c>
      <c r="B6" s="21">
        <f>SUM(B4:B4)</f>
        <v>56.092999999999805</v>
      </c>
      <c r="C6" s="916" t="s">
        <v>667</v>
      </c>
      <c r="D6" s="916" t="s">
        <v>667</v>
      </c>
      <c r="E6" s="916" t="s">
        <v>667</v>
      </c>
      <c r="F6" s="916" t="s">
        <v>667</v>
      </c>
      <c r="G6" s="916" t="s">
        <v>667</v>
      </c>
      <c r="H6" s="916" t="s">
        <v>667</v>
      </c>
      <c r="I6" s="916" t="s">
        <v>667</v>
      </c>
      <c r="J6" s="916" t="s">
        <v>667</v>
      </c>
      <c r="K6" s="916" t="s">
        <v>667</v>
      </c>
      <c r="L6" s="916" t="s">
        <v>667</v>
      </c>
      <c r="M6" s="916" t="s">
        <v>667</v>
      </c>
      <c r="N6" s="916" t="s">
        <v>667</v>
      </c>
      <c r="O6" s="916" t="s">
        <v>667</v>
      </c>
      <c r="P6" s="916" t="s">
        <v>667</v>
      </c>
      <c r="Q6" s="916" t="s">
        <v>667</v>
      </c>
    </row>
    <row r="7" spans="1:17" outlineLevel="1">
      <c r="B7" s="19"/>
      <c r="C7" s="19"/>
      <c r="D7" s="19"/>
      <c r="E7" s="19"/>
      <c r="F7" s="400"/>
      <c r="G7" s="400"/>
      <c r="H7" s="400"/>
      <c r="I7" s="400"/>
      <c r="J7" s="400"/>
      <c r="K7" s="400"/>
      <c r="L7" s="400"/>
      <c r="M7" s="400"/>
      <c r="N7" s="400"/>
      <c r="O7" s="400"/>
      <c r="P7" s="400"/>
      <c r="Q7" s="400"/>
    </row>
    <row r="8" spans="1:17" outlineLevel="1">
      <c r="A8" s="401" t="s">
        <v>477</v>
      </c>
      <c r="B8" s="917">
        <f>'EF ele_warmte'!B13</f>
        <v>0.17310560263580646</v>
      </c>
      <c r="C8" s="917"/>
      <c r="D8" s="917"/>
      <c r="E8" s="917"/>
      <c r="F8" s="917"/>
      <c r="G8" s="917"/>
      <c r="H8" s="917"/>
      <c r="I8" s="917"/>
      <c r="J8" s="917"/>
      <c r="K8" s="917"/>
      <c r="L8" s="918"/>
      <c r="M8" s="917"/>
      <c r="N8" s="917"/>
      <c r="O8" s="917"/>
      <c r="P8" s="917"/>
      <c r="Q8" s="917"/>
    </row>
    <row r="9" spans="1:17" outlineLevel="1">
      <c r="B9" s="19"/>
      <c r="C9" s="19"/>
      <c r="D9" s="19"/>
      <c r="E9" s="19"/>
      <c r="F9" s="19"/>
      <c r="G9" s="19"/>
      <c r="H9" s="19"/>
      <c r="I9" s="19"/>
      <c r="J9" s="19"/>
      <c r="K9" s="19"/>
      <c r="L9" s="19"/>
      <c r="M9" s="19"/>
      <c r="N9" s="19"/>
      <c r="O9" s="19"/>
      <c r="P9" s="19"/>
      <c r="Q9" s="19"/>
    </row>
    <row r="10" spans="1:17" outlineLevel="1">
      <c r="A10" s="399" t="s">
        <v>193</v>
      </c>
      <c r="B10" s="23">
        <f>B6*B8</f>
        <v>9.7100125686502583</v>
      </c>
      <c r="C10" s="23" t="s">
        <v>667</v>
      </c>
      <c r="D10" s="23" t="s">
        <v>667</v>
      </c>
      <c r="E10" s="23" t="s">
        <v>667</v>
      </c>
      <c r="F10" s="23" t="s">
        <v>667</v>
      </c>
      <c r="G10" s="23" t="s">
        <v>667</v>
      </c>
      <c r="H10" s="23" t="s">
        <v>667</v>
      </c>
      <c r="I10" s="23" t="s">
        <v>667</v>
      </c>
      <c r="J10" s="23" t="s">
        <v>667</v>
      </c>
      <c r="K10" s="23" t="s">
        <v>667</v>
      </c>
      <c r="L10" s="23" t="s">
        <v>667</v>
      </c>
      <c r="M10" s="23" t="s">
        <v>667</v>
      </c>
      <c r="N10" s="23" t="s">
        <v>667</v>
      </c>
      <c r="O10" s="23" t="s">
        <v>667</v>
      </c>
      <c r="P10" s="23" t="s">
        <v>667</v>
      </c>
      <c r="Q10" s="23" t="s">
        <v>667</v>
      </c>
    </row>
  </sheetData>
  <mergeCells count="6">
    <mergeCell ref="A1:A3"/>
    <mergeCell ref="B1:Q1"/>
    <mergeCell ref="B2:B3"/>
    <mergeCell ref="C2:C3"/>
    <mergeCell ref="D2:K2"/>
    <mergeCell ref="M2:Q2"/>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Q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8.140625" style="810" customWidth="1"/>
    <col min="13" max="13" width="16.28515625" customWidth="1"/>
    <col min="14" max="14" width="16.42578125" customWidth="1"/>
    <col min="15" max="15" width="18.140625" customWidth="1"/>
    <col min="16" max="16" width="14" customWidth="1"/>
    <col min="17" max="17" width="17.42578125" customWidth="1"/>
  </cols>
  <sheetData>
    <row r="1" spans="1:17" s="286" customFormat="1" ht="17.25" thickTop="1" thickBot="1">
      <c r="A1" s="1159" t="s">
        <v>174</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437</v>
      </c>
      <c r="B5" s="30">
        <f>SUM(OV_ov_ele_kWh,OV_rest_ele_kWh)/1000</f>
        <v>56.093000000000004</v>
      </c>
      <c r="C5" s="18" t="s">
        <v>667</v>
      </c>
      <c r="D5" s="18" t="s">
        <v>667</v>
      </c>
      <c r="E5" s="18" t="s">
        <v>667</v>
      </c>
      <c r="F5" s="18" t="s">
        <v>667</v>
      </c>
      <c r="G5" s="18" t="s">
        <v>667</v>
      </c>
      <c r="H5" s="18" t="s">
        <v>667</v>
      </c>
      <c r="I5" s="18" t="s">
        <v>667</v>
      </c>
      <c r="J5" s="18" t="s">
        <v>667</v>
      </c>
      <c r="K5" s="18" t="s">
        <v>667</v>
      </c>
      <c r="L5" s="18" t="s">
        <v>667</v>
      </c>
      <c r="M5" s="18" t="s">
        <v>667</v>
      </c>
      <c r="N5" s="18" t="s">
        <v>667</v>
      </c>
      <c r="O5" s="18" t="s">
        <v>667</v>
      </c>
      <c r="P5" s="18" t="s">
        <v>667</v>
      </c>
      <c r="Q5" s="18" t="s">
        <v>667</v>
      </c>
    </row>
    <row r="6" spans="1:17">
      <c r="A6" s="16" t="s">
        <v>438</v>
      </c>
      <c r="B6" s="30">
        <f>(IF(ISERROR('Eigen openbare verlichting'!B6),0,'Eigen openbare verlichting'!B4))*(-1)</f>
        <v>-56.092999999999805</v>
      </c>
      <c r="C6" s="18" t="s">
        <v>667</v>
      </c>
      <c r="D6" s="18" t="s">
        <v>667</v>
      </c>
      <c r="E6" s="18" t="s">
        <v>667</v>
      </c>
      <c r="F6" s="18" t="s">
        <v>667</v>
      </c>
      <c r="G6" s="18" t="s">
        <v>667</v>
      </c>
      <c r="H6" s="18" t="s">
        <v>667</v>
      </c>
      <c r="I6" s="18" t="s">
        <v>667</v>
      </c>
      <c r="J6" s="18" t="s">
        <v>667</v>
      </c>
      <c r="K6" s="18" t="s">
        <v>667</v>
      </c>
      <c r="L6" s="18" t="s">
        <v>667</v>
      </c>
      <c r="M6" s="18" t="s">
        <v>667</v>
      </c>
      <c r="N6" s="18" t="s">
        <v>667</v>
      </c>
      <c r="O6" s="18" t="s">
        <v>667</v>
      </c>
      <c r="P6" s="18" t="s">
        <v>667</v>
      </c>
      <c r="Q6" s="18" t="s">
        <v>667</v>
      </c>
    </row>
    <row r="7" spans="1:17">
      <c r="B7" s="19"/>
      <c r="C7" s="19"/>
      <c r="D7" s="19"/>
      <c r="E7" s="19"/>
      <c r="F7" s="19"/>
      <c r="G7" s="19"/>
      <c r="H7" s="19"/>
      <c r="I7" s="19"/>
      <c r="J7" s="19"/>
      <c r="K7" s="19"/>
      <c r="L7" s="19"/>
      <c r="M7" s="19"/>
      <c r="N7" s="19"/>
      <c r="O7" s="19"/>
      <c r="P7" s="19"/>
      <c r="Q7" s="19"/>
    </row>
    <row r="8" spans="1:17" s="8" customFormat="1">
      <c r="A8" s="20" t="s">
        <v>394</v>
      </c>
      <c r="B8" s="21">
        <f>MAX((B5+B6),0)</f>
        <v>1.9895196601282805E-13</v>
      </c>
      <c r="C8" s="21" t="s">
        <v>667</v>
      </c>
      <c r="D8" s="21" t="s">
        <v>667</v>
      </c>
      <c r="E8" s="21" t="s">
        <v>667</v>
      </c>
      <c r="F8" s="21" t="s">
        <v>667</v>
      </c>
      <c r="G8" s="21" t="s">
        <v>667</v>
      </c>
      <c r="H8" s="21" t="s">
        <v>667</v>
      </c>
      <c r="I8" s="21" t="s">
        <v>667</v>
      </c>
      <c r="J8" s="21" t="s">
        <v>667</v>
      </c>
      <c r="K8" s="21" t="s">
        <v>667</v>
      </c>
      <c r="L8" s="21" t="s">
        <v>667</v>
      </c>
      <c r="M8" s="21" t="s">
        <v>667</v>
      </c>
      <c r="N8" s="21" t="s">
        <v>667</v>
      </c>
      <c r="O8" s="21" t="s">
        <v>667</v>
      </c>
      <c r="P8" s="21" t="s">
        <v>667</v>
      </c>
      <c r="Q8" s="21" t="s">
        <v>667</v>
      </c>
    </row>
    <row r="9" spans="1:17">
      <c r="B9" s="19"/>
      <c r="C9" s="19"/>
      <c r="D9" s="19"/>
      <c r="E9" s="19"/>
      <c r="F9" s="19"/>
      <c r="G9" s="19"/>
      <c r="H9" s="19"/>
      <c r="I9" s="19"/>
      <c r="J9" s="19"/>
      <c r="K9" s="19"/>
      <c r="L9" s="19"/>
      <c r="M9" s="19"/>
      <c r="N9" s="19"/>
      <c r="O9" s="19"/>
      <c r="P9" s="19"/>
      <c r="Q9" s="19"/>
    </row>
    <row r="10" spans="1:17">
      <c r="A10" s="24" t="s">
        <v>194</v>
      </c>
      <c r="B10" s="25">
        <f>'EF ele_warmte'!B13</f>
        <v>0.17310560263580646</v>
      </c>
      <c r="C10" s="26"/>
      <c r="D10" s="26"/>
      <c r="E10" s="26"/>
      <c r="F10" s="26"/>
      <c r="G10" s="26"/>
      <c r="H10" s="26"/>
      <c r="I10" s="26"/>
      <c r="J10" s="26"/>
      <c r="K10" s="26"/>
      <c r="L10" s="883"/>
      <c r="M10" s="26"/>
      <c r="N10" s="26"/>
      <c r="O10" s="26"/>
      <c r="P10" s="26"/>
      <c r="Q10" s="26"/>
    </row>
    <row r="11" spans="1:17">
      <c r="A11" s="8"/>
      <c r="B11" s="22"/>
      <c r="C11" s="22"/>
      <c r="D11" s="22"/>
      <c r="E11" s="22"/>
      <c r="F11" s="22"/>
      <c r="G11" s="22"/>
      <c r="H11" s="22"/>
      <c r="I11" s="22"/>
      <c r="J11" s="22"/>
      <c r="K11" s="22"/>
      <c r="L11" s="22"/>
      <c r="M11" s="22"/>
      <c r="N11" s="22"/>
      <c r="O11" s="22"/>
      <c r="P11" s="22"/>
      <c r="Q11" s="22"/>
    </row>
    <row r="12" spans="1:17">
      <c r="A12" s="20" t="s">
        <v>193</v>
      </c>
      <c r="B12" s="23">
        <f>B10*B8</f>
        <v>3.4439699972229086E-14</v>
      </c>
      <c r="C12" s="157" t="s">
        <v>667</v>
      </c>
      <c r="D12" s="157" t="s">
        <v>667</v>
      </c>
      <c r="E12" s="157" t="s">
        <v>667</v>
      </c>
      <c r="F12" s="157" t="s">
        <v>667</v>
      </c>
      <c r="G12" s="157" t="s">
        <v>667</v>
      </c>
      <c r="H12" s="157" t="s">
        <v>667</v>
      </c>
      <c r="I12" s="157" t="s">
        <v>667</v>
      </c>
      <c r="J12" s="157" t="s">
        <v>667</v>
      </c>
      <c r="K12" s="157" t="s">
        <v>667</v>
      </c>
      <c r="L12" s="157" t="s">
        <v>667</v>
      </c>
      <c r="M12" s="157" t="s">
        <v>667</v>
      </c>
      <c r="N12" s="157" t="s">
        <v>667</v>
      </c>
      <c r="O12" s="157" t="s">
        <v>667</v>
      </c>
      <c r="P12" s="157" t="s">
        <v>667</v>
      </c>
      <c r="Q12" s="157" t="s">
        <v>667</v>
      </c>
    </row>
  </sheetData>
  <mergeCells count="6">
    <mergeCell ref="A1:A3"/>
    <mergeCell ref="B1:Q1"/>
    <mergeCell ref="B2:B3"/>
    <mergeCell ref="C2:C3"/>
    <mergeCell ref="D2:K2"/>
    <mergeCell ref="M2:Q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Q49"/>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7" sqref="B7"/>
    </sheetView>
  </sheetViews>
  <sheetFormatPr defaultRowHeight="15"/>
  <cols>
    <col min="1" max="1" width="61.7109375" customWidth="1"/>
    <col min="2" max="2" width="84.42578125" bestFit="1" customWidth="1"/>
    <col min="3" max="3" width="58" bestFit="1" customWidth="1"/>
    <col min="4" max="4" width="58.140625" customWidth="1"/>
    <col min="5" max="5" width="38.4257812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5703125" style="810" customWidth="1"/>
    <col min="13" max="13" width="15" customWidth="1"/>
    <col min="14" max="14" width="17.7109375" customWidth="1"/>
    <col min="15" max="15" width="16" customWidth="1"/>
    <col min="16" max="16" width="13.42578125" customWidth="1"/>
    <col min="17" max="17" width="19.28515625" customWidth="1"/>
  </cols>
  <sheetData>
    <row r="1" spans="1:17" s="286" customFormat="1" ht="17.25" thickTop="1" thickBot="1">
      <c r="A1" s="1159" t="s">
        <v>135</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439</v>
      </c>
      <c r="B5" s="30">
        <f>IF(ISERROR(SUM(HH_hh_ele_kWh,HH_rest_kWh)/1000),0,SUM(HH_hh_ele_kWh,HH_rest_kWh)/1000)</f>
        <v>1270.9770900000001</v>
      </c>
      <c r="C5" s="17">
        <f>IF(ISERROR('Eigen informatie GS &amp; warmtenet'!B61),0,'Eigen informatie GS &amp; warmtenet'!B61)</f>
        <v>0</v>
      </c>
      <c r="D5" s="30">
        <f>(SUM(HH_hh_gas_kWh,HH_rest_gas_kWh)/1000)*0.903</f>
        <v>4323.0994064999995</v>
      </c>
      <c r="E5" s="17">
        <f>B33*B42</f>
        <v>50.274209928561802</v>
      </c>
      <c r="F5" s="17">
        <f>B37*B46</f>
        <v>816.92303688904451</v>
      </c>
      <c r="G5" s="18" t="s">
        <v>637</v>
      </c>
      <c r="H5" s="17" t="s">
        <v>637</v>
      </c>
      <c r="I5" s="17" t="s">
        <v>637</v>
      </c>
      <c r="J5" s="17">
        <f>B36*B45+C36*C45</f>
        <v>6.548757578155711</v>
      </c>
      <c r="K5" s="17" t="s">
        <v>637</v>
      </c>
      <c r="L5" s="884" t="s">
        <v>637</v>
      </c>
      <c r="M5" s="17" t="s">
        <v>637</v>
      </c>
      <c r="N5" s="17" t="s">
        <v>670</v>
      </c>
      <c r="O5" s="17">
        <f>B35*B44+C35*C44</f>
        <v>479.79629826218695</v>
      </c>
      <c r="P5" s="17" t="s">
        <v>637</v>
      </c>
      <c r="Q5" s="17" t="s">
        <v>637</v>
      </c>
    </row>
    <row r="6" spans="1:17" s="810" customFormat="1">
      <c r="A6" s="16" t="s">
        <v>633</v>
      </c>
      <c r="B6" s="17">
        <f>'lokale energieproductie'!N30</f>
        <v>0</v>
      </c>
      <c r="C6" s="17">
        <f>'lokale energieproductie'!O30</f>
        <v>0</v>
      </c>
      <c r="D6" s="17">
        <f>('lokale energieproductie'!P30)*(-1)</f>
        <v>0</v>
      </c>
      <c r="E6" s="17">
        <f>('lokale energieproductie'!X30)*(-1)</f>
        <v>0</v>
      </c>
      <c r="F6" s="17">
        <f>('lokale energieproductie'!S30)*(-1)</f>
        <v>0</v>
      </c>
      <c r="G6" s="17"/>
      <c r="H6" s="17"/>
      <c r="I6" s="17"/>
      <c r="J6" s="17"/>
      <c r="K6" s="17"/>
      <c r="L6" s="17">
        <f>('lokale energieproductie'!Q30)*(-1)</f>
        <v>0</v>
      </c>
      <c r="M6" s="17">
        <f>('lokale energieproductie'!U30+'lokale energieproductie'!T30)*(-1)</f>
        <v>0</v>
      </c>
      <c r="N6" s="17"/>
      <c r="O6" s="17">
        <f>('lokale energieproductie'!R30+'lokale energieproductie'!V30)*(-1)</f>
        <v>0</v>
      </c>
      <c r="P6" s="17"/>
      <c r="Q6" s="17"/>
    </row>
    <row r="7" spans="1:17">
      <c r="A7" s="16" t="s">
        <v>484</v>
      </c>
      <c r="B7" s="17">
        <f>MWh_eigenverbruikPV_residentieel</f>
        <v>102.71418383201329</v>
      </c>
      <c r="C7" s="222"/>
      <c r="D7" s="222"/>
      <c r="E7" s="222"/>
      <c r="F7" s="222"/>
      <c r="G7" s="222"/>
      <c r="H7" s="222"/>
      <c r="I7" s="222"/>
      <c r="J7" s="222"/>
      <c r="K7" s="222"/>
      <c r="L7" s="885"/>
      <c r="M7" s="222"/>
      <c r="N7" s="222"/>
      <c r="O7" s="222"/>
      <c r="P7" s="222"/>
      <c r="Q7" s="222"/>
    </row>
    <row r="8" spans="1:17">
      <c r="B8" s="19"/>
      <c r="C8" s="19"/>
      <c r="D8" s="19"/>
      <c r="E8" s="19"/>
      <c r="F8" s="19"/>
      <c r="G8" s="19"/>
      <c r="H8" s="19"/>
      <c r="I8" s="19"/>
      <c r="J8" s="19"/>
      <c r="K8" s="19"/>
      <c r="L8" s="19"/>
      <c r="M8" s="19"/>
      <c r="N8" s="19"/>
      <c r="O8" s="19"/>
      <c r="P8" s="19"/>
      <c r="Q8" s="19"/>
    </row>
    <row r="9" spans="1:17" s="8" customFormat="1">
      <c r="A9" s="20" t="s">
        <v>192</v>
      </c>
      <c r="B9" s="21">
        <f>MAX((B5+B6+B7),0)</f>
        <v>1373.6912738320134</v>
      </c>
      <c r="C9" s="21">
        <f>MAX((C5+C6+C7),0)</f>
        <v>0</v>
      </c>
      <c r="D9" s="21">
        <f t="shared" ref="D9:O9" si="0">MAX((D5+D6+D7),0)</f>
        <v>4323.0994064999995</v>
      </c>
      <c r="E9" s="21">
        <f t="shared" si="0"/>
        <v>50.274209928561802</v>
      </c>
      <c r="F9" s="21">
        <f t="shared" si="0"/>
        <v>816.92303688904451</v>
      </c>
      <c r="G9" s="21" t="s">
        <v>637</v>
      </c>
      <c r="H9" s="21" t="s">
        <v>637</v>
      </c>
      <c r="I9" s="21" t="s">
        <v>670</v>
      </c>
      <c r="J9" s="21">
        <f t="shared" si="0"/>
        <v>6.548757578155711</v>
      </c>
      <c r="K9" s="21" t="s">
        <v>637</v>
      </c>
      <c r="L9" s="21">
        <f>MAX((L6),0)</f>
        <v>0</v>
      </c>
      <c r="M9" s="21">
        <f>MAX((M6),0)</f>
        <v>0</v>
      </c>
      <c r="N9" s="21" t="s">
        <v>637</v>
      </c>
      <c r="O9" s="21">
        <f t="shared" si="0"/>
        <v>479.79629826218695</v>
      </c>
      <c r="P9" s="21" t="s">
        <v>637</v>
      </c>
      <c r="Q9" s="21" t="s">
        <v>637</v>
      </c>
    </row>
    <row r="10" spans="1:17">
      <c r="B10" s="19"/>
      <c r="C10" s="19"/>
      <c r="D10" s="232"/>
      <c r="E10" s="19"/>
      <c r="F10" s="19"/>
      <c r="G10" s="19"/>
      <c r="H10" s="19"/>
      <c r="I10" s="19"/>
      <c r="J10" s="19"/>
      <c r="K10" s="19"/>
      <c r="L10" s="19"/>
      <c r="M10" s="19"/>
      <c r="N10" s="19"/>
      <c r="O10" s="19"/>
      <c r="P10" s="19"/>
      <c r="Q10" s="19"/>
    </row>
    <row r="11" spans="1:17">
      <c r="A11" s="24" t="s">
        <v>194</v>
      </c>
      <c r="B11" s="25">
        <f>'EF ele_warmte'!B13</f>
        <v>0.17310560263580646</v>
      </c>
      <c r="C11" s="25">
        <f>'EF ele_warmte'!B23</f>
        <v>0</v>
      </c>
      <c r="D11" s="25">
        <f>EF_CO2_aardgas</f>
        <v>0.20200000000000001</v>
      </c>
      <c r="E11" s="25">
        <f>EF_VLgas_CO2</f>
        <v>0.22700000000000001</v>
      </c>
      <c r="F11" s="25">
        <f>EF_stookolie_CO2</f>
        <v>0.26700000000000002</v>
      </c>
      <c r="G11" s="25">
        <f>EF_diesel_CO2</f>
        <v>0.26700000000000002</v>
      </c>
      <c r="H11" s="25">
        <f>EF_benzine_CO2</f>
        <v>0.249</v>
      </c>
      <c r="I11" s="25">
        <f>EF_bruinkool_CO2</f>
        <v>0.35099999999999998</v>
      </c>
      <c r="J11" s="25">
        <f>EF_steenkool_CO2</f>
        <v>0.35399999999999998</v>
      </c>
      <c r="K11" s="25">
        <f>EF_anderfossiel_CO2</f>
        <v>0.26400000000000001</v>
      </c>
      <c r="L11" s="886">
        <f>EF_biogas_CO2</f>
        <v>0</v>
      </c>
      <c r="M11" s="25">
        <f>'EF brandstof'!L4</f>
        <v>0</v>
      </c>
      <c r="N11" s="25">
        <f>'EF brandstof'!K4</f>
        <v>0</v>
      </c>
      <c r="O11" s="25">
        <f>'EF brandstof'!M4</f>
        <v>0</v>
      </c>
      <c r="P11" s="25">
        <v>0</v>
      </c>
      <c r="Q11" s="25">
        <v>0</v>
      </c>
    </row>
    <row r="12" spans="1:17">
      <c r="A12" s="8"/>
      <c r="B12" s="22"/>
      <c r="C12" s="22"/>
      <c r="D12" s="22"/>
      <c r="E12" s="22"/>
      <c r="F12" s="22"/>
      <c r="G12" s="22"/>
      <c r="H12" s="22"/>
      <c r="I12" s="22"/>
      <c r="J12" s="22"/>
      <c r="K12" s="22"/>
      <c r="L12" s="22"/>
      <c r="M12" s="22"/>
      <c r="N12" s="22"/>
      <c r="O12" s="22"/>
      <c r="P12" s="22"/>
      <c r="Q12" s="22"/>
    </row>
    <row r="13" spans="1:17">
      <c r="A13" s="20" t="s">
        <v>193</v>
      </c>
      <c r="B13" s="23">
        <f>B11*B9</f>
        <v>237.79365579223932</v>
      </c>
      <c r="C13" s="23">
        <f>C11*C9</f>
        <v>0</v>
      </c>
      <c r="D13" s="23">
        <f>D9*D11</f>
        <v>873.26608011299993</v>
      </c>
      <c r="E13" s="23">
        <f>E11*E9</f>
        <v>11.412245653783529</v>
      </c>
      <c r="F13" s="23">
        <f>F11*F9</f>
        <v>218.11845084937491</v>
      </c>
      <c r="G13" s="23" t="s">
        <v>637</v>
      </c>
      <c r="H13" s="23" t="s">
        <v>637</v>
      </c>
      <c r="I13" s="23" t="s">
        <v>637</v>
      </c>
      <c r="J13" s="23">
        <f>J11*J9</f>
        <v>2.3182601826671214</v>
      </c>
      <c r="K13" s="23" t="s">
        <v>637</v>
      </c>
      <c r="L13" s="887">
        <f>L11*L9</f>
        <v>0</v>
      </c>
      <c r="M13" s="23">
        <f>M11*M9</f>
        <v>0</v>
      </c>
      <c r="N13" s="23" t="s">
        <v>637</v>
      </c>
      <c r="O13" s="23">
        <f>O11*O9</f>
        <v>0</v>
      </c>
      <c r="P13" s="23" t="s">
        <v>637</v>
      </c>
      <c r="Q13" s="23" t="s">
        <v>637</v>
      </c>
    </row>
    <row r="15" spans="1:17" ht="17.25" customHeight="1"/>
    <row r="16" spans="1:17" hidden="1">
      <c r="A16" s="182" t="s">
        <v>399</v>
      </c>
      <c r="B16" s="191"/>
      <c r="C16" s="191"/>
      <c r="D16" s="205"/>
    </row>
    <row r="17" spans="1:12" hidden="1">
      <c r="A17" s="3"/>
      <c r="B17" s="43"/>
      <c r="C17" s="43"/>
      <c r="D17" s="167"/>
    </row>
    <row r="18" spans="1:12" hidden="1">
      <c r="A18" s="206" t="s">
        <v>631</v>
      </c>
      <c r="B18" s="190" t="s">
        <v>613</v>
      </c>
      <c r="C18" s="190" t="s">
        <v>612</v>
      </c>
      <c r="D18" s="207" t="s">
        <v>162</v>
      </c>
      <c r="E18" s="15"/>
    </row>
    <row r="19" spans="1:12" hidden="1">
      <c r="A19" s="164" t="s">
        <v>74</v>
      </c>
      <c r="B19" s="824">
        <v>0.52991031239315478</v>
      </c>
      <c r="C19" s="824"/>
      <c r="D19" s="271" t="s">
        <v>720</v>
      </c>
      <c r="E19" s="1167" t="s">
        <v>695</v>
      </c>
    </row>
    <row r="20" spans="1:12" hidden="1">
      <c r="A20" s="164" t="s">
        <v>606</v>
      </c>
      <c r="B20" s="824">
        <v>7.0099712805176779E-3</v>
      </c>
      <c r="C20" s="824"/>
      <c r="D20" s="209"/>
      <c r="E20" s="1168"/>
    </row>
    <row r="21" spans="1:12" hidden="1">
      <c r="A21" s="164" t="s">
        <v>607</v>
      </c>
      <c r="B21" s="824"/>
      <c r="C21" s="824"/>
      <c r="D21" s="209"/>
      <c r="E21" s="1168"/>
    </row>
    <row r="22" spans="1:12" hidden="1">
      <c r="A22" s="164" t="s">
        <v>608</v>
      </c>
      <c r="B22" s="824">
        <v>1.6126086326569474E-2</v>
      </c>
      <c r="C22" s="824"/>
      <c r="D22" s="209"/>
      <c r="E22" s="1168"/>
    </row>
    <row r="23" spans="1:12" hidden="1">
      <c r="A23" s="164" t="s">
        <v>609</v>
      </c>
      <c r="B23" s="824">
        <v>0.26185570387896945</v>
      </c>
      <c r="C23" s="824"/>
      <c r="D23" s="209"/>
      <c r="E23" s="1168"/>
    </row>
    <row r="24" spans="1:12" hidden="1">
      <c r="A24" s="164" t="s">
        <v>75</v>
      </c>
      <c r="B24" s="824">
        <v>6.5901842733185875E-2</v>
      </c>
      <c r="C24" s="824"/>
      <c r="D24" s="208"/>
      <c r="E24" s="1168"/>
    </row>
    <row r="25" spans="1:12" hidden="1">
      <c r="A25" s="164" t="s">
        <v>610</v>
      </c>
      <c r="B25" s="824">
        <v>0.11449800179665831</v>
      </c>
      <c r="C25" s="824">
        <v>0.16799999999999995</v>
      </c>
      <c r="D25" s="208"/>
      <c r="E25" s="1168"/>
    </row>
    <row r="26" spans="1:12" s="15" customFormat="1" hidden="1">
      <c r="A26" s="164"/>
      <c r="B26" s="29"/>
      <c r="C26" s="29"/>
      <c r="D26" s="208"/>
      <c r="E26" s="1168"/>
      <c r="L26" s="812"/>
    </row>
    <row r="27" spans="1:12" s="15" customFormat="1" hidden="1">
      <c r="A27" s="210" t="s">
        <v>721</v>
      </c>
      <c r="B27" s="37">
        <f>aantalHuishoudens</f>
        <v>468</v>
      </c>
      <c r="C27" s="36"/>
      <c r="D27" s="208"/>
      <c r="E27" s="1168"/>
      <c r="L27" s="812"/>
    </row>
    <row r="28" spans="1:12" s="15" customFormat="1" hidden="1">
      <c r="A28" s="210" t="s">
        <v>722</v>
      </c>
      <c r="B28" s="37">
        <f>SUM(HH_hh_gas_aantal,HH_rest_gas_aantal)</f>
        <v>407</v>
      </c>
      <c r="C28" s="36"/>
      <c r="D28" s="208"/>
      <c r="E28" s="1168"/>
      <c r="L28" s="812"/>
    </row>
    <row r="29" spans="1:12" s="15" customFormat="1" hidden="1">
      <c r="A29" s="211"/>
      <c r="B29" s="29"/>
      <c r="C29" s="36"/>
      <c r="D29" s="212"/>
      <c r="E29" s="1168"/>
      <c r="L29" s="812"/>
    </row>
    <row r="30" spans="1:12" hidden="1">
      <c r="A30" s="3"/>
      <c r="B30" s="43"/>
      <c r="C30" s="43"/>
      <c r="D30" s="167"/>
      <c r="E30" s="1168"/>
    </row>
    <row r="31" spans="1:12" hidden="1">
      <c r="A31" s="165" t="s">
        <v>395</v>
      </c>
      <c r="B31" s="162" t="s">
        <v>723</v>
      </c>
      <c r="C31" s="162" t="s">
        <v>724</v>
      </c>
      <c r="D31" s="167"/>
      <c r="E31" s="1168"/>
    </row>
    <row r="32" spans="1:12" hidden="1">
      <c r="A32" s="164" t="s">
        <v>611</v>
      </c>
      <c r="B32" s="33">
        <f>B28-(0.05*B28)</f>
        <v>386.65</v>
      </c>
      <c r="C32" s="34" t="s">
        <v>91</v>
      </c>
      <c r="D32" s="167"/>
      <c r="E32" s="1168"/>
    </row>
    <row r="33" spans="1:6" hidden="1">
      <c r="A33" s="164" t="s">
        <v>70</v>
      </c>
      <c r="B33" s="33">
        <f>IF((B22*($B$27-($B$28-0.05*$B$28)))&lt;0,0,(B22*($B$27-($B$28-0.05*$B$28))))</f>
        <v>1.3118571226664271</v>
      </c>
      <c r="C33" s="34" t="s">
        <v>91</v>
      </c>
      <c r="D33" s="167"/>
      <c r="E33" s="1168"/>
    </row>
    <row r="34" spans="1:6" hidden="1">
      <c r="A34" s="164" t="s">
        <v>71</v>
      </c>
      <c r="B34" s="33">
        <f>IF((B23*($B$27-($B$28-0.05*$B$28)))&lt;0,0,B23*($B$27-($B$28-0.05*$B$28)))</f>
        <v>21.301961510554172</v>
      </c>
      <c r="C34" s="34" t="s">
        <v>91</v>
      </c>
      <c r="D34" s="167"/>
      <c r="E34" s="1168"/>
    </row>
    <row r="35" spans="1:6" hidden="1">
      <c r="A35" s="164" t="s">
        <v>72</v>
      </c>
      <c r="B35" s="33">
        <f>IF((B25*($B$27-($B$28-0.05*$B$28)))&lt;0,0,B25*($B$27-($B$28-0.05*$B$28)))</f>
        <v>9.3144124461581566</v>
      </c>
      <c r="C35" s="33">
        <f>B27*C25</f>
        <v>78.623999999999981</v>
      </c>
      <c r="D35" s="213"/>
      <c r="E35" s="1168"/>
    </row>
    <row r="36" spans="1:6" hidden="1">
      <c r="A36" s="164" t="s">
        <v>73</v>
      </c>
      <c r="B36" s="33">
        <f>IF((B20*($B$27-($B$28-0.05*$B$28)))&lt;0,0,B20*($B$27-($B$28-0.05*$B$28)))</f>
        <v>0.57026116367011326</v>
      </c>
      <c r="C36" s="33">
        <f>B36/2</f>
        <v>0.28513058183505663</v>
      </c>
      <c r="D36" s="213"/>
      <c r="E36" s="1168"/>
    </row>
    <row r="37" spans="1:6" hidden="1">
      <c r="A37" s="164" t="s">
        <v>74</v>
      </c>
      <c r="B37" s="33">
        <f>IF((B19*($B$27-($B$28-0.05*$B$28)))&lt;0,0,B19*($B$27-($B$28-0.05*$B$28)))</f>
        <v>43.108203913183154</v>
      </c>
      <c r="C37" s="34" t="s">
        <v>91</v>
      </c>
      <c r="D37" s="167"/>
      <c r="E37" s="1168"/>
    </row>
    <row r="38" spans="1:6" hidden="1">
      <c r="A38" s="164" t="s">
        <v>75</v>
      </c>
      <c r="B38" s="33">
        <f>IF((B24*($B$27-($B$28-0.05*$B$28)))&lt;0,0,B24*($B$27-($B$28-0.05*$B$28)))</f>
        <v>5.3611149063446728</v>
      </c>
      <c r="C38" s="34" t="s">
        <v>91</v>
      </c>
      <c r="D38" s="167"/>
      <c r="E38" s="1168"/>
    </row>
    <row r="39" spans="1:6" hidden="1">
      <c r="A39" s="3"/>
      <c r="B39" s="43"/>
      <c r="C39" s="43"/>
      <c r="D39" s="167"/>
      <c r="E39" s="1168"/>
    </row>
    <row r="40" spans="1:6" hidden="1">
      <c r="A40" s="165" t="s">
        <v>396</v>
      </c>
      <c r="B40" s="161" t="s">
        <v>725</v>
      </c>
      <c r="C40" s="161" t="s">
        <v>726</v>
      </c>
      <c r="D40" s="271" t="s">
        <v>720</v>
      </c>
      <c r="E40" s="159"/>
      <c r="F40" s="159"/>
    </row>
    <row r="41" spans="1:6" hidden="1">
      <c r="A41" s="164" t="s">
        <v>69</v>
      </c>
      <c r="B41" s="160">
        <v>11.206090279990148</v>
      </c>
      <c r="C41" s="163" t="s">
        <v>91</v>
      </c>
      <c r="D41" s="166"/>
      <c r="E41" s="160"/>
      <c r="F41" s="160"/>
    </row>
    <row r="42" spans="1:6" hidden="1">
      <c r="A42" s="164" t="s">
        <v>70</v>
      </c>
      <c r="B42" s="160">
        <v>38.322930950267285</v>
      </c>
      <c r="C42" s="163" t="s">
        <v>91</v>
      </c>
      <c r="D42" s="166"/>
      <c r="E42" s="160"/>
      <c r="F42" s="160"/>
    </row>
    <row r="43" spans="1:6" hidden="1">
      <c r="A43" s="164" t="s">
        <v>71</v>
      </c>
      <c r="B43" s="160">
        <v>7.7840365651742092</v>
      </c>
      <c r="C43" s="163" t="s">
        <v>91</v>
      </c>
      <c r="D43" s="166"/>
      <c r="E43" s="160"/>
      <c r="F43" s="160"/>
    </row>
    <row r="44" spans="1:6" hidden="1">
      <c r="A44" s="164" t="s">
        <v>72</v>
      </c>
      <c r="B44" s="163">
        <v>8.6624227425621534</v>
      </c>
      <c r="C44" s="163">
        <v>5.0761970906464011</v>
      </c>
      <c r="D44" s="166"/>
      <c r="E44" s="160"/>
      <c r="F44" s="160"/>
    </row>
    <row r="45" spans="1:6" hidden="1">
      <c r="A45" s="164" t="s">
        <v>73</v>
      </c>
      <c r="B45" s="160">
        <v>10.8077794752743</v>
      </c>
      <c r="C45" s="163">
        <v>1.3520144889923742</v>
      </c>
      <c r="D45" s="166"/>
      <c r="E45" s="160"/>
      <c r="F45" s="160"/>
    </row>
    <row r="46" spans="1:6" hidden="1">
      <c r="A46" s="164" t="s">
        <v>74</v>
      </c>
      <c r="B46" s="163">
        <v>18.950523629661518</v>
      </c>
      <c r="C46" s="163"/>
      <c r="D46" s="167"/>
      <c r="E46" s="160"/>
      <c r="F46" s="160"/>
    </row>
    <row r="47" spans="1:6" hidden="1">
      <c r="A47" s="164" t="s">
        <v>75</v>
      </c>
      <c r="B47" s="163" t="s">
        <v>640</v>
      </c>
      <c r="C47" s="163" t="s">
        <v>91</v>
      </c>
      <c r="D47" s="167"/>
      <c r="E47" s="160"/>
      <c r="F47" s="160"/>
    </row>
    <row r="48" spans="1:6" hidden="1">
      <c r="A48" s="168"/>
      <c r="B48" s="214"/>
      <c r="C48" s="214"/>
      <c r="D48" s="169"/>
      <c r="E48" s="160"/>
      <c r="F48" s="160"/>
    </row>
    <row r="49" spans="5:6">
      <c r="E49" s="15"/>
      <c r="F49" s="15"/>
    </row>
  </sheetData>
  <mergeCells count="7">
    <mergeCell ref="E19:E39"/>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S36"/>
  <sheetViews>
    <sheetView showGridLines="0" zoomScale="80" zoomScaleNormal="80" workbookViewId="0">
      <selection activeCell="B17" sqref="B1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136</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225"/>
      <c r="G4" s="14"/>
      <c r="H4" s="14"/>
      <c r="I4" s="14"/>
      <c r="J4" s="14"/>
      <c r="K4" s="14"/>
      <c r="L4" s="14"/>
      <c r="M4" s="14"/>
      <c r="N4" s="14"/>
      <c r="O4" s="14"/>
      <c r="P4" s="14"/>
      <c r="Q4" s="14"/>
      <c r="S4" s="6"/>
    </row>
    <row r="5" spans="1:19">
      <c r="A5" s="16" t="s">
        <v>228</v>
      </c>
      <c r="B5" s="30">
        <f>SUM(B6:B12)</f>
        <v>492.49459999999993</v>
      </c>
      <c r="C5" s="17">
        <f>IF(ISERROR('Eigen informatie GS &amp; warmtenet'!B62),0,'Eigen informatie GS &amp; warmtenet'!B62)</f>
        <v>0</v>
      </c>
      <c r="D5" s="30">
        <f>SUM(D6:D12)</f>
        <v>713.10668520000002</v>
      </c>
      <c r="E5" s="17">
        <f>SUM(E6:E12)</f>
        <v>2.9752119932280219</v>
      </c>
      <c r="F5" s="17">
        <f>SUM(F6:F12)</f>
        <v>122.04726183131861</v>
      </c>
      <c r="G5" s="17" t="s">
        <v>637</v>
      </c>
      <c r="H5" s="17">
        <f t="shared" ref="H5" si="0">SUM(H6:H12)</f>
        <v>2.9484415020987306E-2</v>
      </c>
      <c r="I5" s="17" t="s">
        <v>637</v>
      </c>
      <c r="J5" s="17">
        <f>SUM(J6:J12)</f>
        <v>1.4048361831175428E-3</v>
      </c>
      <c r="K5" s="17" t="s">
        <v>637</v>
      </c>
      <c r="L5" s="884" t="s">
        <v>668</v>
      </c>
      <c r="M5" s="17" t="s">
        <v>668</v>
      </c>
      <c r="N5" s="17" t="s">
        <v>668</v>
      </c>
      <c r="O5" s="17">
        <f>SUM(O6:O12)</f>
        <v>53.411127597027196</v>
      </c>
      <c r="P5" s="17" t="s">
        <v>637</v>
      </c>
      <c r="Q5" s="17" t="s">
        <v>637</v>
      </c>
      <c r="S5" s="32"/>
    </row>
    <row r="6" spans="1:19">
      <c r="A6" s="32" t="s">
        <v>53</v>
      </c>
      <c r="B6" s="37">
        <f>B27</f>
        <v>95.288830000000004</v>
      </c>
      <c r="C6" s="33"/>
      <c r="D6" s="37">
        <f>IF(ISERROR(TER_kantoor_gas_kWh/1000),0,TER_kantoor_gas_kWh/1000)*0.903</f>
        <v>309.27949563000004</v>
      </c>
      <c r="E6" s="33">
        <f>$C$27*'E Balans VL '!I12/100/3.6*1000000</f>
        <v>7.084112189720945E-6</v>
      </c>
      <c r="F6" s="33">
        <f>$C$27*('E Balans VL '!L12+'E Balans VL '!N12)/100/3.6*1000000</f>
        <v>7.8709887202791968</v>
      </c>
      <c r="G6" s="33"/>
      <c r="H6" s="33">
        <f>$C$27*('E Balans VL '!J12)/100/3.6*1000000</f>
        <v>0</v>
      </c>
      <c r="I6" s="33"/>
      <c r="J6" s="33">
        <f>$C$27*('E Balans VL '!D12+'E Balans VL '!E12)/100/3.6*1000000</f>
        <v>0</v>
      </c>
      <c r="K6" s="33"/>
      <c r="L6" s="33"/>
      <c r="M6" s="33"/>
      <c r="N6" s="33"/>
      <c r="O6" s="33">
        <f>$C$27*'E Balans VL '!Y12/100/3.6*1000000</f>
        <v>0.11695528155095358</v>
      </c>
      <c r="P6" s="33"/>
      <c r="Q6" s="33"/>
      <c r="S6" s="32"/>
    </row>
    <row r="7" spans="1:19">
      <c r="A7" s="32" t="s">
        <v>52</v>
      </c>
      <c r="B7" s="37">
        <f t="shared" ref="B7:B12" si="1">B28</f>
        <v>118.49544</v>
      </c>
      <c r="C7" s="33"/>
      <c r="D7" s="37">
        <f>IF(ISERROR(TER_horeca_gas_kWh/1000),0,TER_horeca_gas_kWh/1000)*0.903</f>
        <v>225.71333819999998</v>
      </c>
      <c r="E7" s="33">
        <f>$C$28*'E Balans VL '!I9/100/3.6*1000000</f>
        <v>0</v>
      </c>
      <c r="F7" s="33">
        <f>$C$28*('E Balans VL '!L9+'E Balans VL '!N9)/100/3.6*1000000</f>
        <v>14.596972114596285</v>
      </c>
      <c r="G7" s="33"/>
      <c r="H7" s="33">
        <f>$C$28*('E Balans VL '!J9)/100/3.6*1000000</f>
        <v>0</v>
      </c>
      <c r="I7" s="33"/>
      <c r="J7" s="33">
        <f>$C$28*('E Balans VL '!D9+'E Balans VL '!E9)/100/3.6*1000000</f>
        <v>0</v>
      </c>
      <c r="K7" s="33"/>
      <c r="L7" s="33"/>
      <c r="M7" s="33"/>
      <c r="N7" s="33"/>
      <c r="O7" s="33">
        <f>$C$28*'E Balans VL '!Y9/100/3.6*1000000</f>
        <v>0</v>
      </c>
      <c r="P7" s="33"/>
      <c r="Q7" s="33"/>
      <c r="S7" s="32"/>
    </row>
    <row r="8" spans="1:19">
      <c r="A8" s="6" t="s">
        <v>51</v>
      </c>
      <c r="B8" s="37">
        <f t="shared" si="1"/>
        <v>97.56165</v>
      </c>
      <c r="C8" s="33"/>
      <c r="D8" s="37">
        <f>IF(ISERROR(TER_handel_gas_kWh/1000),0,TER_handel_gas_kWh/1000)*0.903</f>
        <v>0</v>
      </c>
      <c r="E8" s="33">
        <f>$C$29*'E Balans VL '!I13/100/3.6*1000000</f>
        <v>2.6782289869957451E-3</v>
      </c>
      <c r="F8" s="33">
        <f>$C$29*('E Balans VL '!L13+'E Balans VL '!N13)/100/3.6*1000000</f>
        <v>7.4064936565546997</v>
      </c>
      <c r="G8" s="33"/>
      <c r="H8" s="33">
        <f>$C$29*('E Balans VL '!J13)/100/3.6*1000000</f>
        <v>0</v>
      </c>
      <c r="I8" s="33"/>
      <c r="J8" s="33">
        <f>$C$29*('E Balans VL '!D13+'E Balans VL '!E13)/100/3.6*1000000</f>
        <v>0</v>
      </c>
      <c r="K8" s="33"/>
      <c r="L8" s="33"/>
      <c r="M8" s="33"/>
      <c r="N8" s="33"/>
      <c r="O8" s="33">
        <f>$C$29*'E Balans VL '!Y13/100/3.6*1000000</f>
        <v>6.6390158076398781E-2</v>
      </c>
      <c r="P8" s="33"/>
      <c r="Q8" s="33"/>
      <c r="S8" s="32"/>
    </row>
    <row r="9" spans="1:19">
      <c r="A9" s="32" t="s">
        <v>50</v>
      </c>
      <c r="B9" s="37">
        <f t="shared" si="1"/>
        <v>20.06823</v>
      </c>
      <c r="C9" s="33"/>
      <c r="D9" s="37">
        <f>IF(ISERROR(TER_gezond_gas_kWh/1000),0,TER_gezond_gas_kWh/1000)*0.903</f>
        <v>0</v>
      </c>
      <c r="E9" s="33">
        <f>$C$30*'E Balans VL '!I10/100/3.6*1000000</f>
        <v>0</v>
      </c>
      <c r="F9" s="33">
        <f>$C$30*('E Balans VL '!L10+'E Balans VL '!N10)/100/3.6*1000000</f>
        <v>0.35245536414022721</v>
      </c>
      <c r="G9" s="33"/>
      <c r="H9" s="33">
        <f>$C$30*('E Balans VL '!J10)/100/3.6*1000000</f>
        <v>0</v>
      </c>
      <c r="I9" s="33"/>
      <c r="J9" s="33">
        <f>$C$30*('E Balans VL '!D10+'E Balans VL '!E10)/100/3.6*1000000</f>
        <v>0</v>
      </c>
      <c r="K9" s="33"/>
      <c r="L9" s="33"/>
      <c r="M9" s="33"/>
      <c r="N9" s="33"/>
      <c r="O9" s="33">
        <f>$C$30*'E Balans VL '!Y10/100/3.6*1000000</f>
        <v>9.7779637489053564E-2</v>
      </c>
      <c r="P9" s="33"/>
      <c r="Q9" s="33"/>
      <c r="S9" s="32"/>
    </row>
    <row r="10" spans="1:19">
      <c r="A10" s="32" t="s">
        <v>49</v>
      </c>
      <c r="B10" s="37">
        <f t="shared" si="1"/>
        <v>146.82005999999998</v>
      </c>
      <c r="C10" s="33"/>
      <c r="D10" s="37">
        <f>IF(ISERROR(TER_ander_gas_kWh/1000),0,TER_ander_gas_kWh/1000)*0.903</f>
        <v>0</v>
      </c>
      <c r="E10" s="33">
        <f>$C$31*'E Balans VL '!I14/100/3.6*1000000</f>
        <v>2.9065480775291408</v>
      </c>
      <c r="F10" s="33">
        <f>$C$31*('E Balans VL '!L14+'E Balans VL '!N14)/100/3.6*1000000</f>
        <v>88.974409464483969</v>
      </c>
      <c r="G10" s="33"/>
      <c r="H10" s="33">
        <f>$C$31*('E Balans VL '!J14)/100/3.6*1000000</f>
        <v>2.8830965962986396E-2</v>
      </c>
      <c r="I10" s="33"/>
      <c r="J10" s="33">
        <f>$C$31*('E Balans VL '!D14+'E Balans VL '!E14)/100/3.6*1000000</f>
        <v>1.3737014673753341E-3</v>
      </c>
      <c r="K10" s="33"/>
      <c r="L10" s="33"/>
      <c r="M10" s="33"/>
      <c r="N10" s="33"/>
      <c r="O10" s="33">
        <f>$C$31*'E Balans VL '!Y14/100/3.6*1000000</f>
        <v>51.938109809439993</v>
      </c>
      <c r="P10" s="33"/>
      <c r="Q10" s="33"/>
      <c r="S10" s="32"/>
    </row>
    <row r="11" spans="1:19">
      <c r="A11" s="32" t="s">
        <v>54</v>
      </c>
      <c r="B11" s="37">
        <f t="shared" si="1"/>
        <v>0</v>
      </c>
      <c r="C11" s="33"/>
      <c r="D11" s="37">
        <f>IF(ISERROR(TER_onderwijs_gas_kWh/1000),0,TER_onderwijs_gas_kWh/1000)*0.903</f>
        <v>0</v>
      </c>
      <c r="E11" s="33">
        <f>$C$32*'E Balans VL '!I11/100/3.6*1000000</f>
        <v>0</v>
      </c>
      <c r="F11" s="33">
        <f>$C$32*('E Balans VL '!L11+'E Balans VL '!N11)/100/3.6*1000000</f>
        <v>0</v>
      </c>
      <c r="G11" s="33"/>
      <c r="H11" s="33">
        <f>$C$32*('E Balans VL '!J11)/100/3.6*1000000</f>
        <v>0</v>
      </c>
      <c r="I11" s="33"/>
      <c r="J11" s="33">
        <f>$C$32*('E Balans VL '!D11+'E Balans VL '!E11)/100/3.6*1000000</f>
        <v>0</v>
      </c>
      <c r="K11" s="33"/>
      <c r="L11" s="33"/>
      <c r="M11" s="33"/>
      <c r="N11" s="33"/>
      <c r="O11" s="33">
        <f>$C$32*'E Balans VL '!Y11/100/3.6*1000000</f>
        <v>0</v>
      </c>
      <c r="P11" s="33"/>
      <c r="Q11" s="33"/>
      <c r="S11" s="32"/>
    </row>
    <row r="12" spans="1:19">
      <c r="A12" s="32" t="s">
        <v>229</v>
      </c>
      <c r="B12" s="37">
        <f t="shared" si="1"/>
        <v>14.260389999999999</v>
      </c>
      <c r="C12" s="33"/>
      <c r="D12" s="37">
        <f>IF(ISERROR(TER_rest_gas_kWh/1000),0,TER_rest_gas_kWh/1000)*0.903</f>
        <v>178.11385137000002</v>
      </c>
      <c r="E12" s="33">
        <f>$C$33*'E Balans VL '!I8/100/3.6*1000000</f>
        <v>6.5978602599695776E-2</v>
      </c>
      <c r="F12" s="33">
        <f>$C$33*('E Balans VL '!L8+'E Balans VL '!N8)/100/3.6*1000000</f>
        <v>2.845942511264226</v>
      </c>
      <c r="G12" s="33"/>
      <c r="H12" s="33">
        <f>$C$33*('E Balans VL '!J8)/100/3.6*1000000</f>
        <v>6.5344905800090948E-4</v>
      </c>
      <c r="I12" s="33"/>
      <c r="J12" s="33">
        <f>$C$33*('E Balans VL '!D8+'E Balans VL '!E8)/100/3.6*1000000</f>
        <v>3.1134715742208811E-5</v>
      </c>
      <c r="K12" s="33"/>
      <c r="L12" s="33"/>
      <c r="M12" s="33"/>
      <c r="N12" s="33"/>
      <c r="O12" s="33">
        <f>$C$33*'E Balans VL '!Y8/100/3.6*1000000</f>
        <v>1.1918927104707961</v>
      </c>
      <c r="P12" s="33"/>
      <c r="Q12" s="33"/>
      <c r="S12" s="32"/>
    </row>
    <row r="13" spans="1:19">
      <c r="A13" s="16" t="s">
        <v>625</v>
      </c>
      <c r="B13" s="17">
        <f>'lokale energieproductie'!N32</f>
        <v>0</v>
      </c>
      <c r="C13" s="17">
        <f>'lokale energieproductie'!O32</f>
        <v>0</v>
      </c>
      <c r="D13" s="920">
        <f>('lokale energieproductie'!P32)*(-1)</f>
        <v>0</v>
      </c>
      <c r="E13" s="920">
        <f>('lokale energieproductie'!X32)*(-1)</f>
        <v>0</v>
      </c>
      <c r="F13" s="920">
        <f>('lokale energieproductie'!S32)*(-1)</f>
        <v>0</v>
      </c>
      <c r="G13" s="224"/>
      <c r="H13" s="223"/>
      <c r="I13" s="223"/>
      <c r="J13" s="223"/>
      <c r="K13" s="223"/>
      <c r="L13" s="920"/>
      <c r="M13" s="920"/>
      <c r="N13" s="223"/>
      <c r="O13" s="920">
        <f>('lokale energieproductie'!R32+'lokale energieproductie'!V32+'lokale energieproductie'!Q32+'lokale energieproductie'!U32+'lokale energieproductie'!T32)*(-1)</f>
        <v>0</v>
      </c>
      <c r="P13" s="223"/>
      <c r="Q13" s="223"/>
      <c r="S13" s="32"/>
    </row>
    <row r="14" spans="1:19" s="812" customFormat="1">
      <c r="A14" s="16" t="s">
        <v>484</v>
      </c>
      <c r="B14" s="1008">
        <f>MWh_eigenverbruikPV_tertiair</f>
        <v>5.6740043357941152</v>
      </c>
      <c r="C14" s="1008"/>
      <c r="D14" s="1009"/>
      <c r="E14" s="1009"/>
      <c r="F14" s="1009"/>
      <c r="G14" s="1010"/>
      <c r="H14" s="1011"/>
      <c r="I14" s="1011"/>
      <c r="J14" s="1011"/>
      <c r="K14" s="1011"/>
      <c r="L14" s="1009"/>
      <c r="M14" s="1009"/>
      <c r="N14" s="1011"/>
      <c r="O14" s="1009"/>
      <c r="P14" s="1011"/>
      <c r="Q14" s="1011"/>
      <c r="S14" s="32"/>
    </row>
    <row r="15" spans="1:19">
      <c r="A15" s="16" t="s">
        <v>411</v>
      </c>
      <c r="B15" s="17">
        <f>('Eigen gebouwen'!B4)*(-1)</f>
        <v>-33.969866058711801</v>
      </c>
      <c r="C15" s="17">
        <f>('Eigen gebouwen'!C4)*(-1)</f>
        <v>0</v>
      </c>
      <c r="D15" s="17">
        <f>('Eigen gebouwen'!D4)*(-1)</f>
        <v>-200.27585246886522</v>
      </c>
      <c r="E15" s="17">
        <f>('Eigen gebouwen'!E4)*(-1)</f>
        <v>0</v>
      </c>
      <c r="F15" s="17">
        <f>('Eigen gebouwen'!F4)*(-1)</f>
        <v>0</v>
      </c>
      <c r="G15" s="17"/>
      <c r="H15" s="17"/>
      <c r="I15" s="17"/>
      <c r="J15" s="17"/>
      <c r="K15" s="17"/>
      <c r="L15" s="17"/>
      <c r="M15" s="17"/>
      <c r="N15" s="17"/>
      <c r="O15" s="17">
        <f>('Eigen gebouwen'!O4)*(-1)</f>
        <v>0</v>
      </c>
      <c r="P15" s="17"/>
      <c r="Q15" s="17"/>
      <c r="S15" s="32"/>
    </row>
    <row r="16" spans="1:19">
      <c r="A16" s="32"/>
      <c r="B16" s="29"/>
      <c r="C16" s="29"/>
      <c r="D16" s="921"/>
      <c r="E16" s="29"/>
      <c r="F16" s="29"/>
      <c r="G16" s="28"/>
      <c r="H16" s="29"/>
      <c r="I16" s="29"/>
      <c r="J16" s="29"/>
      <c r="K16" s="29"/>
      <c r="L16" s="29"/>
      <c r="M16" s="29"/>
      <c r="N16" s="29"/>
      <c r="O16" s="29"/>
      <c r="P16" s="29"/>
      <c r="Q16" s="29"/>
      <c r="S16" s="32"/>
    </row>
    <row r="17" spans="1:19">
      <c r="A17" s="20" t="s">
        <v>230</v>
      </c>
      <c r="B17" s="21">
        <f>MAX((B5+B13+B14+B15),0)</f>
        <v>464.19873827708227</v>
      </c>
      <c r="C17" s="21">
        <f t="shared" ref="C17:O17" si="2">MAX((C5+C13+C15),0)</f>
        <v>0</v>
      </c>
      <c r="D17" s="21">
        <f t="shared" si="2"/>
        <v>512.83083273113482</v>
      </c>
      <c r="E17" s="21">
        <f t="shared" si="2"/>
        <v>2.9752119932280219</v>
      </c>
      <c r="F17" s="21">
        <f>MAX((F5+F13+F15),0)</f>
        <v>122.04726183131861</v>
      </c>
      <c r="G17" s="21" t="s">
        <v>637</v>
      </c>
      <c r="H17" s="21">
        <f t="shared" ref="H17" si="3">MAX((H5+H13+H15),0)</f>
        <v>2.9484415020987306E-2</v>
      </c>
      <c r="I17" s="21" t="s">
        <v>637</v>
      </c>
      <c r="J17" s="21">
        <f t="shared" si="2"/>
        <v>1.4048361831175428E-3</v>
      </c>
      <c r="K17" s="21" t="s">
        <v>637</v>
      </c>
      <c r="L17" s="21" t="s">
        <v>668</v>
      </c>
      <c r="M17" s="21" t="s">
        <v>668</v>
      </c>
      <c r="N17" s="21" t="s">
        <v>668</v>
      </c>
      <c r="O17" s="21">
        <f t="shared" si="2"/>
        <v>53.411127597027196</v>
      </c>
      <c r="P17" s="21" t="str">
        <f>P5</f>
        <v>NE</v>
      </c>
      <c r="Q17" s="21" t="str">
        <f>Q5</f>
        <v>NE</v>
      </c>
      <c r="S17" s="32"/>
    </row>
    <row r="18" spans="1:19">
      <c r="A18"/>
      <c r="B18" s="19"/>
      <c r="C18" s="19"/>
      <c r="D18" s="19"/>
      <c r="E18" s="19"/>
      <c r="F18" s="19"/>
      <c r="G18" s="19"/>
      <c r="H18" s="19"/>
      <c r="I18" s="19"/>
      <c r="J18" s="19"/>
      <c r="K18" s="19"/>
      <c r="L18" s="19"/>
      <c r="M18" s="19"/>
      <c r="N18" s="19"/>
      <c r="O18" s="19"/>
      <c r="P18" s="19"/>
      <c r="Q18" s="19"/>
      <c r="S18" s="32"/>
    </row>
    <row r="19" spans="1:19">
      <c r="A19" s="24" t="s">
        <v>194</v>
      </c>
      <c r="B19" s="25">
        <f>'EF ele_warmte'!B13</f>
        <v>0.17310560263580646</v>
      </c>
      <c r="C19" s="25">
        <f>'EF ele_warmte'!B23</f>
        <v>0</v>
      </c>
      <c r="D19" s="25">
        <f>EF_CO2_aardgas</f>
        <v>0.20200000000000001</v>
      </c>
      <c r="E19" s="25">
        <f>EF_VLgas_CO2</f>
        <v>0.22700000000000001</v>
      </c>
      <c r="F19" s="25">
        <f>EF_stookolie_CO2</f>
        <v>0.26700000000000002</v>
      </c>
      <c r="G19" s="25">
        <f>EF_diesel_CO2</f>
        <v>0.26700000000000002</v>
      </c>
      <c r="H19" s="25">
        <f>EF_benzine_CO2</f>
        <v>0.249</v>
      </c>
      <c r="I19" s="25">
        <f>EF_bruinkool_CO2</f>
        <v>0.35099999999999998</v>
      </c>
      <c r="J19" s="25">
        <f>EF_steenkool_CO2</f>
        <v>0.35399999999999998</v>
      </c>
      <c r="K19" s="25">
        <f>EF_anderfossiel_CO2</f>
        <v>0.26400000000000001</v>
      </c>
      <c r="L19" s="886">
        <f>EF_biogas_CO2</f>
        <v>0</v>
      </c>
      <c r="M19" s="25">
        <f>'EF brandstof'!L4</f>
        <v>0</v>
      </c>
      <c r="N19" s="25">
        <f>'EF brandstof'!K4</f>
        <v>0</v>
      </c>
      <c r="O19" s="25">
        <f>'EF brandstof'!M4</f>
        <v>0</v>
      </c>
      <c r="P19" s="25">
        <v>0</v>
      </c>
      <c r="Q19" s="25">
        <v>0</v>
      </c>
    </row>
    <row r="20" spans="1:19">
      <c r="A20"/>
      <c r="B20" s="22"/>
      <c r="C20" s="22"/>
      <c r="D20" s="22"/>
      <c r="E20" s="22"/>
      <c r="F20" s="22"/>
      <c r="G20" s="22"/>
      <c r="H20" s="22"/>
      <c r="I20" s="22"/>
      <c r="J20" s="22"/>
      <c r="K20" s="22"/>
      <c r="L20" s="22"/>
      <c r="M20" s="22"/>
      <c r="N20" s="22"/>
      <c r="O20" s="22"/>
      <c r="P20" s="22"/>
      <c r="Q20" s="22"/>
    </row>
    <row r="21" spans="1:19">
      <c r="A21" s="20" t="s">
        <v>193</v>
      </c>
      <c r="B21" s="23">
        <f>B17*B19</f>
        <v>80.355402332235329</v>
      </c>
      <c r="C21" s="23">
        <f t="shared" ref="C21:O21" si="4">C17*C19</f>
        <v>0</v>
      </c>
      <c r="D21" s="23">
        <f t="shared" si="4"/>
        <v>103.59182821168925</v>
      </c>
      <c r="E21" s="23">
        <f t="shared" si="4"/>
        <v>0.67537312246276093</v>
      </c>
      <c r="F21" s="23">
        <f t="shared" si="4"/>
        <v>32.586618908962073</v>
      </c>
      <c r="G21" s="23" t="s">
        <v>637</v>
      </c>
      <c r="H21" s="23">
        <f t="shared" si="4"/>
        <v>7.3416193402258394E-3</v>
      </c>
      <c r="I21" s="23" t="s">
        <v>637</v>
      </c>
      <c r="J21" s="23">
        <f t="shared" si="4"/>
        <v>4.9731200882361011E-4</v>
      </c>
      <c r="K21" s="23" t="s">
        <v>637</v>
      </c>
      <c r="L21" s="23" t="s">
        <v>671</v>
      </c>
      <c r="M21" s="23" t="s">
        <v>668</v>
      </c>
      <c r="N21" s="23" t="s">
        <v>668</v>
      </c>
      <c r="O21" s="23">
        <f t="shared" si="4"/>
        <v>0</v>
      </c>
      <c r="P21" s="23" t="s">
        <v>637</v>
      </c>
      <c r="Q21" s="23" t="s">
        <v>637</v>
      </c>
    </row>
    <row r="22" spans="1:19">
      <c r="A22" s="42"/>
      <c r="B22" s="29"/>
      <c r="C22" s="29"/>
      <c r="D22" s="29"/>
      <c r="E22" s="29"/>
      <c r="F22" s="29"/>
      <c r="G22" s="29"/>
      <c r="H22" s="29"/>
      <c r="I22" s="29"/>
      <c r="J22" s="29"/>
      <c r="K22" s="29"/>
      <c r="L22" s="29"/>
      <c r="M22" s="29"/>
      <c r="N22" s="29"/>
      <c r="O22" s="29"/>
      <c r="P22" s="29"/>
      <c r="Q22" s="29"/>
    </row>
    <row r="24" spans="1:19">
      <c r="A24" s="182" t="s">
        <v>399</v>
      </c>
      <c r="B24" s="191"/>
      <c r="C24" s="191"/>
      <c r="D24" s="205"/>
    </row>
    <row r="25" spans="1:19">
      <c r="A25" s="215"/>
      <c r="B25" s="32"/>
      <c r="C25" s="32"/>
      <c r="D25" s="216"/>
    </row>
    <row r="26" spans="1:19">
      <c r="A26" s="217"/>
      <c r="B26" s="204" t="s">
        <v>231</v>
      </c>
      <c r="C26" s="204" t="s">
        <v>232</v>
      </c>
      <c r="D26" s="218" t="s">
        <v>162</v>
      </c>
    </row>
    <row r="27" spans="1:19">
      <c r="A27" s="211" t="s">
        <v>53</v>
      </c>
      <c r="B27" s="33">
        <f>IF(ISERROR(TER_kantoor_ele_kWh/1000),0,TER_kantoor_ele_kWh/1000)</f>
        <v>95.288830000000004</v>
      </c>
      <c r="C27" s="39">
        <f>IF(ISERROR(B27*3.6/1000000/'E Balans VL '!Z12*100),0,B27*3.6/1000000/'E Balans VL '!Z12*100)</f>
        <v>2.9026206374960467E-3</v>
      </c>
      <c r="D27" s="216" t="s">
        <v>734</v>
      </c>
      <c r="F27" s="6"/>
    </row>
    <row r="28" spans="1:19">
      <c r="A28" s="211" t="s">
        <v>52</v>
      </c>
      <c r="B28" s="33">
        <f>IF(ISERROR(TER_horeca_ele_kWh/1000),0,TER_horeca_ele_kWh/1000)</f>
        <v>118.49544</v>
      </c>
      <c r="C28" s="39">
        <f>IF(ISERROR(B28*3.6/1000000/'E Balans VL '!Z9*100),0,B28*3.6/1000000/'E Balans VL '!Z9*100)</f>
        <v>1.4114233284347839E-2</v>
      </c>
      <c r="D28" s="216" t="s">
        <v>734</v>
      </c>
      <c r="F28" s="6"/>
    </row>
    <row r="29" spans="1:19">
      <c r="A29" s="164" t="s">
        <v>51</v>
      </c>
      <c r="B29" s="33">
        <f>IF(ISERROR(TER_handel_ele_kWh/1000),0,TER_handel_ele_kWh/1000)</f>
        <v>97.56165</v>
      </c>
      <c r="C29" s="39">
        <f>IF(ISERROR(B29*3.6/1000000/'E Balans VL '!Z13*100),0,B29*3.6/1000000/'E Balans VL '!Z13*100)</f>
        <v>3.3527061204322831E-3</v>
      </c>
      <c r="D29" s="216" t="s">
        <v>734</v>
      </c>
      <c r="F29" s="6"/>
    </row>
    <row r="30" spans="1:19">
      <c r="A30" s="211" t="s">
        <v>50</v>
      </c>
      <c r="B30" s="33">
        <f>IF(ISERROR(TER_gezond_ele_kWh/1000),0,TER_gezond_ele_kWh/1000)</f>
        <v>20.06823</v>
      </c>
      <c r="C30" s="39">
        <f>IF(ISERROR(B30*3.6/1000000/'E Balans VL '!Z10*100),0,B30*3.6/1000000/'E Balans VL '!Z10*100)</f>
        <v>1.9259597279708083E-3</v>
      </c>
      <c r="D30" s="216" t="s">
        <v>734</v>
      </c>
      <c r="F30" s="6"/>
    </row>
    <row r="31" spans="1:19">
      <c r="A31" s="211" t="s">
        <v>49</v>
      </c>
      <c r="B31" s="33">
        <f>IF(ISERROR(TER_ander_ele_kWh/1000),0,TER_ander_ele_kWh/1000)</f>
        <v>146.82005999999998</v>
      </c>
      <c r="C31" s="39">
        <f>IF(ISERROR(B31*3.6/1000000/'E Balans VL '!Z14*100),0,B31*3.6/1000000/'E Balans VL '!Z14*100)</f>
        <v>5.6260810950525611E-3</v>
      </c>
      <c r="D31" s="216" t="s">
        <v>734</v>
      </c>
      <c r="F31" s="6"/>
    </row>
    <row r="32" spans="1:19">
      <c r="A32" s="211" t="s">
        <v>54</v>
      </c>
      <c r="B32" s="33">
        <f>IF(ISERROR(TER_onderwijs_ele_kWh/1000),0,TER_onderwijs_ele_kWh/1000)</f>
        <v>0</v>
      </c>
      <c r="C32" s="39">
        <f>IF(ISERROR(B32*3.6/1000000/'E Balans VL '!Z11*100),0,B32*3.6/1000000/'E Balans VL '!Z11*100)</f>
        <v>0</v>
      </c>
      <c r="D32" s="216" t="s">
        <v>734</v>
      </c>
    </row>
    <row r="33" spans="1:4">
      <c r="A33" s="211" t="s">
        <v>229</v>
      </c>
      <c r="B33" s="33">
        <f>IF(ISERROR(TER_rest_ele_kWh/1000),0,TER_rest_ele_kWh/1000)</f>
        <v>14.260389999999999</v>
      </c>
      <c r="C33" s="39">
        <f>IF(ISERROR(B33*3.6/1000000/'E Balans VL '!Z8*100),0,B33*3.6/1000000/'E Balans VL '!Z8*100)</f>
        <v>1.275141941660429E-4</v>
      </c>
      <c r="D33" s="216" t="s">
        <v>734</v>
      </c>
    </row>
    <row r="34" spans="1:4">
      <c r="A34" s="219"/>
      <c r="B34" s="171"/>
      <c r="C34" s="171"/>
      <c r="D34" s="220"/>
    </row>
    <row r="35" spans="1:4">
      <c r="A35" s="32"/>
      <c r="B35" s="32"/>
      <c r="C35" s="32"/>
    </row>
    <row r="36" spans="1:4">
      <c r="A36" s="32"/>
      <c r="B36" s="32"/>
      <c r="C36" s="32"/>
    </row>
  </sheetData>
  <mergeCells count="6">
    <mergeCell ref="A1:A3"/>
    <mergeCell ref="B1:Q1"/>
    <mergeCell ref="B2:B3"/>
    <mergeCell ref="C2:C3"/>
    <mergeCell ref="D2:K2"/>
    <mergeCell ref="M2:Q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S40"/>
  <sheetViews>
    <sheetView showGridLines="0" topLeftCell="A10" zoomScale="80" zoomScaleNormal="80" workbookViewId="0">
      <selection activeCell="O23" sqref="O2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143</v>
      </c>
      <c r="B1" s="1160" t="s">
        <v>175</v>
      </c>
      <c r="C1" s="1161"/>
      <c r="D1" s="1161"/>
      <c r="E1" s="1161"/>
      <c r="F1" s="1161"/>
      <c r="G1" s="1161"/>
      <c r="H1" s="1161"/>
      <c r="I1" s="1161"/>
      <c r="J1" s="1161"/>
      <c r="K1" s="1161"/>
      <c r="L1" s="1161"/>
      <c r="M1" s="1161"/>
      <c r="N1" s="1161"/>
      <c r="O1" s="1161"/>
      <c r="P1" s="1161"/>
      <c r="Q1" s="1161"/>
      <c r="S1" s="607"/>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c r="S2" s="607"/>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c r="S3" s="607"/>
    </row>
    <row r="4" spans="1:19" ht="15.75">
      <c r="A4" s="13"/>
      <c r="B4" s="14"/>
      <c r="C4" s="14"/>
      <c r="D4" s="14"/>
      <c r="E4" s="14"/>
      <c r="F4" s="14"/>
      <c r="G4" s="14"/>
      <c r="H4" s="14"/>
      <c r="I4" s="14"/>
      <c r="J4" s="14"/>
      <c r="K4" s="14"/>
      <c r="L4" s="14"/>
      <c r="M4" s="14"/>
      <c r="N4" s="14"/>
      <c r="O4" s="14"/>
      <c r="P4" s="14"/>
      <c r="Q4" s="14"/>
      <c r="S4" s="6"/>
    </row>
    <row r="5" spans="1:19">
      <c r="A5" s="16" t="s">
        <v>233</v>
      </c>
      <c r="B5" s="30">
        <f>SUM(B6:B15)</f>
        <v>20.6753</v>
      </c>
      <c r="C5" s="17">
        <f>IF(ISERROR('Eigen informatie GS &amp; warmtenet'!B63),0,'Eigen informatie GS &amp; warmtenet'!B63)</f>
        <v>0</v>
      </c>
      <c r="D5" s="30">
        <f>SUM(D6:D15)</f>
        <v>89.713438289999999</v>
      </c>
      <c r="E5" s="17">
        <f>SUM(E6:E15)</f>
        <v>0.43175850542947813</v>
      </c>
      <c r="F5" s="17">
        <f>SUM(F6:F15)</f>
        <v>17.465365466237849</v>
      </c>
      <c r="G5" s="17" t="s">
        <v>637</v>
      </c>
      <c r="H5" s="17">
        <f t="shared" ref="H5" si="0">SUM(H6:H15)</f>
        <v>0</v>
      </c>
      <c r="I5" s="17" t="s">
        <v>637</v>
      </c>
      <c r="J5" s="17">
        <f>SUM(J6:J15)</f>
        <v>2.3856381474680253E-2</v>
      </c>
      <c r="K5" s="17" t="s">
        <v>637</v>
      </c>
      <c r="L5" s="884" t="s">
        <v>668</v>
      </c>
      <c r="M5" s="17" t="s">
        <v>668</v>
      </c>
      <c r="N5" s="17" t="s">
        <v>668</v>
      </c>
      <c r="O5" s="17">
        <f>SUM(O6:O15)</f>
        <v>1.2575867958902038</v>
      </c>
      <c r="P5" s="17" t="s">
        <v>637</v>
      </c>
      <c r="Q5" s="17" t="s">
        <v>637</v>
      </c>
      <c r="S5" s="32"/>
    </row>
    <row r="6" spans="1:19">
      <c r="A6" s="6" t="s">
        <v>34</v>
      </c>
      <c r="B6" s="37">
        <f>IF( ISERROR(IND_ijzer_ele_kWh/1000),0,IND_ijzer_ele_kWh/1000)</f>
        <v>0</v>
      </c>
      <c r="C6" s="33"/>
      <c r="D6" s="37">
        <f>IF( ISERROR(IND_ijzer_gas_kWh/1000),0,IND_ijzer_gas_kWh/1000)*0.903</f>
        <v>0</v>
      </c>
      <c r="E6" s="33"/>
      <c r="F6" s="33"/>
      <c r="G6" s="33"/>
      <c r="H6" s="33"/>
      <c r="I6" s="33"/>
      <c r="J6" s="40"/>
      <c r="K6" s="33"/>
      <c r="L6" s="33"/>
      <c r="M6" s="33"/>
      <c r="N6" s="33"/>
      <c r="O6" s="33"/>
      <c r="P6" s="33"/>
      <c r="Q6" s="33"/>
      <c r="S6" s="32"/>
    </row>
    <row r="7" spans="1:19">
      <c r="A7" s="6" t="s">
        <v>37</v>
      </c>
      <c r="B7" s="37">
        <f t="shared" ref="B7:B15" si="1">B30</f>
        <v>0</v>
      </c>
      <c r="C7" s="33"/>
      <c r="D7" s="37">
        <f>IF( ISERROR(IND_nonf_gas_kWhh/1000),0,IND_nonf_gas_kWh/1000)*0.903</f>
        <v>0</v>
      </c>
      <c r="E7" s="33">
        <f>C30*'E Balans VL '!I17/100/3.6*1000000</f>
        <v>0</v>
      </c>
      <c r="F7" s="33">
        <f>C30*'E Balans VL '!L17/100/3.6*1000000+C30*'E Balans VL '!N17/100/3.6*1000000</f>
        <v>0</v>
      </c>
      <c r="G7" s="33"/>
      <c r="H7" s="33">
        <f>E30*'E Balans VL '!J17/100/3.6*1000000</f>
        <v>0</v>
      </c>
      <c r="I7" s="33"/>
      <c r="J7" s="40">
        <f>C30*'E Balans VL '!D17/100/3.6*1000000+C30*'E Balans VL '!E17/100/3.6*1000000</f>
        <v>0</v>
      </c>
      <c r="K7" s="33"/>
      <c r="L7" s="33"/>
      <c r="M7" s="33"/>
      <c r="N7" s="33"/>
      <c r="O7" s="33">
        <f>C30*'E Balans VL '!Y17/100/3.6*1000000</f>
        <v>0</v>
      </c>
      <c r="P7" s="33"/>
      <c r="Q7" s="33"/>
      <c r="S7" s="32"/>
    </row>
    <row r="8" spans="1:19">
      <c r="A8" s="6" t="s">
        <v>35</v>
      </c>
      <c r="B8" s="37">
        <f t="shared" si="1"/>
        <v>0</v>
      </c>
      <c r="C8" s="33"/>
      <c r="D8" s="37">
        <f>IF( ISERROR(IND_metaal_Gas_kWH/1000),0,IND_metaal_Gas_kWH/1000)*0.903</f>
        <v>0</v>
      </c>
      <c r="E8" s="33">
        <f>C31*'E Balans VL '!I18/100/3.6*1000000</f>
        <v>0</v>
      </c>
      <c r="F8" s="33">
        <f>C31*'E Balans VL '!L18/100/3.6*1000000+C31*'E Balans VL '!N18/100/3.6*1000000</f>
        <v>0</v>
      </c>
      <c r="G8" s="33"/>
      <c r="H8" s="33">
        <f>E31*'E Balans VL '!J18/100/3.6*1000000</f>
        <v>0</v>
      </c>
      <c r="I8" s="33"/>
      <c r="J8" s="40">
        <f>C31*'E Balans VL '!D18/100/3.6*1000000+C31*'E Balans VL '!E18/100/3.6*1000000</f>
        <v>0</v>
      </c>
      <c r="K8" s="33"/>
      <c r="L8" s="33"/>
      <c r="M8" s="33"/>
      <c r="N8" s="33"/>
      <c r="O8" s="33">
        <f>C31*'E Balans VL '!Y18/100/3.6*1000000</f>
        <v>0</v>
      </c>
      <c r="P8" s="33"/>
      <c r="Q8" s="33"/>
      <c r="S8" s="32"/>
    </row>
    <row r="9" spans="1:19">
      <c r="A9" s="6" t="s">
        <v>32</v>
      </c>
      <c r="B9" s="37">
        <f t="shared" si="1"/>
        <v>16.274629999999998</v>
      </c>
      <c r="C9" s="33"/>
      <c r="D9" s="37">
        <f>IF( ISERROR(IND_andere_gas_kWh/1000),0,IND_andere_gas_kWh/1000)*0.903</f>
        <v>77.396689859999995</v>
      </c>
      <c r="E9" s="33">
        <f>C32*'E Balans VL '!I19/100/3.6*1000000</f>
        <v>0.10247100267121173</v>
      </c>
      <c r="F9" s="33">
        <f>C32*'E Balans VL '!L19/100/3.6*1000000+C32*'E Balans VL '!N19/100/3.6*1000000</f>
        <v>16.484806630407295</v>
      </c>
      <c r="G9" s="33"/>
      <c r="H9" s="33">
        <f>E32*'E Balans VL '!J19/100/3.6*1000000</f>
        <v>0</v>
      </c>
      <c r="I9" s="33"/>
      <c r="J9" s="40">
        <f>C32*'E Balans VL '!D19/100/3.6*1000000+C32*'E Balans VL '!E19/100/3.6*1000000</f>
        <v>0</v>
      </c>
      <c r="K9" s="33"/>
      <c r="L9" s="33"/>
      <c r="M9" s="33"/>
      <c r="N9" s="33"/>
      <c r="O9" s="33">
        <f>C32*'E Balans VL '!Y19/100/3.6*1000000</f>
        <v>1.0485583701512378</v>
      </c>
      <c r="P9" s="33"/>
      <c r="Q9" s="33"/>
      <c r="S9" s="32"/>
    </row>
    <row r="10" spans="1:19">
      <c r="A10" s="6" t="s">
        <v>40</v>
      </c>
      <c r="B10" s="37">
        <f t="shared" si="1"/>
        <v>0</v>
      </c>
      <c r="C10" s="33"/>
      <c r="D10" s="37">
        <f>IF( ISERROR(IND_voed_gas_kWh/1000),0,IND_voed_gas_kWh/1000)*0.903</f>
        <v>0</v>
      </c>
      <c r="E10" s="33">
        <f>C33*'E Balans VL '!I20/100/3.6*1000000</f>
        <v>0</v>
      </c>
      <c r="F10" s="33">
        <f>C33*'E Balans VL '!L20/100/3.6*1000000+C33*'E Balans VL '!N20/100/3.6*1000000</f>
        <v>0</v>
      </c>
      <c r="G10" s="33"/>
      <c r="H10" s="33">
        <f>E33*'E Balans VL '!J20/100/3.6*1000000</f>
        <v>0</v>
      </c>
      <c r="I10" s="33"/>
      <c r="J10" s="40">
        <f>C33*'E Balans VL '!D20/100/3.6*1000000+C33*'E Balans VL '!E20/100/3.6*1000000</f>
        <v>0</v>
      </c>
      <c r="K10" s="33"/>
      <c r="L10" s="33"/>
      <c r="M10" s="33"/>
      <c r="N10" s="33"/>
      <c r="O10" s="33">
        <f>C33*'E Balans VL '!Y20/100/3.6*1000000</f>
        <v>0</v>
      </c>
      <c r="P10" s="33"/>
      <c r="Q10" s="33"/>
      <c r="S10" s="32"/>
    </row>
    <row r="11" spans="1:19">
      <c r="A11" s="6" t="s">
        <v>39</v>
      </c>
      <c r="B11" s="37">
        <f t="shared" si="1"/>
        <v>0</v>
      </c>
      <c r="C11" s="33"/>
      <c r="D11" s="37">
        <f>IF( ISERROR(IND_textiel_gas_kWh/1000),0,IND_textiel_gas_kWh/1000)*0.903</f>
        <v>0</v>
      </c>
      <c r="E11" s="33">
        <f>C34*'E Balans VL '!I21/100/3.6*1000000</f>
        <v>0</v>
      </c>
      <c r="F11" s="33">
        <f>C34*'E Balans VL '!L21/100/3.6*1000000+C34*'E Balans VL '!N21/100/3.6*1000000</f>
        <v>0</v>
      </c>
      <c r="G11" s="33"/>
      <c r="H11" s="33">
        <f>E34*'E Balans VL '!J21/100/3.6*1000000</f>
        <v>0</v>
      </c>
      <c r="I11" s="33"/>
      <c r="J11" s="40">
        <f>C34*'E Balans VL '!D21/100/3.6*1000000+C34*'E Balans VL '!E21/100/3.6*1000000</f>
        <v>0</v>
      </c>
      <c r="K11" s="33"/>
      <c r="L11" s="33"/>
      <c r="M11" s="33"/>
      <c r="N11" s="33"/>
      <c r="O11" s="33">
        <f>C34*'E Balans VL '!Y21/100/3.6*1000000</f>
        <v>0</v>
      </c>
      <c r="P11" s="33"/>
      <c r="Q11" s="33"/>
      <c r="S11" s="32"/>
    </row>
    <row r="12" spans="1:19">
      <c r="A12" s="6" t="s">
        <v>36</v>
      </c>
      <c r="B12" s="37">
        <f t="shared" si="1"/>
        <v>0</v>
      </c>
      <c r="C12" s="33"/>
      <c r="D12" s="37">
        <f>IF( ISERROR(IND_min_gas_kWh/1000),0,IND_min_gas_kWh/1000)*0.903</f>
        <v>0</v>
      </c>
      <c r="E12" s="33">
        <f>C35*'E Balans VL '!I22/100/3.6*1000000</f>
        <v>0</v>
      </c>
      <c r="F12" s="33">
        <f>C35*'E Balans VL '!L22/100/3.6*1000000+C35*'E Balans VL '!N22/100/3.6*1000000</f>
        <v>0</v>
      </c>
      <c r="G12" s="33"/>
      <c r="H12" s="33">
        <f>E35*'E Balans VL '!J22/100/3.6*1000000</f>
        <v>0</v>
      </c>
      <c r="I12" s="33"/>
      <c r="J12" s="40">
        <f>C35*'E Balans VL '!D22/100/3.6*1000000+C35*'E Balans VL '!E22/100/3.6*1000000</f>
        <v>0</v>
      </c>
      <c r="K12" s="33"/>
      <c r="L12" s="33"/>
      <c r="M12" s="33"/>
      <c r="N12" s="33"/>
      <c r="O12" s="33">
        <f>C35*'E Balans VL '!Y22/100/3.6*1000000</f>
        <v>0</v>
      </c>
      <c r="P12" s="33"/>
      <c r="Q12" s="33"/>
      <c r="S12" s="32"/>
    </row>
    <row r="13" spans="1:19">
      <c r="A13" s="6" t="s">
        <v>38</v>
      </c>
      <c r="B13" s="37">
        <f t="shared" si="1"/>
        <v>0</v>
      </c>
      <c r="C13" s="33"/>
      <c r="D13" s="37">
        <f>IF( ISERROR(IND_papier_gas_kWh/1000),0,IND_papier_gas_kWh/1000)*0.903</f>
        <v>0</v>
      </c>
      <c r="E13" s="33">
        <f>C36*'E Balans VL '!I23/100/3.6*1000000</f>
        <v>0</v>
      </c>
      <c r="F13" s="33">
        <f>C36*'E Balans VL '!L23/100/3.6*1000000+C36*'E Balans VL '!N23/100/3.6*1000000</f>
        <v>0</v>
      </c>
      <c r="G13" s="33"/>
      <c r="H13" s="33">
        <f>E36*'E Balans VL '!J23/100/3.6*1000000</f>
        <v>0</v>
      </c>
      <c r="I13" s="33"/>
      <c r="J13" s="40">
        <f>C36*'E Balans VL '!D23/100/3.6*1000000+C36*'E Balans VL '!E23/100/3.6*1000000</f>
        <v>0</v>
      </c>
      <c r="K13" s="33"/>
      <c r="L13" s="33"/>
      <c r="M13" s="33"/>
      <c r="N13" s="33"/>
      <c r="O13" s="33">
        <f>C36*'E Balans VL '!Y23/100/3.6*1000000</f>
        <v>0</v>
      </c>
      <c r="P13" s="33"/>
      <c r="Q13" s="33"/>
      <c r="S13" s="32"/>
    </row>
    <row r="14" spans="1:19">
      <c r="A14" s="6" t="s">
        <v>33</v>
      </c>
      <c r="B14" s="37">
        <f t="shared" si="1"/>
        <v>0</v>
      </c>
      <c r="C14" s="33"/>
      <c r="D14" s="37">
        <f>IF( ISERROR(IND_chemie_gas_kWh/1000),0,IND_chemie_gas_kWh/1000)*0.903</f>
        <v>0</v>
      </c>
      <c r="E14" s="33">
        <f>C37*'E Balans VL '!I24/100/3.6*1000000</f>
        <v>0</v>
      </c>
      <c r="F14" s="33">
        <f>C37*'E Balans VL '!L24/100/3.6*1000000+C37*'E Balans VL '!N24/100/3.6*1000000</f>
        <v>0</v>
      </c>
      <c r="G14" s="33"/>
      <c r="H14" s="33">
        <f>E37*'E Balans VL '!J24/100/3.6*1000000</f>
        <v>0</v>
      </c>
      <c r="I14" s="33"/>
      <c r="J14" s="40">
        <f>C37*'E Balans VL '!D24/100/3.6*1000000+C37*'E Balans VL '!E24/100/3.6*1000000</f>
        <v>0</v>
      </c>
      <c r="K14" s="33"/>
      <c r="L14" s="33"/>
      <c r="M14" s="33"/>
      <c r="N14" s="33"/>
      <c r="O14" s="33">
        <f>C37*'E Balans VL '!Y24/100/3.6*1000000</f>
        <v>0</v>
      </c>
      <c r="P14" s="33"/>
      <c r="Q14" s="33"/>
      <c r="S14" s="32"/>
    </row>
    <row r="15" spans="1:19">
      <c r="A15" s="6" t="s">
        <v>234</v>
      </c>
      <c r="B15" s="37">
        <f t="shared" si="1"/>
        <v>4.4006699999999999</v>
      </c>
      <c r="C15" s="33"/>
      <c r="D15" s="37">
        <f>IF( ISERROR(IND_rest_gas_kWh/1000),0,IND_rest_gas_kWh/1000)*0.903</f>
        <v>12.316748429999999</v>
      </c>
      <c r="E15" s="33">
        <f>C38*'E Balans VL '!I15/100/3.6*1000000</f>
        <v>0.3292875027582664</v>
      </c>
      <c r="F15" s="33">
        <f>C38*'E Balans VL '!L15/100/3.6*1000000+C38*'E Balans VL '!N15/100/3.6*1000000</f>
        <v>0.98055883583055448</v>
      </c>
      <c r="G15" s="33"/>
      <c r="H15" s="33">
        <f>E38*'E Balans VL '!J15/100/3.6*1000000</f>
        <v>0</v>
      </c>
      <c r="I15" s="33"/>
      <c r="J15" s="40">
        <f>C38*'E Balans VL '!D15/100/3.6*1000000+C38*'E Balans VL '!E15/100/3.6*1000000</f>
        <v>2.3856381474680253E-2</v>
      </c>
      <c r="K15" s="33"/>
      <c r="L15" s="33"/>
      <c r="M15" s="33"/>
      <c r="N15" s="33"/>
      <c r="O15" s="33">
        <f>C38*'E Balans VL '!Y15/100/3.6*1000000</f>
        <v>0.20902842573896616</v>
      </c>
      <c r="P15" s="33"/>
      <c r="Q15" s="33"/>
      <c r="S15" s="32"/>
    </row>
    <row r="16" spans="1:19">
      <c r="A16" s="16" t="s">
        <v>626</v>
      </c>
      <c r="B16" s="17">
        <f>'lokale energieproductie'!N31</f>
        <v>0</v>
      </c>
      <c r="C16" s="17">
        <f>'lokale energieproductie'!O31</f>
        <v>0</v>
      </c>
      <c r="D16" s="920">
        <f>('lokale energieproductie'!P31)*(-1)</f>
        <v>0</v>
      </c>
      <c r="E16" s="920">
        <f>('lokale energieproductie'!X31)*(-1)</f>
        <v>0</v>
      </c>
      <c r="F16" s="920">
        <f>('lokale energieproductie'!S31)*(-1)</f>
        <v>0</v>
      </c>
      <c r="G16" s="224"/>
      <c r="H16" s="223"/>
      <c r="I16" s="223"/>
      <c r="J16" s="223"/>
      <c r="K16" s="223"/>
      <c r="L16" s="888"/>
      <c r="M16" s="920"/>
      <c r="N16" s="223"/>
      <c r="O16" s="920">
        <f>('lokale energieproductie'!Q31+'lokale energieproductie'!R31+'lokale energieproductie'!V31+'lokale energieproductie'!T31+'lokale energieproductie'!U31)*(-1)</f>
        <v>0</v>
      </c>
      <c r="P16" s="223"/>
      <c r="Q16" s="223"/>
      <c r="S16" s="32"/>
    </row>
    <row r="17" spans="1:19" s="812" customFormat="1">
      <c r="A17" s="16" t="s">
        <v>484</v>
      </c>
      <c r="B17" s="17">
        <f>MWh_eigenverbruikPV_industrie</f>
        <v>2.986318071470587</v>
      </c>
      <c r="C17" s="17"/>
      <c r="D17" s="920"/>
      <c r="E17" s="920"/>
      <c r="F17" s="920"/>
      <c r="G17" s="224"/>
      <c r="H17" s="223"/>
      <c r="I17" s="223"/>
      <c r="J17" s="223"/>
      <c r="K17" s="223"/>
      <c r="L17" s="888"/>
      <c r="M17" s="920"/>
      <c r="N17" s="223"/>
      <c r="O17" s="920"/>
      <c r="P17" s="223"/>
      <c r="Q17" s="223"/>
      <c r="S17" s="32"/>
    </row>
    <row r="18" spans="1:19">
      <c r="A18" s="6"/>
      <c r="B18" s="29"/>
      <c r="C18" s="29"/>
      <c r="D18" s="921"/>
      <c r="E18" s="29"/>
      <c r="F18" s="29"/>
      <c r="G18" s="28"/>
      <c r="H18" s="29"/>
      <c r="I18" s="29"/>
      <c r="J18" s="29"/>
      <c r="K18" s="29"/>
      <c r="L18" s="29"/>
      <c r="M18" s="29"/>
      <c r="N18" s="29"/>
      <c r="O18" s="29"/>
      <c r="P18" s="29"/>
      <c r="Q18" s="29"/>
      <c r="S18" s="32"/>
    </row>
    <row r="19" spans="1:19">
      <c r="A19" s="20" t="s">
        <v>242</v>
      </c>
      <c r="B19" s="21">
        <f>MAX((B5+B16+B17),0)</f>
        <v>23.661618071470588</v>
      </c>
      <c r="C19" s="21">
        <f>C5+C16</f>
        <v>0</v>
      </c>
      <c r="D19" s="21">
        <f>MAX((D5+D16),0)</f>
        <v>89.713438289999999</v>
      </c>
      <c r="E19" s="21">
        <f>MAX((E5+E16),0)</f>
        <v>0.43175850542947813</v>
      </c>
      <c r="F19" s="21">
        <f>MAX((F5+F16),0)</f>
        <v>17.465365466237849</v>
      </c>
      <c r="G19" s="21" t="s">
        <v>637</v>
      </c>
      <c r="H19" s="21">
        <f t="shared" ref="H19" si="2">MAX((H5+H16),0)</f>
        <v>0</v>
      </c>
      <c r="I19" s="21" t="s">
        <v>637</v>
      </c>
      <c r="J19" s="21">
        <f>MAX((J5+J16),0)</f>
        <v>2.3856381474680253E-2</v>
      </c>
      <c r="K19" s="21" t="s">
        <v>637</v>
      </c>
      <c r="L19" s="882" t="s">
        <v>668</v>
      </c>
      <c r="M19" s="21" t="s">
        <v>668</v>
      </c>
      <c r="N19" s="21" t="s">
        <v>668</v>
      </c>
      <c r="O19" s="21">
        <f>MAX((O5+O16),0)</f>
        <v>1.2575867958902038</v>
      </c>
      <c r="P19" s="21" t="str">
        <f>P5</f>
        <v>NE</v>
      </c>
      <c r="Q19" s="21" t="str">
        <f>Q5</f>
        <v>NE</v>
      </c>
      <c r="S19" s="32"/>
    </row>
    <row r="20" spans="1:19">
      <c r="A20" s="8"/>
      <c r="B20" s="22"/>
      <c r="C20" s="22"/>
      <c r="D20" s="22"/>
      <c r="E20" s="22"/>
      <c r="F20" s="22"/>
      <c r="G20" s="22"/>
      <c r="H20" s="22"/>
      <c r="I20" s="22"/>
      <c r="J20" s="22"/>
      <c r="K20" s="22"/>
      <c r="L20" s="22"/>
      <c r="M20" s="22"/>
      <c r="N20" s="22"/>
      <c r="O20" s="22"/>
      <c r="P20" s="22"/>
      <c r="Q20" s="22"/>
    </row>
    <row r="21" spans="1:19">
      <c r="A21" s="24" t="s">
        <v>194</v>
      </c>
      <c r="B21" s="25">
        <f>'EF ele_warmte'!B13</f>
        <v>0.17310560263580646</v>
      </c>
      <c r="C21" s="25">
        <f>'EF ele_warmte'!B23</f>
        <v>0</v>
      </c>
      <c r="D21" s="25">
        <f>EF_CO2_aardgas</f>
        <v>0.20200000000000001</v>
      </c>
      <c r="E21" s="25">
        <f>EF_VLgas_CO2</f>
        <v>0.22700000000000001</v>
      </c>
      <c r="F21" s="25">
        <f>EF_stookolie_CO2</f>
        <v>0.26700000000000002</v>
      </c>
      <c r="G21" s="25">
        <f>EF_diesel_CO2</f>
        <v>0.26700000000000002</v>
      </c>
      <c r="H21" s="25">
        <f>EF_benzine_CO2</f>
        <v>0.249</v>
      </c>
      <c r="I21" s="25">
        <f>EF_bruinkool_CO2</f>
        <v>0.35099999999999998</v>
      </c>
      <c r="J21" s="25">
        <f>EF_steenkool_CO2</f>
        <v>0.35399999999999998</v>
      </c>
      <c r="K21" s="25">
        <f>EF_anderfossiel_CO2</f>
        <v>0.26400000000000001</v>
      </c>
      <c r="L21" s="886">
        <f>EF_biogas_CO2</f>
        <v>0</v>
      </c>
      <c r="M21" s="25">
        <f>'EF brandstof'!L4</f>
        <v>0</v>
      </c>
      <c r="N21" s="25">
        <f>'EF brandstof'!K4</f>
        <v>0</v>
      </c>
      <c r="O21" s="25">
        <f>'EF brandstof'!M4</f>
        <v>0</v>
      </c>
      <c r="P21" s="25">
        <v>0</v>
      </c>
      <c r="Q21" s="25">
        <v>0</v>
      </c>
    </row>
    <row r="22" spans="1:19">
      <c r="A22"/>
      <c r="B22" s="22"/>
      <c r="C22" s="22"/>
      <c r="D22" s="22"/>
      <c r="E22" s="22"/>
      <c r="F22" s="22"/>
      <c r="G22" s="22"/>
      <c r="H22" s="22"/>
      <c r="I22" s="22"/>
      <c r="J22" s="22"/>
      <c r="K22" s="22"/>
      <c r="L22" s="22"/>
      <c r="M22" s="22"/>
      <c r="N22" s="22"/>
      <c r="O22" s="22"/>
      <c r="P22" s="22"/>
      <c r="Q22" s="22"/>
    </row>
    <row r="23" spans="1:19">
      <c r="A23" s="20" t="s">
        <v>193</v>
      </c>
      <c r="B23" s="23">
        <f>B19*B21</f>
        <v>4.0959586556002048</v>
      </c>
      <c r="C23" s="23">
        <f>C19*C21</f>
        <v>0</v>
      </c>
      <c r="D23" s="23">
        <f>D19*D21</f>
        <v>18.12211453458</v>
      </c>
      <c r="E23" s="23">
        <f>E19*E21</f>
        <v>9.8009180732491541E-2</v>
      </c>
      <c r="F23" s="23">
        <f>F19*F21</f>
        <v>4.6632525794855058</v>
      </c>
      <c r="G23" s="23" t="s">
        <v>637</v>
      </c>
      <c r="H23" s="23">
        <f t="shared" ref="H23" si="3">H19*H21</f>
        <v>0</v>
      </c>
      <c r="I23" s="23" t="s">
        <v>637</v>
      </c>
      <c r="J23" s="23">
        <f>J19*J21</f>
        <v>8.4451590420368088E-3</v>
      </c>
      <c r="K23" s="23" t="s">
        <v>637</v>
      </c>
      <c r="L23" s="887" t="s">
        <v>668</v>
      </c>
      <c r="M23" s="23" t="s">
        <v>668</v>
      </c>
      <c r="N23" s="23" t="s">
        <v>668</v>
      </c>
      <c r="O23" s="23">
        <f>O19*O21</f>
        <v>0</v>
      </c>
      <c r="P23" s="23" t="s">
        <v>637</v>
      </c>
      <c r="Q23" s="23" t="s">
        <v>637</v>
      </c>
    </row>
    <row r="24" spans="1:19" s="32" customFormat="1">
      <c r="A24" s="42"/>
      <c r="B24" s="29"/>
      <c r="C24" s="29"/>
      <c r="D24" s="29"/>
      <c r="E24" s="29"/>
      <c r="F24" s="29"/>
      <c r="G24" s="29"/>
      <c r="H24" s="29"/>
      <c r="I24" s="29"/>
      <c r="J24" s="29"/>
      <c r="K24" s="29"/>
      <c r="L24" s="29"/>
      <c r="M24" s="29"/>
      <c r="N24" s="29"/>
      <c r="O24" s="29"/>
      <c r="P24" s="29"/>
      <c r="Q24" s="29"/>
    </row>
    <row r="25" spans="1:19" s="32" customFormat="1">
      <c r="A25" s="42"/>
      <c r="B25" s="29"/>
      <c r="C25" s="29"/>
      <c r="D25" s="29"/>
      <c r="E25" s="29"/>
      <c r="F25" s="29"/>
      <c r="G25" s="29"/>
      <c r="H25" s="29"/>
      <c r="I25" s="29"/>
      <c r="J25" s="29"/>
      <c r="K25" s="29"/>
      <c r="L25" s="29"/>
      <c r="M25" s="29"/>
      <c r="N25" s="29"/>
      <c r="O25" s="29"/>
      <c r="P25" s="29"/>
      <c r="Q25" s="29"/>
    </row>
    <row r="26" spans="1:19">
      <c r="A26" s="182" t="s">
        <v>399</v>
      </c>
      <c r="B26" s="191"/>
      <c r="C26" s="191"/>
      <c r="D26" s="205"/>
    </row>
    <row r="27" spans="1:19">
      <c r="A27" s="215"/>
      <c r="B27" s="32"/>
      <c r="C27" s="32"/>
      <c r="D27" s="216"/>
    </row>
    <row r="28" spans="1:19">
      <c r="A28" s="217"/>
      <c r="B28" s="204" t="s">
        <v>231</v>
      </c>
      <c r="C28" s="204" t="s">
        <v>232</v>
      </c>
      <c r="D28" s="218" t="s">
        <v>162</v>
      </c>
    </row>
    <row r="29" spans="1:19" ht="30">
      <c r="A29" s="164" t="s">
        <v>34</v>
      </c>
      <c r="B29" s="37"/>
      <c r="C29" s="39"/>
      <c r="D29" s="216" t="s">
        <v>735</v>
      </c>
    </row>
    <row r="30" spans="1:19" ht="30">
      <c r="A30" s="164" t="s">
        <v>37</v>
      </c>
      <c r="B30" s="37">
        <f>IF( ISERROR(IND_nonf_ele_kWh/1000),0,IND_nonf_ele_kWh/1000)</f>
        <v>0</v>
      </c>
      <c r="C30" s="39">
        <f>IF(ISERROR(B30*3.6/1000000/'E Balans VL '!Z17*100),0,B30*3.6/1000000/'E Balans VL '!Z17*100)</f>
        <v>0</v>
      </c>
      <c r="D30" s="216" t="s">
        <v>735</v>
      </c>
    </row>
    <row r="31" spans="1:19" ht="30">
      <c r="A31" s="164" t="s">
        <v>35</v>
      </c>
      <c r="B31" s="37">
        <f>IF( ISERROR(IND_metaal_ele_kWh/1000),0,IND_metaal_ele_kWh/1000)</f>
        <v>0</v>
      </c>
      <c r="C31" s="39">
        <f>IF(ISERROR(B31*3.6/1000000/'E Balans VL '!Z18*100),0,B31*3.6/1000000/'E Balans VL '!Z18*100)</f>
        <v>0</v>
      </c>
      <c r="D31" s="216" t="s">
        <v>735</v>
      </c>
    </row>
    <row r="32" spans="1:19" ht="30">
      <c r="A32" s="6" t="s">
        <v>32</v>
      </c>
      <c r="B32" s="37">
        <f>IF( ISERROR(IND_ander_ele_kWh/1000),0,IND_ander_ele_kWh/1000)</f>
        <v>16.274629999999998</v>
      </c>
      <c r="C32" s="39">
        <f>IF(ISERROR(B32*3.6/1000000/'E Balans VL '!Z19*100),0,B32*3.6/1000000/'E Balans VL '!Z19*100)</f>
        <v>8.6677183323843302E-4</v>
      </c>
      <c r="D32" s="216" t="s">
        <v>735</v>
      </c>
    </row>
    <row r="33" spans="1:5" ht="30">
      <c r="A33" s="164" t="s">
        <v>40</v>
      </c>
      <c r="B33" s="37">
        <f>IF( ISERROR(IND_voed_ele_kWh/1000),0,IND_voed_ele_kWh/1000)</f>
        <v>0</v>
      </c>
      <c r="C33" s="39">
        <f>IF(ISERROR(B33*3.6/1000000/'E Balans VL '!Z20*100),0,B33*3.6/1000000/'E Balans VL '!Z20*100)</f>
        <v>0</v>
      </c>
      <c r="D33" s="216" t="s">
        <v>735</v>
      </c>
    </row>
    <row r="34" spans="1:5" ht="30">
      <c r="A34" s="164" t="s">
        <v>39</v>
      </c>
      <c r="B34" s="37">
        <f>IF( ISERROR(IND_textiel_ele_kWh/1000),0,IND_textiel_ele_kWh/1000)</f>
        <v>0</v>
      </c>
      <c r="C34" s="39">
        <f>IF(ISERROR(B34*3.6/1000000/'E Balans VL '!Z21*100),0,B34*3.6/1000000/'E Balans VL '!Z21*100)</f>
        <v>0</v>
      </c>
      <c r="D34" s="216" t="s">
        <v>735</v>
      </c>
    </row>
    <row r="35" spans="1:5" ht="30">
      <c r="A35" s="164" t="s">
        <v>36</v>
      </c>
      <c r="B35" s="37">
        <f>IF( ISERROR(IND_min_ele_kWh/1000),0,IND_min_ele_kWh/1000)</f>
        <v>0</v>
      </c>
      <c r="C35" s="39">
        <f>IF(ISERROR(B35*3.6/1000000/'E Balans VL '!Z22*100),0,B35*3.6/1000000/'E Balans VL '!Z22*100)</f>
        <v>0</v>
      </c>
      <c r="D35" s="216" t="s">
        <v>735</v>
      </c>
    </row>
    <row r="36" spans="1:5" ht="30">
      <c r="A36" s="164" t="s">
        <v>38</v>
      </c>
      <c r="B36" s="37">
        <f>IF( ISERROR(IND_papier_ele_kWh/1000),0,IND_papier_ele_kWh/1000)</f>
        <v>0</v>
      </c>
      <c r="C36" s="39">
        <f>IF(ISERROR(B36*3.6/1000000/'E Balans VL '!Z22*100),0,B36*3.6/1000000/'E Balans VL '!Z22*100)</f>
        <v>0</v>
      </c>
      <c r="D36" s="216" t="s">
        <v>735</v>
      </c>
    </row>
    <row r="37" spans="1:5">
      <c r="A37" s="164" t="s">
        <v>33</v>
      </c>
      <c r="B37" s="37">
        <f>IF( ISERROR(IND_chemie_ele_kWh/1000),0,IND_chemie_ele_kWh/1000)</f>
        <v>0</v>
      </c>
      <c r="C37" s="39">
        <f>IF(ISERROR(B37*3.6/1000000/'E Balans VL '!Z24*100),0,B37*3.6/1000000/'E Balans VL '!Z24*100)</f>
        <v>0</v>
      </c>
      <c r="D37" s="216" t="s">
        <v>734</v>
      </c>
    </row>
    <row r="38" spans="1:5" ht="30">
      <c r="A38" s="164" t="s">
        <v>234</v>
      </c>
      <c r="B38" s="37">
        <f>IF( ISERROR(IND_rest_ele_kWh/1000),0,IND_rest_ele_kWh/1000)</f>
        <v>4.4006699999999999</v>
      </c>
      <c r="C38" s="39">
        <f>IF(ISERROR(B38*3.6/1000000/'E Balans VL '!Z15*100),0,B38*3.6/1000000/'E Balans VL '!Z15*100)</f>
        <v>4.2314846098550951E-5</v>
      </c>
      <c r="D38" s="216" t="s">
        <v>735</v>
      </c>
    </row>
    <row r="39" spans="1:5">
      <c r="A39" s="219"/>
      <c r="B39" s="171"/>
      <c r="C39" s="171"/>
      <c r="D39" s="220"/>
    </row>
    <row r="40" spans="1:5">
      <c r="A40" s="211"/>
      <c r="B40" s="32"/>
      <c r="C40" s="32"/>
      <c r="D40" s="32"/>
      <c r="E40" s="32"/>
    </row>
  </sheetData>
  <mergeCells count="6">
    <mergeCell ref="A1:A3"/>
    <mergeCell ref="B1:Q1"/>
    <mergeCell ref="B2:B3"/>
    <mergeCell ref="C2:C3"/>
    <mergeCell ref="D2:K2"/>
    <mergeCell ref="M2:Q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S35"/>
  <sheetViews>
    <sheetView showGridLines="0" zoomScale="80" zoomScaleNormal="80" workbookViewId="0">
      <selection activeCell="A21" sqref="A21:XFD21"/>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235</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14"/>
      <c r="G4" s="14"/>
      <c r="H4" s="14"/>
      <c r="I4" s="14"/>
      <c r="J4" s="14"/>
      <c r="K4" s="14"/>
      <c r="L4" s="14"/>
      <c r="M4" s="14"/>
      <c r="N4" s="14"/>
      <c r="O4" s="14"/>
      <c r="P4" s="14"/>
      <c r="Q4" s="14"/>
      <c r="S4" s="6"/>
    </row>
    <row r="5" spans="1:19">
      <c r="A5" s="16" t="s">
        <v>236</v>
      </c>
      <c r="B5" s="30">
        <f>IF(ISERROR(SUM(LB_lb_ele_kWh,LB_rest_ele_kWh)/1000),0,SUM(LB_lb_ele_kWh,LB_rest_ele_kWh)/1000)</f>
        <v>331.47881000000001</v>
      </c>
      <c r="C5" s="17">
        <f>'Eigen informatie GS &amp; warmtenet'!B64</f>
        <v>0</v>
      </c>
      <c r="D5" s="30">
        <f>IF(ISERROR(SUM(LB_lb_gas_kWh,LB_rest_gas_kWh)/1000),0,SUM(LB_lb_gas_kWh,LB_rest_gas_kWh)/1000)*0.903</f>
        <v>0</v>
      </c>
      <c r="E5" s="17">
        <f>B18*'E Balans VL '!I25/3.6*1000000/100</f>
        <v>12.97377661716142</v>
      </c>
      <c r="F5" s="17">
        <f>B18*('E Balans VL '!L25/3.6*1000000+'E Balans VL '!N25/3.6*1000000)/100</f>
        <v>1313.3959735563915</v>
      </c>
      <c r="G5" s="17" t="s">
        <v>637</v>
      </c>
      <c r="H5" s="17">
        <f>D18*('E Balans VL '!J25/3.6*1000000)/100</f>
        <v>0</v>
      </c>
      <c r="I5" s="17" t="s">
        <v>637</v>
      </c>
      <c r="J5" s="17">
        <f>('E Balans VL '!D25+'E Balans VL '!E25)/3.6*1000000*landbouw!B18/100</f>
        <v>41.77152164839066</v>
      </c>
      <c r="K5" s="17" t="s">
        <v>637</v>
      </c>
      <c r="L5" s="17" t="s">
        <v>668</v>
      </c>
      <c r="M5" s="17" t="s">
        <v>668</v>
      </c>
      <c r="N5" s="17" t="s">
        <v>671</v>
      </c>
      <c r="O5" s="17">
        <f>O6*(-1)</f>
        <v>0</v>
      </c>
      <c r="P5" s="17" t="s">
        <v>637</v>
      </c>
      <c r="Q5" s="17" t="s">
        <v>637</v>
      </c>
      <c r="S5" s="32"/>
    </row>
    <row r="6" spans="1:19">
      <c r="A6" s="16" t="s">
        <v>626</v>
      </c>
      <c r="B6" s="17" t="s">
        <v>191</v>
      </c>
      <c r="C6" s="17">
        <f>'lokale energieproductie'!O33</f>
        <v>0</v>
      </c>
      <c r="D6" s="920">
        <f>('lokale energieproductie'!P33)*(-1)</f>
        <v>0</v>
      </c>
      <c r="E6" s="920">
        <f>('lokale energieproductie'!X33)*(-1)</f>
        <v>0</v>
      </c>
      <c r="F6" s="920">
        <f>('lokale energieproductie'!S33)*(-1)</f>
        <v>0</v>
      </c>
      <c r="G6" s="224"/>
      <c r="H6" s="223"/>
      <c r="I6" s="223"/>
      <c r="J6" s="223"/>
      <c r="K6" s="223"/>
      <c r="L6" s="920" t="s">
        <v>668</v>
      </c>
      <c r="M6" s="920" t="s">
        <v>668</v>
      </c>
      <c r="N6" s="17" t="s">
        <v>671</v>
      </c>
      <c r="O6" s="920">
        <f>('lokale energieproductie'!V33+'lokale energieproductie'!R33+'lokale energieproductie'!T33+'lokale energieproductie'!U33+'lokale energieproductie'!Q33)*(-1)</f>
        <v>0</v>
      </c>
      <c r="P6" s="223"/>
      <c r="Q6" s="223"/>
      <c r="S6" s="32"/>
    </row>
    <row r="7" spans="1:19" s="812" customFormat="1">
      <c r="A7" s="16" t="s">
        <v>484</v>
      </c>
      <c r="B7" s="17">
        <f>MWh_eigenverbruikPV_landbouw</f>
        <v>14.931590357352935</v>
      </c>
      <c r="C7" s="17"/>
      <c r="D7" s="920"/>
      <c r="E7" s="920"/>
      <c r="F7" s="920"/>
      <c r="G7" s="224"/>
      <c r="H7" s="223"/>
      <c r="I7" s="223"/>
      <c r="J7" s="223"/>
      <c r="K7" s="223"/>
      <c r="L7" s="920"/>
      <c r="M7" s="920"/>
      <c r="N7" s="223"/>
      <c r="O7" s="920"/>
      <c r="P7" s="223"/>
      <c r="Q7" s="223"/>
      <c r="S7" s="32"/>
    </row>
    <row r="8" spans="1:19">
      <c r="A8" s="32"/>
      <c r="B8" s="29"/>
      <c r="C8" s="29"/>
      <c r="D8" s="921"/>
      <c r="E8" s="29"/>
      <c r="F8" s="29"/>
      <c r="G8" s="28"/>
      <c r="H8" s="29"/>
      <c r="I8" s="29"/>
      <c r="J8" s="29"/>
      <c r="K8" s="29"/>
      <c r="L8" s="29"/>
      <c r="M8" s="29"/>
      <c r="N8" s="29"/>
      <c r="O8" s="29"/>
      <c r="P8" s="29"/>
      <c r="Q8" s="29"/>
      <c r="S8" s="32"/>
    </row>
    <row r="9" spans="1:19">
      <c r="A9" s="20" t="s">
        <v>237</v>
      </c>
      <c r="B9" s="21">
        <f>MAX((B5+B7),0)</f>
        <v>346.41040035735296</v>
      </c>
      <c r="C9" s="21">
        <f>C5+C6</f>
        <v>0</v>
      </c>
      <c r="D9" s="21">
        <f>MAX((D5+D6),0)</f>
        <v>0</v>
      </c>
      <c r="E9" s="21">
        <f>MAX((E5+E6),0)</f>
        <v>12.97377661716142</v>
      </c>
      <c r="F9" s="21">
        <f>MAX((F5+F6),0)</f>
        <v>1313.3959735563915</v>
      </c>
      <c r="G9" s="21" t="s">
        <v>637</v>
      </c>
      <c r="H9" s="21" t="s">
        <v>637</v>
      </c>
      <c r="I9" s="21" t="s">
        <v>637</v>
      </c>
      <c r="J9" s="21">
        <f>MAX((J5+J6),0)</f>
        <v>41.77152164839066</v>
      </c>
      <c r="K9" s="21" t="s">
        <v>637</v>
      </c>
      <c r="L9" s="21" t="s">
        <v>668</v>
      </c>
      <c r="M9" s="21" t="s">
        <v>668</v>
      </c>
      <c r="N9" s="21" t="s">
        <v>668</v>
      </c>
      <c r="O9" s="21">
        <f>MAX((O5+O6),0)</f>
        <v>0</v>
      </c>
      <c r="P9" s="21" t="s">
        <v>637</v>
      </c>
      <c r="Q9" s="21" t="s">
        <v>637</v>
      </c>
      <c r="S9" s="32"/>
    </row>
    <row r="10" spans="1:19">
      <c r="A10"/>
      <c r="B10" s="19"/>
      <c r="C10" s="19"/>
      <c r="D10" s="19"/>
      <c r="E10" s="19"/>
      <c r="F10" s="19"/>
      <c r="G10" s="19"/>
      <c r="H10" s="19"/>
      <c r="I10" s="19"/>
      <c r="J10" s="19"/>
      <c r="K10" s="19"/>
      <c r="L10" s="19"/>
      <c r="M10" s="19"/>
      <c r="N10" s="19"/>
      <c r="O10" s="19"/>
      <c r="P10" s="19"/>
      <c r="Q10" s="19"/>
      <c r="S10" s="32"/>
    </row>
    <row r="11" spans="1:19">
      <c r="A11" s="24" t="s">
        <v>194</v>
      </c>
      <c r="B11" s="31">
        <f>'EF ele_warmte'!B13</f>
        <v>0.17310560263580646</v>
      </c>
      <c r="C11" s="31">
        <f>'EF ele_warmte'!B23</f>
        <v>0</v>
      </c>
      <c r="D11" s="31">
        <f>EF_CO2_aardgas</f>
        <v>0.20200000000000001</v>
      </c>
      <c r="E11" s="31">
        <f>EF_VLgas_CO2</f>
        <v>0.22700000000000001</v>
      </c>
      <c r="F11" s="31">
        <f>EF_stookolie_CO2</f>
        <v>0.26700000000000002</v>
      </c>
      <c r="G11" s="31">
        <f>EF_diesel_CO2</f>
        <v>0.26700000000000002</v>
      </c>
      <c r="H11" s="31">
        <f>EF_benzine_CO2</f>
        <v>0.249</v>
      </c>
      <c r="I11" s="31">
        <f>EF_bruinkool_CO2</f>
        <v>0.35099999999999998</v>
      </c>
      <c r="J11" s="31">
        <f>EF_steenkool_CO2</f>
        <v>0.35399999999999998</v>
      </c>
      <c r="K11" s="31">
        <f>EF_anderfossiel_CO2</f>
        <v>0.26400000000000001</v>
      </c>
      <c r="L11" s="889">
        <f>EF_biogas_CO2</f>
        <v>0</v>
      </c>
      <c r="M11" s="31">
        <f>'EF brandstof'!L4</f>
        <v>0</v>
      </c>
      <c r="N11" s="31">
        <f>'EF brandstof'!K4</f>
        <v>0</v>
      </c>
      <c r="O11" s="31">
        <f>'EF brandstof'!M4</f>
        <v>0</v>
      </c>
      <c r="P11" s="31"/>
      <c r="Q11" s="31"/>
    </row>
    <row r="12" spans="1:19">
      <c r="A12"/>
      <c r="B12" s="22"/>
      <c r="C12" s="22"/>
      <c r="D12" s="22"/>
      <c r="E12" s="22"/>
      <c r="F12" s="22"/>
      <c r="G12" s="22"/>
      <c r="H12" s="22"/>
      <c r="I12" s="22"/>
      <c r="J12" s="22"/>
      <c r="K12" s="22"/>
      <c r="L12" s="22"/>
      <c r="M12" s="22"/>
      <c r="N12" s="22"/>
      <c r="O12" s="22"/>
      <c r="P12" s="22"/>
      <c r="Q12" s="22"/>
    </row>
    <row r="13" spans="1:19">
      <c r="A13" s="20" t="s">
        <v>193</v>
      </c>
      <c r="B13" s="23">
        <f>B9*B11</f>
        <v>59.965581113170572</v>
      </c>
      <c r="C13" s="23">
        <f>C9*C11</f>
        <v>0</v>
      </c>
      <c r="D13" s="23">
        <f>D9*D11</f>
        <v>0</v>
      </c>
      <c r="E13" s="23">
        <f>E9*E11</f>
        <v>2.9450472920956425</v>
      </c>
      <c r="F13" s="23">
        <f>F9*F11</f>
        <v>350.67672493955655</v>
      </c>
      <c r="G13" s="23" t="s">
        <v>637</v>
      </c>
      <c r="H13" s="23" t="s">
        <v>637</v>
      </c>
      <c r="I13" s="23" t="s">
        <v>637</v>
      </c>
      <c r="J13" s="23">
        <f>J9*J11</f>
        <v>14.787118663530293</v>
      </c>
      <c r="K13" s="23" t="s">
        <v>637</v>
      </c>
      <c r="L13" s="23" t="s">
        <v>668</v>
      </c>
      <c r="M13" s="23" t="s">
        <v>668</v>
      </c>
      <c r="N13" s="23" t="s">
        <v>668</v>
      </c>
      <c r="O13" s="23">
        <f>O9*O11</f>
        <v>0</v>
      </c>
      <c r="P13" s="23" t="s">
        <v>637</v>
      </c>
      <c r="Q13" s="23" t="s">
        <v>637</v>
      </c>
    </row>
    <row r="15" spans="1:19">
      <c r="A15" s="182" t="s">
        <v>403</v>
      </c>
      <c r="B15" s="191"/>
      <c r="C15" s="205"/>
    </row>
    <row r="16" spans="1:19">
      <c r="A16" s="215"/>
      <c r="B16" s="32"/>
      <c r="C16" s="216"/>
    </row>
    <row r="17" spans="1:4">
      <c r="A17" s="229"/>
      <c r="B17" s="42" t="s">
        <v>253</v>
      </c>
      <c r="C17" s="1015" t="s">
        <v>162</v>
      </c>
    </row>
    <row r="18" spans="1:4">
      <c r="A18" s="230" t="s">
        <v>92</v>
      </c>
      <c r="B18" s="228">
        <f>IF(ISERROR(SUM(LB_lb_ele_kWh,LB_rest_ele_kWh)*3.6/1000000000/'E Balans VL '!Z26*100),0,SUM(LB_lb_ele_kWh,LB_rest_ele_kWh)*3.6/1000000000/'E Balans VL '!Z26*100)</f>
        <v>5.7293567995250025E-2</v>
      </c>
      <c r="C18" s="1016" t="s">
        <v>734</v>
      </c>
      <c r="D18" s="226"/>
    </row>
    <row r="19" spans="1:4">
      <c r="A19" s="219"/>
      <c r="B19" s="227"/>
      <c r="C19" s="220"/>
    </row>
    <row r="20" spans="1:4">
      <c r="A20" s="32"/>
      <c r="B20" s="48"/>
      <c r="C20" s="32"/>
    </row>
    <row r="21" spans="1:4" ht="15.75" thickBot="1">
      <c r="B21" s="32"/>
    </row>
    <row r="22" spans="1:4" ht="15.75" customHeight="1">
      <c r="A22" s="1169" t="s">
        <v>259</v>
      </c>
      <c r="B22" s="1172" t="s">
        <v>260</v>
      </c>
      <c r="C22" s="1172" t="s">
        <v>402</v>
      </c>
    </row>
    <row r="23" spans="1:4">
      <c r="A23" s="1170"/>
      <c r="B23" s="1173"/>
      <c r="C23" s="1173"/>
    </row>
    <row r="24" spans="1:4" ht="15.75" thickBot="1">
      <c r="A24" s="1171"/>
      <c r="B24" s="1174"/>
      <c r="C24" s="1174"/>
    </row>
    <row r="25" spans="1:4" ht="15.75">
      <c r="A25" s="13"/>
      <c r="B25" s="32"/>
    </row>
    <row r="26" spans="1:4">
      <c r="A26" s="41" t="s">
        <v>238</v>
      </c>
      <c r="B26" s="22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51.017207799057445</v>
      </c>
      <c r="C26" s="222">
        <f>B26*'GWP N2O_CH4'!B5</f>
        <v>1428.4818183736083</v>
      </c>
      <c r="D26" s="50"/>
    </row>
    <row r="27" spans="1:4">
      <c r="A27" s="41" t="s">
        <v>239</v>
      </c>
      <c r="B27" s="22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30.609360279857036</v>
      </c>
      <c r="C27" s="222">
        <f>B27*'GWP N2O_CH4'!B5</f>
        <v>857.06208783599698</v>
      </c>
      <c r="D27" s="50"/>
    </row>
    <row r="28" spans="1:4">
      <c r="A28" s="41" t="s">
        <v>240</v>
      </c>
      <c r="B28" s="22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0.70453004876276204</v>
      </c>
      <c r="C28" s="222">
        <f>B28*'GWP N2O_CH4'!B4</f>
        <v>186.70046292213195</v>
      </c>
      <c r="D28" s="50"/>
    </row>
    <row r="29" spans="1:4">
      <c r="A29" s="41" t="s">
        <v>241</v>
      </c>
      <c r="B29" s="222">
        <f>B34*'ha_N2O bodem landbouw'!B4</f>
        <v>1.741961360176715</v>
      </c>
      <c r="C29" s="222">
        <f>B29*'GWP N2O_CH4'!B4</f>
        <v>461.61976044682945</v>
      </c>
      <c r="D29" s="50"/>
    </row>
    <row r="31" spans="1:4">
      <c r="A31" s="182" t="s">
        <v>404</v>
      </c>
      <c r="B31" s="191"/>
      <c r="C31" s="205"/>
    </row>
    <row r="32" spans="1:4">
      <c r="A32" s="215"/>
      <c r="B32" s="32"/>
      <c r="C32" s="216"/>
    </row>
    <row r="33" spans="1:5">
      <c r="A33" s="217"/>
      <c r="B33" s="204" t="s">
        <v>485</v>
      </c>
      <c r="C33" s="218" t="s">
        <v>162</v>
      </c>
    </row>
    <row r="34" spans="1:5">
      <c r="A34" s="231" t="s">
        <v>92</v>
      </c>
      <c r="B34" s="35">
        <f>IF(ISERROR(aantalCultuurgronden/'ha_N2O bodem landbouw'!B5),0,aantalCultuurgronden/'ha_N2O bodem landbouw'!B5)</f>
        <v>4.2364439545837176E-4</v>
      </c>
      <c r="C34" s="1014" t="s">
        <v>705</v>
      </c>
      <c r="D34" s="27"/>
      <c r="E34" s="27"/>
    </row>
    <row r="35" spans="1:5">
      <c r="A35" s="219"/>
      <c r="B35" s="171"/>
      <c r="C35" s="220"/>
      <c r="D35" s="226"/>
    </row>
  </sheetData>
  <mergeCells count="9">
    <mergeCell ref="A22:A24"/>
    <mergeCell ref="B22:B24"/>
    <mergeCell ref="A1:A3"/>
    <mergeCell ref="B1:Q1"/>
    <mergeCell ref="B2:B3"/>
    <mergeCell ref="C2:C3"/>
    <mergeCell ref="D2:K2"/>
    <mergeCell ref="M2:Q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S79"/>
  <sheetViews>
    <sheetView showGridLines="0" zoomScale="85" zoomScaleNormal="85" workbookViewId="0">
      <selection activeCell="A14" sqref="A14"/>
    </sheetView>
  </sheetViews>
  <sheetFormatPr defaultRowHeight="15"/>
  <cols>
    <col min="1" max="1" width="49.42578125" bestFit="1" customWidth="1"/>
    <col min="2" max="2" width="15" bestFit="1" customWidth="1"/>
    <col min="3" max="3" width="15.85546875" bestFit="1" customWidth="1"/>
    <col min="4" max="4" width="19.42578125" customWidth="1"/>
    <col min="5" max="5" width="26.570312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33" style="810" customWidth="1"/>
    <col min="13" max="13" width="22.7109375" customWidth="1"/>
    <col min="14" max="14" width="15.140625" bestFit="1" customWidth="1"/>
    <col min="15" max="15" width="12.28515625" customWidth="1"/>
    <col min="16" max="16" width="12.140625" customWidth="1"/>
    <col min="17" max="17" width="14.140625" customWidth="1"/>
    <col min="18" max="18" width="6.42578125" bestFit="1" customWidth="1"/>
    <col min="19" max="19" width="18.5703125" customWidth="1"/>
  </cols>
  <sheetData>
    <row r="1" spans="1:19" s="282" customFormat="1" ht="17.25" thickTop="1" thickBot="1">
      <c r="A1" s="1159" t="s">
        <v>406</v>
      </c>
      <c r="B1" s="1160" t="s">
        <v>444</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c r="C4" s="15"/>
    </row>
    <row r="5" spans="1:19" s="8" customFormat="1">
      <c r="A5" s="259" t="s">
        <v>284</v>
      </c>
      <c r="B5" s="924">
        <f>SUM(B6:B11)</f>
        <v>1.564720884398962E-4</v>
      </c>
      <c r="C5" s="922" t="s">
        <v>667</v>
      </c>
      <c r="D5" s="924">
        <f>SUM(D6:D11)</f>
        <v>4.0655996863999079E-5</v>
      </c>
      <c r="E5" s="924">
        <f>SUM(E6:E11)</f>
        <v>1.8962624895473334E-5</v>
      </c>
      <c r="F5" s="923" t="s">
        <v>667</v>
      </c>
      <c r="G5" s="924">
        <f>SUM(G6:G11)</f>
        <v>6.0618269083256206E-3</v>
      </c>
      <c r="H5" s="924">
        <f>SUM(H6:H11)</f>
        <v>2.9654854655374848E-3</v>
      </c>
      <c r="I5" s="922" t="s">
        <v>667</v>
      </c>
      <c r="J5" s="922" t="s">
        <v>667</v>
      </c>
      <c r="K5" s="922" t="s">
        <v>667</v>
      </c>
      <c r="L5" s="922" t="s">
        <v>667</v>
      </c>
      <c r="M5" s="922" t="s">
        <v>667</v>
      </c>
      <c r="N5" s="924">
        <f>SUM(N6:N11)</f>
        <v>9.6409497164970013E-4</v>
      </c>
      <c r="O5" s="922" t="s">
        <v>667</v>
      </c>
      <c r="P5" s="922" t="s">
        <v>667</v>
      </c>
      <c r="Q5" s="925" t="s">
        <v>667</v>
      </c>
    </row>
    <row r="6" spans="1:19">
      <c r="A6" s="235" t="s">
        <v>506</v>
      </c>
      <c r="B6" s="92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1.5627205552069589E-4</v>
      </c>
      <c r="C6" s="926"/>
      <c r="D6" s="92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4.0653279456082493E-5</v>
      </c>
      <c r="E6" s="926">
        <f>vkm_GW_PW*SUMIFS(TableVerdeelsleutelVkm[LPG],TableVerdeelsleutelVkm[Voertuigtype],"Lichte voertuigen")*SUMIFS(TableECFTransport[EnergieConsumptieFactor (PJ per km)],TableECFTransport[Index],CONCATENATE($A6,"_LPG_LPG"))</f>
        <v>1.8962624895473334E-5</v>
      </c>
      <c r="F6" s="927"/>
      <c r="G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4.1203836846287409E-3</v>
      </c>
      <c r="H6" s="92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2.9654791950680165E-3</v>
      </c>
      <c r="I6" s="926"/>
      <c r="J6" s="926"/>
      <c r="K6" s="926"/>
      <c r="L6" s="926"/>
      <c r="M6" s="926"/>
      <c r="N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7.316746064416949E-4</v>
      </c>
      <c r="O6" s="926"/>
      <c r="P6" s="926"/>
      <c r="Q6" s="928"/>
    </row>
    <row r="7" spans="1:19">
      <c r="A7" s="235" t="s">
        <v>507</v>
      </c>
      <c r="B7" s="92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2.0003291920030664E-7</v>
      </c>
      <c r="C7" s="926"/>
      <c r="D7" s="926">
        <f>vkm_GW_ZV*SUMIFS(TableVerdeelsleutelVkm[CNG],TableVerdeelsleutelVkm[Voertuigtype],"Zware voertuigen")*SUMIFS(TableECFTransport[EnergieConsumptieFactor (PJ per km)],TableECFTransport[Index],CONCATENATE($A7,"_CNG_CNG"))</f>
        <v>2.7174079165849223E-9</v>
      </c>
      <c r="E7" s="926">
        <f>vkm_GW_ZV*SUMIFS(TableVerdeelsleutelVkm[LPG],TableVerdeelsleutelVkm[Voertuigtype],"Zware voertuigen")*SUMIFS(TableECFTransport[EnergieConsumptieFactor (PJ per km)],TableECFTransport[Index],CONCATENATE($A7,"_LPG_LPG"))</f>
        <v>0</v>
      </c>
      <c r="F7" s="927"/>
      <c r="G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1.9414432236968793E-3</v>
      </c>
      <c r="H7" s="92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6.2704694682531886E-9</v>
      </c>
      <c r="I7" s="926"/>
      <c r="J7" s="926"/>
      <c r="K7" s="926"/>
      <c r="L7" s="926"/>
      <c r="M7" s="926"/>
      <c r="N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2.3242036520800517E-4</v>
      </c>
      <c r="O7" s="926"/>
      <c r="P7" s="926"/>
      <c r="Q7" s="928"/>
      <c r="S7" s="705"/>
    </row>
    <row r="8" spans="1:19">
      <c r="A8" s="235" t="s">
        <v>508</v>
      </c>
      <c r="B8" s="9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0</v>
      </c>
      <c r="C8" s="926"/>
      <c r="D8" s="92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0</v>
      </c>
      <c r="E8" s="927">
        <f>vkm_NGW_PW*SUMIFS(TableVerdeelsleutelVkm[LPG],TableVerdeelsleutelVkm[Voertuigtype],"Lichte voertuigen")*SUMIFS(TableECFTransport[EnergieConsumptieFactor (PJ per km)],TableECFTransport[Index],CONCATENATE($A8,"_LPG_LPG"))</f>
        <v>0</v>
      </c>
      <c r="F8" s="927"/>
      <c r="G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v>
      </c>
      <c r="H8" s="92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0</v>
      </c>
      <c r="I8" s="926"/>
      <c r="J8" s="926"/>
      <c r="K8" s="926"/>
      <c r="L8" s="926"/>
      <c r="M8" s="926"/>
      <c r="N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0</v>
      </c>
      <c r="O8" s="926"/>
      <c r="P8" s="926"/>
      <c r="Q8" s="928"/>
      <c r="S8" s="705"/>
    </row>
    <row r="9" spans="1:19">
      <c r="A9" s="235" t="s">
        <v>509</v>
      </c>
      <c r="B9" s="9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926"/>
      <c r="D9" s="927">
        <f>vkm_NGW_ZV*SUMIFS(TableVerdeelsleutelVkm[CNG],TableVerdeelsleutelVkm[Voertuigtype],"Zware voertuigen")*SUMIFS(TableECFTransport[EnergieConsumptieFactor (PJ per km)],TableECFTransport[Index],CONCATENATE($A9,"_CNG_CNG"))</f>
        <v>0</v>
      </c>
      <c r="E9" s="927">
        <f>vkm_NGW_ZV*SUMIFS(TableVerdeelsleutelVkm[LPG],TableVerdeelsleutelVkm[Voertuigtype],"Zware voertuigen")*SUMIFS(TableECFTransport[EnergieConsumptieFactor (PJ per km)],TableECFTransport[Index],CONCATENATE($A9,"_LPG_LPG"))</f>
        <v>0</v>
      </c>
      <c r="F9" s="927"/>
      <c r="G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0</v>
      </c>
      <c r="H9" s="92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0</v>
      </c>
      <c r="I9" s="926"/>
      <c r="J9" s="926"/>
      <c r="K9" s="926"/>
      <c r="L9" s="926"/>
      <c r="M9" s="926"/>
      <c r="N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0</v>
      </c>
      <c r="O9" s="926"/>
      <c r="P9" s="926"/>
      <c r="Q9" s="928"/>
      <c r="S9" s="705"/>
    </row>
    <row r="10" spans="1:19">
      <c r="A10" s="235" t="s">
        <v>510</v>
      </c>
      <c r="B10" s="9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926"/>
      <c r="D10" s="92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927">
        <f>vkm_SW_PW*SUMIFS(TableVerdeelsleutelVkm[LPG],TableVerdeelsleutelVkm[Voertuigtype],"Lichte voertuigen")*SUMIFS(TableECFTransport[EnergieConsumptieFactor (PJ per km)],TableECFTransport[Index],CONCATENATE($A10,"_LPG_LPG"))</f>
        <v>0</v>
      </c>
      <c r="F10" s="927"/>
      <c r="G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92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926"/>
      <c r="J10" s="926"/>
      <c r="K10" s="926"/>
      <c r="L10" s="926"/>
      <c r="M10" s="926"/>
      <c r="N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O10" s="926"/>
      <c r="P10" s="926"/>
      <c r="Q10" s="928"/>
      <c r="S10" s="705"/>
    </row>
    <row r="11" spans="1:19">
      <c r="A11" s="4" t="s">
        <v>511</v>
      </c>
      <c r="B11" s="9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929"/>
      <c r="D11" s="930">
        <f>vkm_SW_ZV*SUMIFS(TableVerdeelsleutelVkm[CNG],TableVerdeelsleutelVkm[Voertuigtype],"Zware voertuigen")*SUMIFS(TableECFTransport[EnergieConsumptieFactor (PJ per km)],TableECFTransport[Index],CONCATENATE($A11,"_CNG_CNG"))</f>
        <v>0</v>
      </c>
      <c r="E11" s="930">
        <f>vkm_SW_ZV*SUMIFS(TableVerdeelsleutelVkm[LPG],TableVerdeelsleutelVkm[Voertuigtype],"Zware voertuigen")*SUMIFS(TableECFTransport[EnergieConsumptieFactor (PJ per km)],TableECFTransport[Index],CONCATENATE($A11,"_LPG_LPG"))</f>
        <v>0</v>
      </c>
      <c r="F11" s="930"/>
      <c r="G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92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929"/>
      <c r="J11" s="929"/>
      <c r="K11" s="929"/>
      <c r="L11" s="929"/>
      <c r="M11" s="929"/>
      <c r="N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O11" s="929"/>
      <c r="P11" s="929"/>
      <c r="Q11" s="931"/>
      <c r="S11" s="705"/>
    </row>
    <row r="12" spans="1:19">
      <c r="A12" s="285" t="s">
        <v>442</v>
      </c>
      <c r="B12" s="369">
        <f>('Eigen vloot'!B27)*(-1)</f>
        <v>0</v>
      </c>
      <c r="C12" s="369"/>
      <c r="D12" s="369">
        <f>('Eigen vloot'!D27)*(-1)</f>
        <v>0</v>
      </c>
      <c r="E12" s="369">
        <f>('Eigen vloot'!E27)*(-1)</f>
        <v>0</v>
      </c>
      <c r="F12" s="369"/>
      <c r="G12" s="369">
        <f>('Eigen vloot'!G27)*(-1)</f>
        <v>0</v>
      </c>
      <c r="H12" s="369">
        <f>('Eigen vloot'!H27)*(-1)</f>
        <v>0</v>
      </c>
      <c r="I12" s="369"/>
      <c r="J12" s="369"/>
      <c r="K12" s="369"/>
      <c r="L12" s="932"/>
      <c r="M12" s="369"/>
      <c r="N12" s="369">
        <f>('Eigen vloot'!N27)*(-1)</f>
        <v>0</v>
      </c>
      <c r="O12" s="369"/>
      <c r="P12" s="369"/>
      <c r="Q12" s="933"/>
    </row>
    <row r="13" spans="1:19">
      <c r="B13" s="934"/>
      <c r="C13" s="935"/>
      <c r="D13" s="935"/>
      <c r="E13" s="935"/>
      <c r="F13" s="935"/>
      <c r="G13" s="934"/>
      <c r="H13" s="934"/>
      <c r="I13" s="936"/>
      <c r="J13" s="934"/>
      <c r="K13" s="934"/>
      <c r="L13" s="934"/>
      <c r="M13" s="934"/>
      <c r="N13" s="934"/>
      <c r="O13" s="934"/>
      <c r="P13" s="934"/>
      <c r="Q13" s="934"/>
    </row>
    <row r="14" spans="1:19" s="15" customFormat="1">
      <c r="A14" s="20" t="s">
        <v>292</v>
      </c>
      <c r="B14" s="21">
        <f>MAX(((B5)*10^9/3600)+B12,0)</f>
        <v>43.464469011082279</v>
      </c>
      <c r="C14" s="21" t="s">
        <v>667</v>
      </c>
      <c r="D14" s="21">
        <f>MAX(((D5)*10^9/3600)+D12,0)</f>
        <v>11.293332462221965</v>
      </c>
      <c r="E14" s="21">
        <f>MAX(((E5)*10^9/3600)+E12,0)</f>
        <v>5.2673958042981486</v>
      </c>
      <c r="F14" s="21" t="s">
        <v>667</v>
      </c>
      <c r="G14" s="21">
        <f>MAX(((G5)*10^9/3600)+G12,0)</f>
        <v>1683.840807868228</v>
      </c>
      <c r="H14" s="21">
        <f>MAX(((H5)*10^9/3600)+H12,0)</f>
        <v>823.7459626493013</v>
      </c>
      <c r="I14" s="21" t="s">
        <v>667</v>
      </c>
      <c r="J14" s="21" t="s">
        <v>667</v>
      </c>
      <c r="K14" s="21" t="s">
        <v>667</v>
      </c>
      <c r="L14" s="882" t="s">
        <v>667</v>
      </c>
      <c r="M14" s="21" t="s">
        <v>667</v>
      </c>
      <c r="N14" s="21">
        <f>MAX(((N5)*10^9/3600)+N12,0)</f>
        <v>267.80415879158335</v>
      </c>
      <c r="O14" s="21" t="s">
        <v>667</v>
      </c>
      <c r="P14" s="21" t="s">
        <v>667</v>
      </c>
      <c r="Q14" s="21" t="s">
        <v>667</v>
      </c>
      <c r="S14" s="32"/>
    </row>
    <row r="15" spans="1:19" s="15" customFormat="1">
      <c r="A15" s="42"/>
      <c r="B15" s="54"/>
      <c r="C15" s="54"/>
      <c r="D15" s="54"/>
      <c r="E15" s="54"/>
      <c r="F15" s="54"/>
      <c r="G15" s="54"/>
      <c r="H15" s="54"/>
      <c r="I15" s="54"/>
      <c r="J15" s="54"/>
      <c r="K15" s="54"/>
      <c r="L15" s="54"/>
      <c r="M15" s="54"/>
      <c r="N15" s="54"/>
      <c r="O15" s="54"/>
      <c r="P15" s="54"/>
      <c r="Q15" s="54"/>
      <c r="S15" s="32"/>
    </row>
    <row r="16" spans="1:19">
      <c r="A16" s="24" t="s">
        <v>194</v>
      </c>
      <c r="B16" s="55">
        <f>'EF ele_warmte'!B13</f>
        <v>0.17310560263580646</v>
      </c>
      <c r="C16" s="55">
        <f>'EF ele_warmte'!B23</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886">
        <f>EF_biogas_CO2</f>
        <v>0</v>
      </c>
      <c r="M16" s="55">
        <f>'EF brandstof'!L4</f>
        <v>0</v>
      </c>
      <c r="N16" s="55">
        <f>'EF brandstof'!K4</f>
        <v>0</v>
      </c>
      <c r="O16" s="55">
        <f>'EF brandstof'!M4</f>
        <v>0</v>
      </c>
      <c r="P16" s="56"/>
      <c r="Q16" s="56"/>
    </row>
    <row r="17" spans="1:19" s="15" customFormat="1">
      <c r="A17" s="42"/>
      <c r="B17" s="54"/>
      <c r="C17" s="54"/>
      <c r="D17" s="54"/>
      <c r="E17" s="54"/>
      <c r="F17" s="54"/>
      <c r="G17" s="54"/>
      <c r="H17" s="54"/>
      <c r="I17" s="54"/>
      <c r="J17" s="54"/>
      <c r="K17" s="54"/>
      <c r="L17" s="54"/>
      <c r="M17" s="54"/>
      <c r="N17" s="54"/>
      <c r="O17" s="54"/>
      <c r="P17" s="54"/>
      <c r="Q17" s="54"/>
      <c r="S17" s="32"/>
    </row>
    <row r="18" spans="1:19" s="15" customFormat="1">
      <c r="A18" s="20" t="s">
        <v>294</v>
      </c>
      <c r="B18" s="23">
        <f>B14*B16</f>
        <v>7.523943101408733</v>
      </c>
      <c r="C18" s="23" t="s">
        <v>667</v>
      </c>
      <c r="D18" s="23">
        <f t="shared" ref="D18:N18" si="0">D14*D16</f>
        <v>2.281253157368837</v>
      </c>
      <c r="E18" s="23">
        <f>E14*E16</f>
        <v>1.1956988475756798</v>
      </c>
      <c r="F18" s="23" t="s">
        <v>667</v>
      </c>
      <c r="G18" s="23">
        <f t="shared" si="0"/>
        <v>449.58549570081692</v>
      </c>
      <c r="H18" s="23">
        <f t="shared" si="0"/>
        <v>205.11274469967603</v>
      </c>
      <c r="I18" s="23" t="s">
        <v>667</v>
      </c>
      <c r="J18" s="23" t="s">
        <v>667</v>
      </c>
      <c r="K18" s="23" t="s">
        <v>667</v>
      </c>
      <c r="L18" s="887" t="s">
        <v>667</v>
      </c>
      <c r="M18" s="23" t="s">
        <v>667</v>
      </c>
      <c r="N18" s="23">
        <f t="shared" si="0"/>
        <v>0</v>
      </c>
      <c r="O18" s="23" t="s">
        <v>667</v>
      </c>
      <c r="P18" s="23" t="s">
        <v>667</v>
      </c>
      <c r="Q18" s="23" t="s">
        <v>667</v>
      </c>
    </row>
    <row r="19" spans="1:19" s="15" customFormat="1">
      <c r="A19" s="42"/>
      <c r="B19" s="278"/>
      <c r="C19" s="54"/>
      <c r="D19" s="54"/>
      <c r="E19" s="54"/>
      <c r="F19" s="54"/>
      <c r="G19" s="54"/>
      <c r="H19" s="54"/>
      <c r="I19" s="54"/>
      <c r="J19" s="54"/>
      <c r="K19" s="54"/>
      <c r="L19" s="54"/>
      <c r="M19" s="54"/>
      <c r="N19" s="54"/>
      <c r="O19" s="54"/>
      <c r="P19" s="54"/>
      <c r="Q19" s="54"/>
      <c r="S19" s="32"/>
    </row>
    <row r="20" spans="1:19">
      <c r="A20" s="1"/>
      <c r="B20" s="1"/>
      <c r="E20" s="612"/>
    </row>
    <row r="21" spans="1:19">
      <c r="A21" s="236" t="s">
        <v>408</v>
      </c>
      <c r="B21" s="237"/>
      <c r="C21" s="238"/>
      <c r="D21" s="238"/>
      <c r="E21" s="238"/>
      <c r="F21" s="238"/>
      <c r="G21" s="238"/>
      <c r="H21" s="238"/>
      <c r="I21" s="238"/>
      <c r="J21" s="238"/>
      <c r="K21" s="238"/>
      <c r="L21" s="890"/>
      <c r="M21" s="238"/>
      <c r="N21" s="893"/>
      <c r="O21" s="262"/>
    </row>
    <row r="22" spans="1:19">
      <c r="A22" s="233"/>
      <c r="B22" s="234"/>
      <c r="C22" s="43"/>
      <c r="D22" s="43"/>
      <c r="E22" s="43"/>
      <c r="F22" s="43"/>
      <c r="G22" s="43"/>
      <c r="H22" s="43"/>
      <c r="I22" s="43"/>
      <c r="J22" s="43"/>
      <c r="K22" s="43"/>
      <c r="L22" s="43"/>
      <c r="M22" s="43"/>
      <c r="N22" s="167"/>
      <c r="O22" s="32"/>
    </row>
    <row r="23" spans="1:19">
      <c r="A23" s="241" t="s">
        <v>264</v>
      </c>
      <c r="B23" s="730" t="s">
        <v>265</v>
      </c>
      <c r="C23" s="730" t="s">
        <v>512</v>
      </c>
      <c r="D23" s="730" t="s">
        <v>513</v>
      </c>
      <c r="E23" s="730" t="s">
        <v>514</v>
      </c>
      <c r="F23" s="730" t="s">
        <v>501</v>
      </c>
      <c r="G23" s="730" t="s">
        <v>515</v>
      </c>
      <c r="H23" s="730" t="s">
        <v>516</v>
      </c>
      <c r="I23" s="730" t="s">
        <v>99</v>
      </c>
      <c r="J23" s="730" t="s">
        <v>517</v>
      </c>
      <c r="K23" s="730" t="s">
        <v>518</v>
      </c>
      <c r="L23" s="731" t="s">
        <v>519</v>
      </c>
      <c r="M23" s="126" t="s">
        <v>162</v>
      </c>
      <c r="N23" s="242" t="s">
        <v>272</v>
      </c>
      <c r="O23" s="32"/>
    </row>
    <row r="24" spans="1:19">
      <c r="A24" s="32" t="s">
        <v>504</v>
      </c>
      <c r="B24" s="818">
        <v>4.6594147144219814E-3</v>
      </c>
      <c r="C24" s="818">
        <v>0.54416989848234099</v>
      </c>
      <c r="D24" s="820" t="s">
        <v>629</v>
      </c>
      <c r="E24" s="818">
        <v>5.2676223424849861E-3</v>
      </c>
      <c r="F24" s="818"/>
      <c r="G24" s="818">
        <v>3.2246255982344589E-2</v>
      </c>
      <c r="H24" s="820">
        <v>8.8752216960853522E-6</v>
      </c>
      <c r="I24" s="820">
        <v>2.214144778853715E-3</v>
      </c>
      <c r="J24" s="820">
        <v>0.33482950828559055</v>
      </c>
      <c r="K24" s="820">
        <v>2.8980682909161611E-2</v>
      </c>
      <c r="L24" s="819">
        <v>4.7623597283105605E-2</v>
      </c>
      <c r="M24" s="243" t="s">
        <v>754</v>
      </c>
      <c r="N24" s="707">
        <f>SUM(B24:L24)</f>
        <v>1</v>
      </c>
      <c r="O24" s="32"/>
    </row>
    <row r="25" spans="1:19">
      <c r="A25" s="32" t="s">
        <v>505</v>
      </c>
      <c r="B25" s="820">
        <v>1.2497292957996928E-6</v>
      </c>
      <c r="C25" s="818">
        <v>0.99974758878094994</v>
      </c>
      <c r="D25" s="820">
        <v>6.7600443696064044E-6</v>
      </c>
      <c r="E25" s="820" t="s">
        <v>629</v>
      </c>
      <c r="F25" s="818"/>
      <c r="G25" s="820">
        <v>2.1238706901097014E-4</v>
      </c>
      <c r="H25" s="820">
        <v>2.6904602753877787E-5</v>
      </c>
      <c r="I25" s="820" t="s">
        <v>629</v>
      </c>
      <c r="J25" s="820">
        <v>5.1097736198669135E-6</v>
      </c>
      <c r="K25" s="820" t="s">
        <v>629</v>
      </c>
      <c r="L25" s="819" t="s">
        <v>629</v>
      </c>
      <c r="M25" s="243" t="s">
        <v>754</v>
      </c>
      <c r="N25" s="707">
        <f>SUM(B25:L25)</f>
        <v>1</v>
      </c>
      <c r="O25" s="32"/>
    </row>
    <row r="26" spans="1:19">
      <c r="A26" s="219"/>
      <c r="B26" s="861"/>
      <c r="C26" s="861"/>
      <c r="D26" s="861"/>
      <c r="E26" s="861"/>
      <c r="F26" s="861"/>
      <c r="G26" s="861"/>
      <c r="H26" s="861"/>
      <c r="I26" s="861"/>
      <c r="J26" s="861"/>
      <c r="K26" s="861"/>
      <c r="L26" s="861"/>
      <c r="M26" s="862"/>
      <c r="N26" s="169"/>
      <c r="O26" s="32"/>
    </row>
    <row r="27" spans="1:19" s="43" customFormat="1"/>
    <row r="28" spans="1:19">
      <c r="A28" s="236" t="s">
        <v>409</v>
      </c>
      <c r="B28" s="238"/>
      <c r="C28" s="238"/>
      <c r="D28" s="238"/>
      <c r="E28" s="238"/>
      <c r="F28" s="238"/>
      <c r="G28" s="238"/>
      <c r="H28" s="238"/>
      <c r="I28" s="238"/>
      <c r="J28" s="238"/>
      <c r="K28" s="238"/>
      <c r="L28" s="890"/>
      <c r="M28" s="239"/>
    </row>
    <row r="29" spans="1:19">
      <c r="A29" s="235"/>
      <c r="B29" s="240"/>
      <c r="C29" s="240"/>
      <c r="D29" s="240"/>
      <c r="E29" s="240"/>
      <c r="F29" s="43"/>
      <c r="G29" s="43"/>
      <c r="H29" s="43"/>
      <c r="I29" s="43"/>
      <c r="J29" s="43"/>
      <c r="K29" s="43"/>
      <c r="L29" s="43"/>
      <c r="M29" s="167"/>
    </row>
    <row r="30" spans="1:19">
      <c r="A30" s="368" t="s">
        <v>182</v>
      </c>
      <c r="B30" s="247" t="s">
        <v>273</v>
      </c>
      <c r="C30" s="704">
        <v>2022</v>
      </c>
      <c r="D30" s="247" t="s">
        <v>274</v>
      </c>
      <c r="E30" s="221" t="s">
        <v>162</v>
      </c>
      <c r="F30" s="244"/>
      <c r="G30" s="221"/>
      <c r="H30" s="221"/>
      <c r="I30" s="221"/>
      <c r="J30" s="221"/>
      <c r="K30" s="221"/>
      <c r="L30" s="221"/>
      <c r="M30" s="245"/>
    </row>
    <row r="31" spans="1:19">
      <c r="A31" s="248" t="s">
        <v>275</v>
      </c>
      <c r="B31" s="249"/>
      <c r="C31" s="250"/>
      <c r="D31" s="249"/>
      <c r="E31" s="728"/>
      <c r="F31" s="53"/>
      <c r="G31" s="43"/>
      <c r="H31" s="43"/>
      <c r="I31" s="43"/>
      <c r="J31" s="43"/>
      <c r="K31" s="43"/>
      <c r="L31" s="43"/>
      <c r="M31" s="167"/>
    </row>
    <row r="32" spans="1:19">
      <c r="A32" s="251" t="s">
        <v>276</v>
      </c>
      <c r="B32" s="252"/>
      <c r="C32" s="253"/>
      <c r="D32" s="252"/>
      <c r="E32" s="728"/>
      <c r="F32" s="53"/>
      <c r="G32" s="43"/>
      <c r="H32" s="43"/>
      <c r="I32" s="43"/>
      <c r="J32" s="43"/>
      <c r="K32" s="43"/>
      <c r="L32" s="43"/>
      <c r="M32" s="167"/>
    </row>
    <row r="33" spans="1:17">
      <c r="A33" s="251" t="s">
        <v>277</v>
      </c>
      <c r="B33" s="254"/>
      <c r="C33" s="255"/>
      <c r="D33" s="57"/>
      <c r="E33" s="727"/>
      <c r="F33" s="53"/>
      <c r="G33" s="43"/>
      <c r="H33" s="43"/>
      <c r="I33" s="43"/>
      <c r="J33" s="43"/>
      <c r="K33" s="43"/>
      <c r="L33" s="43"/>
      <c r="M33" s="167"/>
    </row>
    <row r="34" spans="1:17">
      <c r="A34" s="251" t="s">
        <v>278</v>
      </c>
      <c r="B34" s="254"/>
      <c r="D34" s="57"/>
      <c r="E34" s="728"/>
      <c r="F34" s="53"/>
      <c r="G34" s="43"/>
      <c r="H34" s="43"/>
      <c r="I34" s="43"/>
      <c r="J34" s="43"/>
      <c r="K34" s="43"/>
      <c r="L34" s="43"/>
      <c r="M34" s="167"/>
    </row>
    <row r="35" spans="1:17">
      <c r="A35" s="251" t="s">
        <v>279</v>
      </c>
      <c r="B35" s="254"/>
      <c r="C35" s="817">
        <v>0.10691559313582299</v>
      </c>
      <c r="D35" s="57"/>
      <c r="E35" s="243" t="s">
        <v>754</v>
      </c>
      <c r="F35" s="53"/>
      <c r="G35" s="43"/>
      <c r="H35" s="43"/>
      <c r="I35" s="43"/>
      <c r="J35" s="43"/>
      <c r="K35" s="43"/>
      <c r="L35" s="43"/>
      <c r="M35" s="167"/>
    </row>
    <row r="36" spans="1:17">
      <c r="A36" s="235"/>
      <c r="B36" s="43"/>
      <c r="C36" s="43"/>
      <c r="D36" s="43"/>
      <c r="E36" s="151"/>
      <c r="F36" s="53"/>
      <c r="G36" s="43"/>
      <c r="H36" s="43"/>
      <c r="I36" s="43"/>
      <c r="J36" s="43"/>
      <c r="K36" s="43"/>
      <c r="L36" s="43"/>
      <c r="M36" s="167"/>
    </row>
    <row r="37" spans="1:17">
      <c r="A37" s="368" t="s">
        <v>100</v>
      </c>
      <c r="B37" s="247" t="s">
        <v>273</v>
      </c>
      <c r="C37" s="704">
        <v>2022</v>
      </c>
      <c r="D37" s="247" t="s">
        <v>274</v>
      </c>
      <c r="E37" s="729" t="s">
        <v>162</v>
      </c>
      <c r="F37" s="258"/>
      <c r="G37" s="241"/>
      <c r="H37" s="241"/>
      <c r="I37" s="241"/>
      <c r="J37" s="241"/>
      <c r="K37" s="241"/>
      <c r="L37" s="241"/>
      <c r="M37" s="242"/>
    </row>
    <row r="38" spans="1:17">
      <c r="A38" s="251" t="s">
        <v>280</v>
      </c>
      <c r="B38" s="252"/>
      <c r="C38" s="253"/>
      <c r="D38" s="252"/>
      <c r="E38" s="728"/>
      <c r="F38" s="255"/>
      <c r="G38" s="57"/>
      <c r="H38" s="57"/>
      <c r="I38" s="57"/>
      <c r="J38" s="57"/>
      <c r="K38" s="57"/>
      <c r="L38" s="57"/>
      <c r="M38" s="256"/>
    </row>
    <row r="39" spans="1:17">
      <c r="A39" s="251" t="s">
        <v>281</v>
      </c>
      <c r="B39" s="252"/>
      <c r="C39" s="253"/>
      <c r="D39" s="252"/>
      <c r="E39" s="728"/>
      <c r="F39" s="255"/>
      <c r="G39" s="57"/>
      <c r="H39" s="57"/>
      <c r="I39" s="57"/>
      <c r="J39" s="57"/>
      <c r="K39" s="57"/>
      <c r="L39" s="57"/>
      <c r="M39" s="256"/>
    </row>
    <row r="40" spans="1:17">
      <c r="A40" s="251" t="s">
        <v>277</v>
      </c>
      <c r="B40" s="254"/>
      <c r="C40" s="255"/>
      <c r="D40" s="255"/>
      <c r="E40" s="728"/>
      <c r="F40" s="57"/>
      <c r="G40" s="57"/>
      <c r="H40" s="57"/>
      <c r="I40" s="57"/>
      <c r="J40" s="57"/>
      <c r="K40" s="57"/>
      <c r="L40" s="57"/>
      <c r="M40" s="256"/>
    </row>
    <row r="41" spans="1:17" ht="15" customHeight="1">
      <c r="A41" s="251" t="s">
        <v>282</v>
      </c>
      <c r="B41" s="254"/>
      <c r="D41" s="255"/>
      <c r="E41" s="728"/>
      <c r="F41" s="57"/>
      <c r="G41" s="57"/>
      <c r="H41" s="57"/>
      <c r="I41" s="57"/>
      <c r="J41" s="57"/>
      <c r="K41" s="57"/>
      <c r="L41" s="57"/>
      <c r="M41" s="256"/>
    </row>
    <row r="42" spans="1:17">
      <c r="A42" s="251" t="s">
        <v>279</v>
      </c>
      <c r="B42" s="254"/>
      <c r="C42" s="817">
        <v>7.4410635861326596E-2</v>
      </c>
      <c r="D42" s="255"/>
      <c r="E42" s="728" t="str">
        <f>E35</f>
        <v>VMM 2024, COPERT 5.7</v>
      </c>
      <c r="F42" s="57"/>
      <c r="G42" s="257"/>
      <c r="H42" s="57"/>
      <c r="I42" s="57"/>
      <c r="J42" s="57"/>
      <c r="K42" s="57"/>
      <c r="L42" s="57"/>
      <c r="M42" s="256"/>
    </row>
    <row r="43" spans="1:17">
      <c r="A43" s="4"/>
      <c r="B43" s="170"/>
      <c r="C43" s="170"/>
      <c r="D43" s="170"/>
      <c r="E43" s="170"/>
      <c r="F43" s="170"/>
      <c r="G43" s="170"/>
      <c r="H43" s="170"/>
      <c r="I43" s="170"/>
      <c r="J43" s="170"/>
      <c r="K43" s="170"/>
      <c r="L43" s="170"/>
      <c r="M43" s="169"/>
    </row>
    <row r="44" spans="1:17" s="43" customFormat="1"/>
    <row r="45" spans="1:17" s="43" customFormat="1" ht="15.75" thickBot="1">
      <c r="A45" s="170"/>
      <c r="B45" s="170"/>
      <c r="C45" s="170"/>
      <c r="D45" s="170"/>
      <c r="E45" s="170"/>
      <c r="F45" s="170"/>
      <c r="G45" s="170"/>
      <c r="H45" s="170"/>
      <c r="I45" s="170"/>
      <c r="J45" s="170"/>
      <c r="K45" s="170"/>
      <c r="L45" s="170"/>
      <c r="M45" s="170"/>
    </row>
    <row r="46" spans="1:17" s="15" customFormat="1" ht="17.25" thickTop="1" thickBot="1">
      <c r="A46" s="1175" t="s">
        <v>407</v>
      </c>
      <c r="B46" s="1176" t="s">
        <v>443</v>
      </c>
      <c r="C46" s="1177"/>
      <c r="D46" s="1177"/>
      <c r="E46" s="1177"/>
      <c r="F46" s="1177"/>
      <c r="G46" s="1177"/>
      <c r="H46" s="1177"/>
      <c r="I46" s="1177"/>
      <c r="J46" s="1177"/>
      <c r="K46" s="1177"/>
      <c r="L46" s="1177"/>
      <c r="M46" s="1177"/>
      <c r="N46" s="1177"/>
      <c r="O46" s="1177"/>
      <c r="P46" s="1177"/>
      <c r="Q46" s="1177"/>
    </row>
    <row r="47" spans="1:17" s="15" customFormat="1" ht="15.75" thickTop="1">
      <c r="A47" s="1175"/>
      <c r="B47" s="1178" t="s">
        <v>20</v>
      </c>
      <c r="C47" s="1178" t="s">
        <v>176</v>
      </c>
      <c r="D47" s="1180" t="s">
        <v>177</v>
      </c>
      <c r="E47" s="1181"/>
      <c r="F47" s="1181"/>
      <c r="G47" s="1181"/>
      <c r="H47" s="1181"/>
      <c r="I47" s="1181"/>
      <c r="J47" s="1181"/>
      <c r="K47" s="1182"/>
      <c r="L47" s="891"/>
      <c r="M47" s="1180" t="s">
        <v>178</v>
      </c>
      <c r="N47" s="1181"/>
      <c r="O47" s="1181"/>
      <c r="P47" s="1181"/>
      <c r="Q47" s="1182"/>
    </row>
    <row r="48" spans="1:17" s="15" customFormat="1" ht="45">
      <c r="A48" s="1175"/>
      <c r="B48" s="1179"/>
      <c r="C48" s="1179"/>
      <c r="D48" s="12" t="s">
        <v>179</v>
      </c>
      <c r="E48" s="12" t="s">
        <v>180</v>
      </c>
      <c r="F48" s="12" t="s">
        <v>181</v>
      </c>
      <c r="G48" s="12" t="s">
        <v>182</v>
      </c>
      <c r="H48" s="12" t="s">
        <v>100</v>
      </c>
      <c r="I48" s="12" t="s">
        <v>183</v>
      </c>
      <c r="J48" s="12" t="s">
        <v>184</v>
      </c>
      <c r="K48" s="12" t="s">
        <v>185</v>
      </c>
      <c r="L48" s="892" t="s">
        <v>652</v>
      </c>
      <c r="M48" s="12" t="s">
        <v>186</v>
      </c>
      <c r="N48" s="12" t="s">
        <v>187</v>
      </c>
      <c r="O48" s="12" t="s">
        <v>188</v>
      </c>
      <c r="P48" s="12" t="s">
        <v>189</v>
      </c>
      <c r="Q48" s="12" t="s">
        <v>190</v>
      </c>
    </row>
    <row r="49" spans="1:19" s="15" customFormat="1">
      <c r="A49" s="42"/>
      <c r="B49" s="54"/>
      <c r="C49" s="54"/>
      <c r="D49" s="54"/>
      <c r="E49" s="54"/>
      <c r="F49" s="54"/>
      <c r="G49" s="54"/>
      <c r="H49" s="54"/>
      <c r="I49" s="54"/>
      <c r="J49" s="54"/>
      <c r="K49" s="54"/>
      <c r="L49" s="54"/>
      <c r="M49" s="54"/>
      <c r="N49" s="54"/>
      <c r="O49" s="54"/>
      <c r="P49" s="54"/>
      <c r="Q49" s="54"/>
      <c r="S49" s="32"/>
    </row>
    <row r="50" spans="1:19" s="270" customFormat="1">
      <c r="A50" s="269" t="s">
        <v>287</v>
      </c>
      <c r="B50" s="937">
        <f>SUM(B51:B52)</f>
        <v>3.2050877178508838E-6</v>
      </c>
      <c r="C50" s="937" t="s">
        <v>667</v>
      </c>
      <c r="D50" s="937" t="s">
        <v>667</v>
      </c>
      <c r="E50" s="937" t="s">
        <v>667</v>
      </c>
      <c r="F50" s="937" t="s">
        <v>667</v>
      </c>
      <c r="G50" s="937">
        <f t="shared" ref="G50:N50" si="1">SUM(G51:G52)</f>
        <v>1.2874826709752179E-4</v>
      </c>
      <c r="H50" s="937" t="s">
        <v>667</v>
      </c>
      <c r="I50" s="937" t="s">
        <v>667</v>
      </c>
      <c r="J50" s="937" t="s">
        <v>667</v>
      </c>
      <c r="K50" s="937" t="s">
        <v>667</v>
      </c>
      <c r="L50" s="937" t="s">
        <v>667</v>
      </c>
      <c r="M50" s="937" t="s">
        <v>667</v>
      </c>
      <c r="N50" s="937">
        <f t="shared" si="1"/>
        <v>1.5413097839512899E-5</v>
      </c>
      <c r="O50" s="937" t="s">
        <v>667</v>
      </c>
      <c r="P50" s="937" t="s">
        <v>667</v>
      </c>
      <c r="Q50" s="938" t="s">
        <v>667</v>
      </c>
    </row>
    <row r="51" spans="1:19">
      <c r="A51" s="235" t="s">
        <v>286</v>
      </c>
      <c r="B51" s="940">
        <f>vkm_bus
*(($B$65*(SUMIFS(TableECFTransport[EnergieConsumptieFactor (PJ per km)],TableECFTransport[Index],"BUS_Niet-genummerde wegen_DIESEL HYBRID PHEV_ELECTRIC")*0.5+SUMIFS(TableECFTransport[EnergieConsumptieFactor (PJ per km)],TableECFTransport[Index],"BUS_Genummerde wegen_DIESEL HYBRID PHEV_ELECTRIC")*0.5))
+
$B$66*(SUMIFS(TableECFTransport[EnergieConsumptieFactor (PJ per km)],TableECFTransport[Index],"BUS_Niet-genummerde wegen_ELECTRIC_ELECTRIC")*0.5+SUMIFS(TableECFTransport[EnergieConsumptieFactor (PJ per km)],TableECFTransport[Index],"BUS_Genummerde wegen_ELECTRIC_ELECTRIC")*0.5))</f>
        <v>3.2050877178508838E-6</v>
      </c>
      <c r="C51" s="939"/>
      <c r="D51" s="939"/>
      <c r="E51" s="939"/>
      <c r="F51" s="939"/>
      <c r="G51" s="940">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1.2874826709752179E-4</v>
      </c>
      <c r="H51" s="940"/>
      <c r="I51" s="941"/>
      <c r="J51" s="940"/>
      <c r="K51" s="940"/>
      <c r="L51" s="940"/>
      <c r="M51" s="940"/>
      <c r="N51" s="940">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1.5413097839512899E-5</v>
      </c>
      <c r="O51" s="940"/>
      <c r="P51" s="940"/>
      <c r="Q51" s="942"/>
    </row>
    <row r="52" spans="1:19">
      <c r="A52" s="4" t="s">
        <v>285</v>
      </c>
      <c r="B52" s="929">
        <f>vkm_tram*SUMIFS(TableECFTransport[EnergieConsumptieFactor (PJ per km)],TableECFTransport[Index],"Tram_gemiddeld_Electric_Electric")</f>
        <v>0</v>
      </c>
      <c r="C52" s="943"/>
      <c r="D52" s="943"/>
      <c r="E52" s="943"/>
      <c r="F52" s="943"/>
      <c r="G52" s="944"/>
      <c r="H52" s="944"/>
      <c r="I52" s="945"/>
      <c r="J52" s="944"/>
      <c r="K52" s="944"/>
      <c r="L52" s="944"/>
      <c r="M52" s="944"/>
      <c r="N52" s="944"/>
      <c r="O52" s="944"/>
      <c r="P52" s="944"/>
      <c r="Q52" s="946"/>
    </row>
    <row r="53" spans="1:19">
      <c r="B53" s="934"/>
      <c r="C53" s="935"/>
      <c r="D53" s="935"/>
      <c r="E53" s="935"/>
      <c r="F53" s="935"/>
      <c r="G53" s="934"/>
      <c r="H53" s="934"/>
      <c r="I53" s="936"/>
      <c r="J53" s="934"/>
      <c r="K53" s="934"/>
      <c r="L53" s="934"/>
      <c r="M53" s="934"/>
      <c r="N53" s="934"/>
      <c r="O53" s="934"/>
      <c r="P53" s="934"/>
      <c r="Q53" s="934"/>
    </row>
    <row r="54" spans="1:19" s="15" customFormat="1">
      <c r="A54" s="20" t="s">
        <v>293</v>
      </c>
      <c r="B54" s="21">
        <f>(B50)*10^9/3600</f>
        <v>0.89030214384746775</v>
      </c>
      <c r="C54" s="21" t="s">
        <v>667</v>
      </c>
      <c r="D54" s="21" t="s">
        <v>667</v>
      </c>
      <c r="E54" s="21" t="s">
        <v>667</v>
      </c>
      <c r="F54" s="21" t="s">
        <v>667</v>
      </c>
      <c r="G54" s="21">
        <f t="shared" ref="G54:N54" si="2">(G50)*10^9/3600</f>
        <v>35.763407527089385</v>
      </c>
      <c r="H54" s="21" t="s">
        <v>667</v>
      </c>
      <c r="I54" s="21" t="s">
        <v>667</v>
      </c>
      <c r="J54" s="21" t="s">
        <v>667</v>
      </c>
      <c r="K54" s="21" t="s">
        <v>667</v>
      </c>
      <c r="L54" s="21" t="s">
        <v>667</v>
      </c>
      <c r="M54" s="21" t="s">
        <v>667</v>
      </c>
      <c r="N54" s="21">
        <f t="shared" si="2"/>
        <v>4.281416066531361</v>
      </c>
      <c r="O54" s="21" t="s">
        <v>667</v>
      </c>
      <c r="P54" s="21" t="s">
        <v>667</v>
      </c>
      <c r="Q54" s="21" t="s">
        <v>669</v>
      </c>
      <c r="S54" s="32"/>
    </row>
    <row r="55" spans="1:19" s="32" customFormat="1">
      <c r="A55" s="42"/>
      <c r="B55" s="54"/>
      <c r="C55" s="54"/>
      <c r="D55" s="54"/>
      <c r="E55" s="54"/>
      <c r="F55" s="54"/>
      <c r="G55" s="54"/>
      <c r="H55" s="54"/>
      <c r="I55" s="54"/>
      <c r="J55" s="54"/>
      <c r="K55" s="54"/>
      <c r="L55" s="54"/>
      <c r="M55" s="54"/>
      <c r="N55" s="54"/>
      <c r="O55" s="54"/>
      <c r="P55" s="54"/>
      <c r="Q55" s="54"/>
    </row>
    <row r="56" spans="1:19">
      <c r="A56" s="24" t="s">
        <v>194</v>
      </c>
      <c r="B56" s="55">
        <f>'EF ele_warmte'!B13</f>
        <v>0.17310560263580646</v>
      </c>
      <c r="C56" s="55">
        <f>'EF ele_warmte'!B23</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5">
        <f>'EF brandstof'!K4</f>
        <v>0</v>
      </c>
      <c r="M56" s="55">
        <f>'EF brandstof'!L4</f>
        <v>0</v>
      </c>
      <c r="N56" s="55">
        <f>'EF brandstof'!K4</f>
        <v>0</v>
      </c>
      <c r="O56" s="55">
        <f>'EF brandstof'!M4</f>
        <v>0</v>
      </c>
      <c r="P56" s="56"/>
      <c r="Q56" s="56"/>
    </row>
    <row r="57" spans="1:19">
      <c r="A57" s="1"/>
      <c r="B57" s="947"/>
      <c r="C57" s="948"/>
      <c r="D57" s="948"/>
      <c r="E57" s="948"/>
      <c r="F57" s="948"/>
      <c r="G57" s="948"/>
      <c r="H57" s="948"/>
      <c r="I57" s="948"/>
      <c r="J57" s="948"/>
      <c r="K57" s="948"/>
      <c r="L57" s="948"/>
      <c r="M57" s="948"/>
      <c r="N57" s="948"/>
      <c r="O57" s="948"/>
      <c r="P57" s="948"/>
      <c r="Q57" s="948"/>
    </row>
    <row r="58" spans="1:19" s="15" customFormat="1">
      <c r="A58" s="20" t="s">
        <v>295</v>
      </c>
      <c r="B58" s="23">
        <f>B54*B56</f>
        <v>0.15411628913866635</v>
      </c>
      <c r="C58" s="23" t="s">
        <v>667</v>
      </c>
      <c r="D58" s="23" t="s">
        <v>667</v>
      </c>
      <c r="E58" s="23" t="s">
        <v>667</v>
      </c>
      <c r="F58" s="23" t="s">
        <v>667</v>
      </c>
      <c r="G58" s="23">
        <f t="shared" ref="G58:N58" si="3">G54*G56</f>
        <v>9.548829809732867</v>
      </c>
      <c r="H58" s="23" t="s">
        <v>667</v>
      </c>
      <c r="I58" s="23" t="s">
        <v>667</v>
      </c>
      <c r="J58" s="23" t="s">
        <v>667</v>
      </c>
      <c r="K58" s="23" t="s">
        <v>667</v>
      </c>
      <c r="L58" s="23" t="s">
        <v>667</v>
      </c>
      <c r="M58" s="23" t="s">
        <v>667</v>
      </c>
      <c r="N58" s="23">
        <f t="shared" si="3"/>
        <v>0</v>
      </c>
      <c r="O58" s="23" t="s">
        <v>667</v>
      </c>
      <c r="P58" s="23" t="s">
        <v>667</v>
      </c>
      <c r="Q58" s="23" t="s">
        <v>667</v>
      </c>
    </row>
    <row r="59" spans="1:19">
      <c r="A59" s="1"/>
      <c r="B59" s="1"/>
    </row>
    <row r="60" spans="1:19">
      <c r="A60" s="1"/>
      <c r="B60" s="1"/>
    </row>
    <row r="61" spans="1:19">
      <c r="A61" s="236" t="s">
        <v>455</v>
      </c>
      <c r="B61" s="238"/>
      <c r="C61" s="239"/>
    </row>
    <row r="62" spans="1:19" s="15" customFormat="1">
      <c r="A62" s="265"/>
      <c r="B62" s="262"/>
      <c r="C62" s="266"/>
      <c r="L62" s="812"/>
    </row>
    <row r="63" spans="1:19">
      <c r="A63" s="267"/>
      <c r="B63" s="130"/>
      <c r="C63" s="268" t="s">
        <v>162</v>
      </c>
    </row>
    <row r="64" spans="1:19">
      <c r="A64" s="260" t="s">
        <v>182</v>
      </c>
      <c r="B64" s="1031">
        <f>100%-B65-B66</f>
        <v>0.87740260440000406</v>
      </c>
      <c r="C64" s="167"/>
    </row>
    <row r="65" spans="1:13">
      <c r="A65" s="260" t="s">
        <v>597</v>
      </c>
      <c r="B65" s="817">
        <f>bus_pct_hybride</f>
        <v>0.12259739559999593</v>
      </c>
      <c r="C65" s="271" t="s">
        <v>771</v>
      </c>
    </row>
    <row r="66" spans="1:13" s="15" customFormat="1">
      <c r="A66" s="261" t="s">
        <v>775</v>
      </c>
      <c r="B66" s="817">
        <f>bus_pct_elektrisch</f>
        <v>0</v>
      </c>
      <c r="C66" s="271" t="s">
        <v>771</v>
      </c>
      <c r="L66" s="812"/>
    </row>
    <row r="67" spans="1:13">
      <c r="A67" s="263" t="s">
        <v>272</v>
      </c>
      <c r="B67" s="264">
        <f>SUM(B64:B65)</f>
        <v>1</v>
      </c>
      <c r="C67" s="169"/>
    </row>
    <row r="70" spans="1:13">
      <c r="A70" s="236" t="s">
        <v>409</v>
      </c>
      <c r="B70" s="238"/>
      <c r="C70" s="238"/>
      <c r="D70" s="238"/>
      <c r="E70" s="238"/>
      <c r="F70" s="238"/>
      <c r="G70" s="238"/>
      <c r="H70" s="238"/>
      <c r="I70" s="238"/>
      <c r="J70" s="238"/>
      <c r="K70" s="238"/>
      <c r="L70" s="890"/>
      <c r="M70" s="239"/>
    </row>
    <row r="71" spans="1:13">
      <c r="A71" s="366" t="s">
        <v>456</v>
      </c>
    </row>
    <row r="72" spans="1:13">
      <c r="A72" s="235"/>
      <c r="B72" s="240"/>
      <c r="C72" s="240"/>
      <c r="D72" s="240"/>
      <c r="E72" s="240"/>
    </row>
    <row r="73" spans="1:13">
      <c r="A73" s="246"/>
      <c r="B73" s="247" t="s">
        <v>273</v>
      </c>
      <c r="C73" s="704">
        <f>C30</f>
        <v>2022</v>
      </c>
      <c r="D73" s="247" t="s">
        <v>274</v>
      </c>
      <c r="E73" s="221" t="s">
        <v>162</v>
      </c>
    </row>
    <row r="74" spans="1:13">
      <c r="A74" t="str">
        <f t="shared" ref="A74:A75" si="4">A31</f>
        <v>diesel</v>
      </c>
      <c r="B74" s="364"/>
      <c r="C74" s="364"/>
      <c r="D74" s="364"/>
      <c r="E74" s="11"/>
    </row>
    <row r="75" spans="1:13">
      <c r="A75" t="str">
        <f t="shared" si="4"/>
        <v>biodiesel</v>
      </c>
      <c r="B75" s="364"/>
      <c r="C75" s="364"/>
      <c r="D75" s="364"/>
      <c r="E75" s="11"/>
    </row>
    <row r="76" spans="1:13">
      <c r="A76" t="str">
        <f>A33</f>
        <v>vol% liter</v>
      </c>
      <c r="B76" s="364"/>
      <c r="C76" s="365"/>
      <c r="D76" s="364"/>
      <c r="E76" s="11"/>
    </row>
    <row r="77" spans="1:13">
      <c r="A77" t="str">
        <f>A34</f>
        <v>gew% kg</v>
      </c>
      <c r="B77" s="364"/>
      <c r="D77" s="364"/>
      <c r="E77" s="11"/>
    </row>
    <row r="78" spans="1:13">
      <c r="A78" t="str">
        <f>A35</f>
        <v>J%</v>
      </c>
      <c r="B78" s="364"/>
      <c r="C78" s="367">
        <f>C35</f>
        <v>0.10691559313582299</v>
      </c>
      <c r="D78" s="364"/>
      <c r="E78" s="11" t="str">
        <f>E35</f>
        <v>VMM 2024, COPERT 5.7</v>
      </c>
    </row>
    <row r="79" spans="1:13">
      <c r="B79" s="364"/>
      <c r="C79" s="364"/>
      <c r="D79" s="364"/>
    </row>
  </sheetData>
  <mergeCells count="12">
    <mergeCell ref="A46:A48"/>
    <mergeCell ref="B46:Q46"/>
    <mergeCell ref="B47:B48"/>
    <mergeCell ref="C47:C48"/>
    <mergeCell ref="D47:K47"/>
    <mergeCell ref="M47:Q47"/>
    <mergeCell ref="A1:A3"/>
    <mergeCell ref="B2:B3"/>
    <mergeCell ref="C2:C3"/>
    <mergeCell ref="D2:K2"/>
    <mergeCell ref="M2:Q2"/>
    <mergeCell ref="B1:Q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45"/>
  <sheetViews>
    <sheetView showGridLines="0" zoomScale="65" zoomScaleNormal="65" workbookViewId="0">
      <selection activeCell="M339" sqref="M339"/>
    </sheetView>
  </sheetViews>
  <sheetFormatPr defaultColWidth="9.140625" defaultRowHeight="15"/>
  <cols>
    <col min="1" max="1" width="38" style="503" customWidth="1"/>
    <col min="2" max="2" width="27" style="503" customWidth="1"/>
    <col min="3" max="3" width="25.42578125" style="503" customWidth="1"/>
    <col min="4" max="4" width="41.28515625" style="503" customWidth="1"/>
    <col min="5" max="5" width="27.5703125" style="503" customWidth="1"/>
    <col min="6" max="7" width="18" style="503" customWidth="1"/>
    <col min="8" max="8" width="23.42578125" style="503" customWidth="1"/>
    <col min="9" max="9" width="28.5703125" style="503" customWidth="1"/>
    <col min="10" max="10" width="35.28515625" style="503" customWidth="1"/>
    <col min="11" max="11" width="32.7109375" style="503" customWidth="1"/>
    <col min="12" max="14" width="23.85546875" style="503" customWidth="1"/>
    <col min="15" max="15" width="21.140625" style="503" customWidth="1"/>
    <col min="16" max="16" width="17.5703125" style="503" customWidth="1"/>
    <col min="17" max="17" width="22.85546875" style="503" customWidth="1"/>
    <col min="18" max="18" width="19.140625" style="503" customWidth="1"/>
    <col min="19" max="19" width="24.7109375" style="503" customWidth="1"/>
    <col min="20" max="20" width="9.140625" style="503"/>
    <col min="21" max="21" width="21.140625" style="503" customWidth="1"/>
    <col min="22" max="22" width="14.85546875" style="503" customWidth="1"/>
    <col min="23" max="24" width="16.140625" style="503" customWidth="1"/>
    <col min="25" max="25" width="14.7109375" style="503" customWidth="1"/>
    <col min="26" max="27" width="16.140625" style="503" customWidth="1"/>
    <col min="28" max="28" width="17.28515625" style="503" customWidth="1"/>
    <col min="29" max="29" width="16.85546875" style="503" customWidth="1"/>
    <col min="30" max="16384" width="9.140625" style="503"/>
  </cols>
  <sheetData>
    <row r="1" spans="1:21" s="433" customFormat="1" ht="17.45" customHeight="1" thickTop="1" thickBot="1">
      <c r="A1" s="1203" t="s">
        <v>211</v>
      </c>
      <c r="B1" s="1206" t="s">
        <v>212</v>
      </c>
      <c r="C1" s="1215" t="s">
        <v>213</v>
      </c>
      <c r="D1" s="1216"/>
      <c r="E1" s="1216"/>
      <c r="F1" s="1216"/>
      <c r="G1" s="1216"/>
      <c r="H1" s="1216"/>
      <c r="I1" s="1216"/>
      <c r="J1" s="1216"/>
      <c r="K1" s="1216"/>
      <c r="L1" s="1216"/>
      <c r="M1" s="1216"/>
      <c r="N1" s="1183" t="s">
        <v>214</v>
      </c>
      <c r="O1" s="1184"/>
      <c r="P1" s="906"/>
      <c r="S1" s="1230"/>
      <c r="T1" s="1230"/>
      <c r="U1" s="1230"/>
    </row>
    <row r="2" spans="1:21" s="433" customFormat="1" ht="16.5" thickTop="1" thickBot="1">
      <c r="A2" s="1204"/>
      <c r="B2" s="1204"/>
      <c r="C2" s="1208" t="s">
        <v>177</v>
      </c>
      <c r="D2" s="1209"/>
      <c r="E2" s="1209"/>
      <c r="F2" s="1209"/>
      <c r="G2" s="1210"/>
      <c r="H2" s="1211" t="s">
        <v>215</v>
      </c>
      <c r="I2" s="1213" t="s">
        <v>216</v>
      </c>
      <c r="J2" s="1213" t="s">
        <v>207</v>
      </c>
      <c r="K2" s="1219" t="s">
        <v>652</v>
      </c>
      <c r="L2" s="1213" t="s">
        <v>659</v>
      </c>
      <c r="M2" s="1217" t="s">
        <v>107</v>
      </c>
      <c r="N2" s="855"/>
      <c r="O2" s="855"/>
      <c r="P2" s="906"/>
      <c r="S2" s="1230"/>
      <c r="T2" s="1230"/>
      <c r="U2" s="1230"/>
    </row>
    <row r="3" spans="1:21" s="433" customFormat="1" ht="53.45" customHeight="1" thickBot="1">
      <c r="A3" s="1205"/>
      <c r="B3" s="1207"/>
      <c r="C3" s="434" t="s">
        <v>179</v>
      </c>
      <c r="D3" s="435" t="s">
        <v>180</v>
      </c>
      <c r="E3" s="436" t="s">
        <v>181</v>
      </c>
      <c r="F3" s="437" t="s">
        <v>183</v>
      </c>
      <c r="G3" s="438" t="s">
        <v>184</v>
      </c>
      <c r="H3" s="1212"/>
      <c r="I3" s="1214"/>
      <c r="J3" s="1214"/>
      <c r="K3" s="1214"/>
      <c r="L3" s="1214"/>
      <c r="M3" s="1218"/>
      <c r="N3" s="857" t="s">
        <v>658</v>
      </c>
      <c r="O3" s="857" t="s">
        <v>657</v>
      </c>
      <c r="P3" s="906"/>
      <c r="S3" s="1230"/>
      <c r="T3" s="1230"/>
      <c r="U3" s="1230"/>
    </row>
    <row r="4" spans="1:21" s="433" customFormat="1" ht="15.75" thickTop="1">
      <c r="A4" s="439" t="s">
        <v>219</v>
      </c>
      <c r="B4" s="440">
        <f>IF(ISERROR(kWh_wind_land),"NO",kWh_wind_land)</f>
        <v>0</v>
      </c>
      <c r="C4" s="1191"/>
      <c r="D4" s="1185"/>
      <c r="E4" s="1185"/>
      <c r="F4" s="1194"/>
      <c r="G4" s="1197"/>
      <c r="H4" s="1188"/>
      <c r="I4" s="1185"/>
      <c r="J4" s="1185"/>
      <c r="K4" s="1185"/>
      <c r="L4" s="1185"/>
      <c r="M4" s="1200"/>
      <c r="N4" s="1185"/>
      <c r="O4" s="448">
        <v>0</v>
      </c>
      <c r="P4" s="860"/>
      <c r="S4" s="441"/>
      <c r="T4" s="1221"/>
      <c r="U4" s="1221"/>
    </row>
    <row r="5" spans="1:21" s="433" customFormat="1">
      <c r="A5" s="442" t="s">
        <v>220</v>
      </c>
      <c r="B5" s="440" cm="1">
        <f t="array" ref="B5">IF(ISERROR(kWh_waterkracht),"NO",kWh_waterkracht)</f>
        <v>0</v>
      </c>
      <c r="C5" s="1192"/>
      <c r="D5" s="1186"/>
      <c r="E5" s="1186"/>
      <c r="F5" s="1195"/>
      <c r="G5" s="1198"/>
      <c r="H5" s="1189"/>
      <c r="I5" s="1186"/>
      <c r="J5" s="1186"/>
      <c r="K5" s="1186"/>
      <c r="L5" s="1186"/>
      <c r="M5" s="1201"/>
      <c r="N5" s="1186"/>
      <c r="O5" s="448">
        <v>0</v>
      </c>
      <c r="P5" s="860"/>
      <c r="S5" s="441"/>
      <c r="T5" s="1221"/>
      <c r="U5" s="1221"/>
    </row>
    <row r="6" spans="1:21" s="433" customFormat="1">
      <c r="A6" s="442" t="s">
        <v>221</v>
      </c>
      <c r="B6" s="440">
        <f>IF(ISERROR((kWh_PV_kleiner_dan_10kW+kWh_PV_groter_dan_10kW)),"NO",(kWh_PV_kleiner_dan_10kW+kWh_PV_groter_dan_10kW))</f>
        <v>516.97665404149075</v>
      </c>
      <c r="C6" s="1192"/>
      <c r="D6" s="1186"/>
      <c r="E6" s="1186"/>
      <c r="F6" s="1195"/>
      <c r="G6" s="1198"/>
      <c r="H6" s="1189"/>
      <c r="I6" s="1186"/>
      <c r="J6" s="1186"/>
      <c r="K6" s="1186"/>
      <c r="L6" s="1186"/>
      <c r="M6" s="1201"/>
      <c r="N6" s="1186"/>
      <c r="O6" s="448">
        <v>0</v>
      </c>
      <c r="P6" s="860"/>
      <c r="S6" s="441"/>
      <c r="T6" s="1221"/>
      <c r="U6" s="1221"/>
    </row>
    <row r="7" spans="1:21" s="433" customFormat="1">
      <c r="A7" s="442" t="s">
        <v>540</v>
      </c>
      <c r="B7" s="440" t="s">
        <v>667</v>
      </c>
      <c r="C7" s="1193"/>
      <c r="D7" s="1187"/>
      <c r="E7" s="1187"/>
      <c r="F7" s="1196"/>
      <c r="G7" s="1199"/>
      <c r="H7" s="1190"/>
      <c r="I7" s="1187"/>
      <c r="J7" s="1187"/>
      <c r="K7" s="1187"/>
      <c r="L7" s="1187"/>
      <c r="M7" s="1202"/>
      <c r="N7" s="1187"/>
      <c r="O7" s="448">
        <v>0</v>
      </c>
      <c r="P7" s="860"/>
      <c r="S7" s="746"/>
      <c r="T7" s="746"/>
      <c r="U7" s="746"/>
    </row>
    <row r="8" spans="1:21" s="433" customFormat="1">
      <c r="A8" s="443" t="s">
        <v>222</v>
      </c>
      <c r="B8" s="444">
        <f>N29+'Eigen informatie GS &amp; warmtenet'!B13</f>
        <v>0</v>
      </c>
      <c r="C8" s="445">
        <f>B43+IF(ISERROR(('Eigen informatie GS &amp; warmtenet'!B16)*(('Eigen informatie GS &amp; warmtenet'!B13)/('Eigen informatie GS &amp; warmtenet'!B12+'Eigen informatie GS &amp; warmtenet'!B13))),0,('Eigen informatie GS &amp; warmtenet'!B16)*(('Eigen informatie GS &amp; warmtenet'!B13)/('Eigen informatie GS &amp; warmtenet'!B12+'Eigen informatie GS &amp; warmtenet'!B13)))</f>
        <v>0</v>
      </c>
      <c r="D8" s="446">
        <f>J43</f>
        <v>0</v>
      </c>
      <c r="E8" s="446">
        <f>E43+IF(ISERROR('Eigen informatie GS &amp; warmtenet'!B18*(('Eigen informatie GS &amp; warmtenet'!$B$13)/('Eigen informatie GS &amp; warmtenet'!$B$12+'Eigen informatie GS &amp; warmtenet'!$B$13))),0,'Eigen informatie GS &amp; warmtenet'!B18/(('Eigen informatie GS &amp; warmtenet'!B13)/('Eigen informatie GS &amp; warmtenet'!$B$12+'Eigen informatie GS &amp; warmtenet'!$B$13)))</f>
        <v>0</v>
      </c>
      <c r="F8" s="953">
        <f>IF(ISERROR('Eigen informatie GS &amp; warmtenet'!B19*(('Eigen informatie GS &amp; warmtenet'!$B$13)/('Eigen informatie GS &amp; warmtenet'!$B$12+'Eigen informatie GS &amp; warmtenet'!$B$13))),0,'Eigen informatie GS &amp; warmtenet'!B19*(('Eigen informatie GS &amp; warmtenet'!B13)/('Eigen informatie GS &amp; warmtenet'!$B$12+'Eigen informatie GS &amp; warmtenet'!$B$13)))</f>
        <v>0</v>
      </c>
      <c r="G8" s="447">
        <f>IF(ISERROR('Eigen informatie GS &amp; warmtenet'!B20*(('Eigen informatie GS &amp; warmtenet'!$B$13)/('Eigen informatie GS &amp; warmtenet'!$B$12+'Eigen informatie GS &amp; warmtenet'!$B$13))),0,'Eigen informatie GS &amp; warmtenet'!B20*(('Eigen informatie GS &amp; warmtenet'!B13)/('Eigen informatie GS &amp; warmtenet'!$B$12+'Eigen informatie GS &amp; warmtenet'!$B$13)))</f>
        <v>0</v>
      </c>
      <c r="H8" s="446">
        <f>I43+IF(ISERROR('Eigen informatie GS &amp; warmtenet'!B21*(('Eigen informatie GS &amp; warmtenet'!$B$13)/('Eigen informatie GS &amp; warmtenet'!$B$12+'Eigen informatie GS &amp; warmtenet'!$B$13))),0,'Eigen informatie GS &amp; warmtenet'!B21*(('Eigen informatie GS &amp; warmtenet'!B13)/('Eigen informatie GS &amp; warmtenet'!$B$12+'Eigen informatie GS &amp; warmtenet'!$B$13)))</f>
        <v>0</v>
      </c>
      <c r="I8" s="446">
        <f>G43+F43+IF(ISERROR('Eigen informatie GS &amp; warmtenet'!B22*(('Eigen informatie GS &amp; warmtenet'!$B$13)/('Eigen informatie GS &amp; warmtenet'!$B$12+'Eigen informatie GS &amp; warmtenet'!$B$13))),0,'Eigen informatie GS &amp; warmtenet'!B22*(('Eigen informatie GS &amp; warmtenet'!B13)/('Eigen informatie GS &amp; warmtenet'!$B$12+'Eigen informatie GS &amp; warmtenet'!$B$13)))</f>
        <v>0</v>
      </c>
      <c r="J8" s="446">
        <f>H43+D43++IF(ISERROR('Eigen informatie GS &amp; warmtenet'!B23*(('Eigen informatie GS &amp; warmtenet'!$B$13)/('Eigen informatie GS &amp; warmtenet'!$B$12+'Eigen informatie GS &amp; warmtenet'!$B$13))),0,'Eigen informatie GS &amp; warmtenet'!B23*(('Eigen informatie GS &amp; warmtenet'!B13)/('Eigen informatie GS &amp; warmtenet'!$B$12+'Eigen informatie GS &amp; warmtenet'!$B$13)))</f>
        <v>0</v>
      </c>
      <c r="K8" s="446">
        <f>C43+IF(ISERROR('Eigen informatie GS &amp; warmtenet'!B24*(('Eigen informatie GS &amp; warmtenet'!$B$13)/('Eigen informatie GS &amp; warmtenet'!$B$12+'Eigen informatie GS &amp; warmtenet'!$B$13))),0,'Eigen informatie GS &amp; warmtenet'!B24*(('Eigen informatie GS &amp; warmtenet'!B13)/('Eigen informatie GS &amp; warmtenet'!$B$12+'Eigen informatie GS &amp; warmtenet'!$B$13)))</f>
        <v>0</v>
      </c>
      <c r="L8" s="446">
        <f>IF(ISERROR('Eigen informatie GS &amp; warmtenet'!B25*(('Eigen informatie GS &amp; warmtenet'!$B$13)/('Eigen informatie GS &amp; warmtenet'!$B$12+'Eigen informatie GS &amp; warmtenet'!$B$13))),0,'Eigen informatie GS &amp; warmtenet'!B25*(('Eigen informatie GS &amp; warmtenet'!B13)/('Eigen informatie GS &amp; warmtenet'!$B$12+'Eigen informatie GS &amp; warmtenet'!$B$13)))</f>
        <v>0</v>
      </c>
      <c r="M8" s="908">
        <f>IF(ISERROR('Eigen informatie GS &amp; warmtenet'!B26*(('Eigen informatie GS &amp; warmtenet'!$B$13)/('Eigen informatie GS &amp; warmtenet'!$B$12+'Eigen informatie GS &amp; warmtenet'!$B$13))),0,'Eigen informatie GS &amp; warmtenet'!B26*(('Eigen informatie GS &amp; warmtenet'!B13)/('Eigen informatie GS &amp; warmtenet'!$B$12+'Eigen informatie GS &amp; warmtenet'!$B$13)))</f>
        <v>0</v>
      </c>
      <c r="N8" s="448">
        <f>C8*$C$12+D8*$D$12+E8*$E$12+H8*$H$12+F8*F12+G8*G12+M8*M12</f>
        <v>0</v>
      </c>
      <c r="O8" s="448">
        <f>0</f>
        <v>0</v>
      </c>
      <c r="P8" s="860"/>
      <c r="S8" s="441"/>
      <c r="T8" s="1221"/>
      <c r="U8" s="1221"/>
    </row>
    <row r="9" spans="1:21" s="433" customFormat="1" ht="17.45" customHeight="1" thickBot="1">
      <c r="A9" s="449" t="s">
        <v>218</v>
      </c>
      <c r="B9" s="477" t="s">
        <v>668</v>
      </c>
      <c r="C9" s="450" t="s">
        <v>668</v>
      </c>
      <c r="D9" s="451" t="s">
        <v>668</v>
      </c>
      <c r="E9" s="451" t="s">
        <v>668</v>
      </c>
      <c r="F9" s="451" t="s">
        <v>667</v>
      </c>
      <c r="G9" s="452" t="s">
        <v>667</v>
      </c>
      <c r="H9" s="451" t="s">
        <v>668</v>
      </c>
      <c r="I9" s="451" t="s">
        <v>668</v>
      </c>
      <c r="J9" s="451" t="s">
        <v>668</v>
      </c>
      <c r="K9" s="453" t="s">
        <v>668</v>
      </c>
      <c r="L9" s="453" t="s">
        <v>667</v>
      </c>
      <c r="M9" s="909" t="s">
        <v>667</v>
      </c>
      <c r="N9" s="910" t="s">
        <v>668</v>
      </c>
      <c r="O9" s="910" t="s">
        <v>668</v>
      </c>
      <c r="P9" s="860"/>
      <c r="S9" s="441"/>
      <c r="T9" s="1221"/>
      <c r="U9" s="1221"/>
    </row>
    <row r="10" spans="1:21" s="433" customFormat="1" ht="16.5" thickTop="1" thickBot="1">
      <c r="A10" s="454" t="s">
        <v>96</v>
      </c>
      <c r="B10" s="455">
        <f>SUM(B4:B9)</f>
        <v>516.97665404149075</v>
      </c>
      <c r="C10" s="456">
        <f t="shared" ref="C10:M10" si="0">SUM(C8:C9)</f>
        <v>0</v>
      </c>
      <c r="D10" s="456">
        <f t="shared" si="0"/>
        <v>0</v>
      </c>
      <c r="E10" s="456">
        <f t="shared" si="0"/>
        <v>0</v>
      </c>
      <c r="F10" s="456">
        <f t="shared" si="0"/>
        <v>0</v>
      </c>
      <c r="G10" s="456">
        <f t="shared" si="0"/>
        <v>0</v>
      </c>
      <c r="H10" s="456">
        <f t="shared" si="0"/>
        <v>0</v>
      </c>
      <c r="I10" s="456">
        <f t="shared" si="0"/>
        <v>0</v>
      </c>
      <c r="J10" s="456">
        <f t="shared" si="0"/>
        <v>0</v>
      </c>
      <c r="K10" s="456">
        <f t="shared" si="0"/>
        <v>0</v>
      </c>
      <c r="L10" s="456">
        <f t="shared" si="0"/>
        <v>0</v>
      </c>
      <c r="M10" s="456">
        <f t="shared" si="0"/>
        <v>0</v>
      </c>
      <c r="N10" s="457">
        <f>SUM(N4:N9)</f>
        <v>0</v>
      </c>
      <c r="O10" s="456">
        <f t="shared" ref="O10" si="1">SUM(O4:O9)</f>
        <v>0</v>
      </c>
      <c r="P10" s="907"/>
      <c r="S10" s="441"/>
      <c r="T10" s="458"/>
      <c r="U10" s="458"/>
    </row>
    <row r="11" spans="1:21" s="461" customFormat="1" ht="15.75" thickTop="1">
      <c r="A11" s="459"/>
      <c r="B11" s="460"/>
      <c r="C11" s="460"/>
      <c r="D11" s="460"/>
      <c r="E11" s="460"/>
      <c r="F11" s="460"/>
      <c r="G11" s="460"/>
      <c r="H11" s="460"/>
      <c r="I11" s="460"/>
      <c r="J11" s="460"/>
      <c r="K11" s="460"/>
      <c r="L11" s="460"/>
      <c r="M11" s="460"/>
      <c r="O11" s="460"/>
      <c r="P11" s="433"/>
    </row>
    <row r="12" spans="1:21" s="461" customFormat="1">
      <c r="A12" s="462" t="s">
        <v>251</v>
      </c>
      <c r="B12" s="463"/>
      <c r="C12" s="463">
        <f>EF_CO2_aardgas</f>
        <v>0.20200000000000001</v>
      </c>
      <c r="D12" s="463">
        <f>EF_VLgas_CO2</f>
        <v>0.22700000000000001</v>
      </c>
      <c r="E12" s="463">
        <f>EF_stookolie_CO2</f>
        <v>0.26700000000000002</v>
      </c>
      <c r="F12" s="463">
        <f>EF_bruinkool_CO2</f>
        <v>0.35099999999999998</v>
      </c>
      <c r="G12" s="463">
        <f>EF_steenkool_CO2</f>
        <v>0.35399999999999998</v>
      </c>
      <c r="H12" s="463">
        <f>'EF brandstof'!N4</f>
        <v>0.33</v>
      </c>
      <c r="I12" s="463">
        <f>'EF brandstof'!L4</f>
        <v>0</v>
      </c>
      <c r="J12" s="463">
        <f>'EF brandstof'!M4</f>
        <v>0</v>
      </c>
      <c r="K12" s="463">
        <f>EF_biogas_CO2</f>
        <v>0</v>
      </c>
      <c r="L12" s="463">
        <f>'EF brandstof'!M4</f>
        <v>0</v>
      </c>
      <c r="M12" s="463">
        <f>EF_anderfossiel_CO2</f>
        <v>0.26400000000000001</v>
      </c>
      <c r="O12" s="464"/>
      <c r="P12" s="464"/>
    </row>
    <row r="13" spans="1:21" s="433" customFormat="1" ht="15.75" thickBot="1">
      <c r="A13" s="465"/>
      <c r="B13" s="464"/>
      <c r="C13" s="464"/>
      <c r="D13" s="464"/>
      <c r="E13" s="464"/>
      <c r="F13" s="464"/>
      <c r="G13" s="464"/>
      <c r="H13" s="464"/>
      <c r="I13" s="464"/>
      <c r="J13" s="464"/>
      <c r="K13" s="464"/>
      <c r="L13" s="464"/>
      <c r="M13" s="464"/>
      <c r="N13" s="464"/>
      <c r="O13" s="464"/>
      <c r="P13" s="464"/>
    </row>
    <row r="14" spans="1:21" s="433" customFormat="1" ht="16.899999999999999" customHeight="1" thickTop="1" thickBot="1">
      <c r="A14" s="1203" t="s">
        <v>223</v>
      </c>
      <c r="B14" s="1203" t="s">
        <v>224</v>
      </c>
      <c r="C14" s="1226" t="s">
        <v>225</v>
      </c>
      <c r="D14" s="1227"/>
      <c r="E14" s="1227"/>
      <c r="F14" s="1227"/>
      <c r="G14" s="1227"/>
      <c r="H14" s="1227"/>
      <c r="I14" s="1227"/>
      <c r="J14" s="1227"/>
      <c r="K14" s="1227"/>
      <c r="L14" s="1227"/>
      <c r="M14" s="1227"/>
      <c r="N14" s="1220" t="s">
        <v>214</v>
      </c>
      <c r="O14" s="1220"/>
      <c r="P14" s="906"/>
      <c r="S14" s="1230"/>
      <c r="T14" s="1230"/>
    </row>
    <row r="15" spans="1:21" s="433" customFormat="1" ht="15.75" customHeight="1" thickBot="1">
      <c r="A15" s="1204"/>
      <c r="B15" s="1204"/>
      <c r="C15" s="1222" t="s">
        <v>177</v>
      </c>
      <c r="D15" s="1223"/>
      <c r="E15" s="1223"/>
      <c r="F15" s="1223"/>
      <c r="G15" s="1224"/>
      <c r="H15" s="1225" t="s">
        <v>215</v>
      </c>
      <c r="I15" s="1225" t="s">
        <v>216</v>
      </c>
      <c r="J15" s="1225" t="s">
        <v>207</v>
      </c>
      <c r="K15" s="1225" t="s">
        <v>652</v>
      </c>
      <c r="L15" s="1225" t="s">
        <v>659</v>
      </c>
      <c r="M15" s="1228" t="s">
        <v>107</v>
      </c>
      <c r="N15" s="856"/>
      <c r="O15" s="856"/>
      <c r="P15" s="906"/>
      <c r="S15" s="1230"/>
      <c r="T15" s="1230"/>
    </row>
    <row r="16" spans="1:21" s="433" customFormat="1" ht="40.700000000000003" customHeight="1" thickBot="1">
      <c r="A16" s="1205"/>
      <c r="B16" s="1205"/>
      <c r="C16" s="466" t="s">
        <v>179</v>
      </c>
      <c r="D16" s="435" t="s">
        <v>180</v>
      </c>
      <c r="E16" s="467" t="s">
        <v>181</v>
      </c>
      <c r="F16" s="435" t="s">
        <v>183</v>
      </c>
      <c r="G16" s="468" t="s">
        <v>184</v>
      </c>
      <c r="H16" s="1212"/>
      <c r="I16" s="1212"/>
      <c r="J16" s="1212"/>
      <c r="K16" s="1212"/>
      <c r="L16" s="1212"/>
      <c r="M16" s="1229"/>
      <c r="N16" s="857" t="s">
        <v>658</v>
      </c>
      <c r="O16" s="857" t="s">
        <v>657</v>
      </c>
      <c r="P16" s="906"/>
      <c r="S16" s="1230"/>
      <c r="T16" s="1230"/>
    </row>
    <row r="17" spans="1:27" s="433" customFormat="1" ht="15.75" thickTop="1">
      <c r="A17" s="469" t="s">
        <v>222</v>
      </c>
      <c r="B17" s="470">
        <f>O29+'Eigen informatie GS &amp; warmtenet'!B12</f>
        <v>0</v>
      </c>
      <c r="C17" s="471">
        <f>B44+IF(ISERROR(('Eigen informatie GS &amp; warmtenet'!B16)*(('Eigen informatie GS &amp; warmtenet'!$B$12)/('Eigen informatie GS &amp; warmtenet'!$B$12+'Eigen informatie GS &amp; warmtenet'!$B$13))),0,('Eigen informatie GS &amp; warmtenet'!B16)*(('Eigen informatie GS &amp; warmtenet'!$B$12)/('Eigen informatie GS &amp; warmtenet'!$B$12+'Eigen informatie GS &amp; warmtenet'!$B$13)))</f>
        <v>0</v>
      </c>
      <c r="D17" s="472">
        <f>J44+IF(ISERROR(('Eigen informatie GS &amp; warmtenet'!B17)*(('Eigen informatie GS &amp; warmtenet'!$B$12)/('Eigen informatie GS &amp; warmtenet'!$B$12+'Eigen informatie GS &amp; warmtenet'!$B$13))),0,('Eigen informatie GS &amp; warmtenet'!B17)*(('Eigen informatie GS &amp; warmtenet'!$B$12)/('Eigen informatie GS &amp; warmtenet'!$B$12+'Eigen informatie GS &amp; warmtenet'!$B$13)))</f>
        <v>0</v>
      </c>
      <c r="E17" s="472">
        <f>E44+IF(ISERROR(('Eigen informatie GS &amp; warmtenet'!B18)*(('Eigen informatie GS &amp; warmtenet'!$B$12)/('Eigen informatie GS &amp; warmtenet'!$B$12+'Eigen informatie GS &amp; warmtenet'!$B$13))),0,('Eigen informatie GS &amp; warmtenet'!B18)*(('Eigen informatie GS &amp; warmtenet'!$B$12)/('Eigen informatie GS &amp; warmtenet'!$B$12+'Eigen informatie GS &amp; warmtenet'!$B$13)))</f>
        <v>0</v>
      </c>
      <c r="F17" s="954">
        <f>IF(ISERROR(('Eigen informatie GS &amp; warmtenet'!B19)*(('Eigen informatie GS &amp; warmtenet'!$B$12)/('Eigen informatie GS &amp; warmtenet'!$B$12+'Eigen informatie GS &amp; warmtenet'!$B$13))),0,('Eigen informatie GS &amp; warmtenet'!B19)*(('Eigen informatie GS &amp; warmtenet'!$B$12)/('Eigen informatie GS &amp; warmtenet'!$B$12+'Eigen informatie GS &amp; warmtenet'!$B$13)))</f>
        <v>0</v>
      </c>
      <c r="G17" s="473">
        <f>IF(ISERROR(('Eigen informatie GS &amp; warmtenet'!B20)*(('Eigen informatie GS &amp; warmtenet'!$B$12)/('Eigen informatie GS &amp; warmtenet'!$B$12+'Eigen informatie GS &amp; warmtenet'!$B$13))),0,('Eigen informatie GS &amp; warmtenet'!B20)*(('Eigen informatie GS &amp; warmtenet'!$B$12)/('Eigen informatie GS &amp; warmtenet'!$B$12+'Eigen informatie GS &amp; warmtenet'!$B$13)))</f>
        <v>0</v>
      </c>
      <c r="H17" s="471">
        <f>I44+IF(ISERROR(('Eigen informatie GS &amp; warmtenet'!B21)*(('Eigen informatie GS &amp; warmtenet'!$B$12)/('Eigen informatie GS &amp; warmtenet'!$B$12+'Eigen informatie GS &amp; warmtenet'!$B$13))),0,('Eigen informatie GS &amp; warmtenet'!B21)*(('Eigen informatie GS &amp; warmtenet'!$B$12)/('Eigen informatie GS &amp; warmtenet'!$B$12+'Eigen informatie GS &amp; warmtenet'!$B$13)))</f>
        <v>0</v>
      </c>
      <c r="I17" s="472">
        <f>G44+F44+IF(ISERROR(('Eigen informatie GS &amp; warmtenet'!B22)*(('Eigen informatie GS &amp; warmtenet'!$B$12)/('Eigen informatie GS &amp; warmtenet'!$B$12+'Eigen informatie GS &amp; warmtenet'!$B$13))),0,('Eigen informatie GS &amp; warmtenet'!B22)*(('Eigen informatie GS &amp; warmtenet'!$B$12)/('Eigen informatie GS &amp; warmtenet'!$B$12+'Eigen informatie GS &amp; warmtenet'!$B$13)))</f>
        <v>0</v>
      </c>
      <c r="J17" s="472">
        <f>H44+D44+IF(ISERROR(('Eigen informatie GS &amp; warmtenet'!B23)*(('Eigen informatie GS &amp; warmtenet'!$B$12)/('Eigen informatie GS &amp; warmtenet'!$B$12+'Eigen informatie GS &amp; warmtenet'!$B$13))),0,('Eigen informatie GS &amp; warmtenet'!B23)*(('Eigen informatie GS &amp; warmtenet'!$B$12)/('Eigen informatie GS &amp; warmtenet'!$B$12+'Eigen informatie GS &amp; warmtenet'!$B$13)))</f>
        <v>0</v>
      </c>
      <c r="K17" s="472">
        <f>+C44+IF(ISERROR(('Eigen informatie GS &amp; warmtenet'!B24)*(('Eigen informatie GS &amp; warmtenet'!$B$12)/('Eigen informatie GS &amp; warmtenet'!$B$12+'Eigen informatie GS &amp; warmtenet'!$B$13))),0,('Eigen informatie GS &amp; warmtenet'!B24)*(('Eigen informatie GS &amp; warmtenet'!$B$12)/('Eigen informatie GS &amp; warmtenet'!$B$12+'Eigen informatie GS &amp; warmtenet'!$B$13)))</f>
        <v>0</v>
      </c>
      <c r="L17" s="472">
        <f>IF(ISERROR(('Eigen informatie GS &amp; warmtenet'!B25)*(('Eigen informatie GS &amp; warmtenet'!$B$12)/('Eigen informatie GS &amp; warmtenet'!$B$12+'Eigen informatie GS &amp; warmtenet'!$B$13))),0,('Eigen informatie GS &amp; warmtenet'!B25)*(('Eigen informatie GS &amp; warmtenet'!$B$12)/('Eigen informatie GS &amp; warmtenet'!$B$12+'Eigen informatie GS &amp; warmtenet'!$B$13)))</f>
        <v>0</v>
      </c>
      <c r="M17" s="911">
        <f>IF(ISERROR(('Eigen informatie GS &amp; warmtenet'!B26)*(('Eigen informatie GS &amp; warmtenet'!$B$12)/('Eigen informatie GS &amp; warmtenet'!$B$12+'Eigen informatie GS &amp; warmtenet'!$B$13))),0,('Eigen informatie GS &amp; warmtenet'!B26)*(('Eigen informatie GS &amp; warmtenet'!$B$12)/('Eigen informatie GS &amp; warmtenet'!$B$12+'Eigen informatie GS &amp; warmtenet'!$B$13)))</f>
        <v>0</v>
      </c>
      <c r="N17" s="474">
        <f>C17*$C$22+E17*$E$22+H17*$H$22+D17*$D$22+F17*F22+G17*G22+M17*M22</f>
        <v>0</v>
      </c>
      <c r="O17" s="474">
        <v>0</v>
      </c>
      <c r="P17" s="860"/>
      <c r="S17" s="1232"/>
      <c r="T17" s="1232"/>
    </row>
    <row r="18" spans="1:27" s="433" customFormat="1">
      <c r="A18" s="476" t="s">
        <v>227</v>
      </c>
      <c r="B18" s="477">
        <f>'Eigen informatie GS &amp; warmtenet'!B34</f>
        <v>0</v>
      </c>
      <c r="C18" s="446">
        <f>'Eigen informatie GS &amp; warmtenet'!B37</f>
        <v>0</v>
      </c>
      <c r="D18" s="446">
        <f>'Eigen informatie GS &amp; warmtenet'!B38</f>
        <v>0</v>
      </c>
      <c r="E18" s="446">
        <f>'Eigen informatie GS &amp; warmtenet'!B39</f>
        <v>0</v>
      </c>
      <c r="F18" s="446">
        <f>'Eigen informatie GS &amp; warmtenet'!B40</f>
        <v>0</v>
      </c>
      <c r="G18" s="446">
        <f>'Eigen informatie GS &amp; warmtenet'!B41</f>
        <v>0</v>
      </c>
      <c r="H18" s="446">
        <f>'Eigen informatie GS &amp; warmtenet'!B42</f>
        <v>0</v>
      </c>
      <c r="I18" s="446">
        <f>'Eigen informatie GS &amp; warmtenet'!B43</f>
        <v>0</v>
      </c>
      <c r="J18" s="446">
        <f>'Eigen informatie GS &amp; warmtenet'!B44</f>
        <v>0</v>
      </c>
      <c r="K18" s="446">
        <f>'Eigen informatie GS &amp; warmtenet'!B45</f>
        <v>0</v>
      </c>
      <c r="L18" s="446">
        <f>'Eigen informatie GS &amp; warmtenet'!B46</f>
        <v>0</v>
      </c>
      <c r="M18" s="908">
        <f>'Eigen informatie GS &amp; warmtenet'!B47</f>
        <v>0</v>
      </c>
      <c r="N18" s="474">
        <f>C18*$C$22+E18*$E$22+H18*$H$22+D18*$D$22+F18*$F$22+G18*$G$22+M18*M22</f>
        <v>0</v>
      </c>
      <c r="O18" s="474">
        <v>0</v>
      </c>
      <c r="P18" s="858"/>
      <c r="S18" s="1221"/>
      <c r="T18" s="1221"/>
    </row>
    <row r="19" spans="1:27" s="433" customFormat="1" ht="15.75" thickBot="1">
      <c r="A19" s="449" t="s">
        <v>218</v>
      </c>
      <c r="B19" s="477" t="s">
        <v>667</v>
      </c>
      <c r="C19" s="478" t="s">
        <v>667</v>
      </c>
      <c r="D19" s="478" t="s">
        <v>667</v>
      </c>
      <c r="E19" s="478" t="s">
        <v>667</v>
      </c>
      <c r="F19" s="478" t="s">
        <v>667</v>
      </c>
      <c r="G19" s="478" t="s">
        <v>667</v>
      </c>
      <c r="H19" s="478" t="s">
        <v>667</v>
      </c>
      <c r="I19" s="478" t="s">
        <v>667</v>
      </c>
      <c r="J19" s="478" t="s">
        <v>667</v>
      </c>
      <c r="K19" s="478" t="s">
        <v>667</v>
      </c>
      <c r="L19" s="478" t="s">
        <v>667</v>
      </c>
      <c r="M19" s="908" t="s">
        <v>667</v>
      </c>
      <c r="N19" s="474" t="s">
        <v>667</v>
      </c>
      <c r="O19" s="474" t="s">
        <v>667</v>
      </c>
      <c r="P19" s="858"/>
      <c r="S19" s="1221"/>
      <c r="T19" s="1221"/>
    </row>
    <row r="20" spans="1:27" s="433" customFormat="1" ht="16.5" thickTop="1" thickBot="1">
      <c r="A20" s="454" t="s">
        <v>96</v>
      </c>
      <c r="B20" s="455">
        <f>SUM(B17:B19)</f>
        <v>0</v>
      </c>
      <c r="C20" s="455">
        <f>SUM(C17:C19)</f>
        <v>0</v>
      </c>
      <c r="D20" s="455">
        <f t="shared" ref="D20:K20" si="2">SUM(D17:D19)</f>
        <v>0</v>
      </c>
      <c r="E20" s="455">
        <f t="shared" si="2"/>
        <v>0</v>
      </c>
      <c r="F20" s="455">
        <f t="shared" si="2"/>
        <v>0</v>
      </c>
      <c r="G20" s="455">
        <f t="shared" si="2"/>
        <v>0</v>
      </c>
      <c r="H20" s="455">
        <f t="shared" si="2"/>
        <v>0</v>
      </c>
      <c r="I20" s="455">
        <f t="shared" si="2"/>
        <v>0</v>
      </c>
      <c r="J20" s="455">
        <f t="shared" si="2"/>
        <v>0</v>
      </c>
      <c r="K20" s="455">
        <f t="shared" si="2"/>
        <v>0</v>
      </c>
      <c r="L20" s="455"/>
      <c r="M20" s="455">
        <f>SUM(M17:M19)</f>
        <v>0</v>
      </c>
      <c r="N20" s="479">
        <f>SUM(N17:N19)</f>
        <v>0</v>
      </c>
      <c r="O20" s="479">
        <f>SUM(O17:O19)</f>
        <v>0</v>
      </c>
      <c r="P20" s="859"/>
      <c r="S20" s="1231"/>
      <c r="T20" s="1231"/>
    </row>
    <row r="21" spans="1:27" s="433" customFormat="1" ht="15.75" thickTop="1">
      <c r="A21" s="475"/>
      <c r="B21" s="441"/>
      <c r="C21" s="441"/>
      <c r="D21" s="441"/>
      <c r="E21" s="441"/>
      <c r="F21" s="441"/>
      <c r="G21" s="441"/>
      <c r="H21" s="441"/>
      <c r="I21" s="441"/>
      <c r="J21" s="441"/>
      <c r="K21" s="441"/>
      <c r="L21" s="858"/>
      <c r="M21" s="441"/>
      <c r="N21" s="858"/>
      <c r="O21" s="859"/>
      <c r="P21" s="859"/>
      <c r="S21" s="458"/>
      <c r="T21" s="458"/>
    </row>
    <row r="22" spans="1:27" s="461" customFormat="1">
      <c r="A22" s="462" t="s">
        <v>251</v>
      </c>
      <c r="B22" s="463"/>
      <c r="C22" s="463">
        <f>EF_CO2_aardgas</f>
        <v>0.20200000000000001</v>
      </c>
      <c r="D22" s="463">
        <f>EF_VLgas_CO2</f>
        <v>0.22700000000000001</v>
      </c>
      <c r="E22" s="463">
        <f>EF_stookolie_CO2</f>
        <v>0.26700000000000002</v>
      </c>
      <c r="F22" s="463">
        <f>EF_bruinkool_CO2</f>
        <v>0.35099999999999998</v>
      </c>
      <c r="G22" s="463">
        <f>EF_steenkool_CO2</f>
        <v>0.35399999999999998</v>
      </c>
      <c r="H22" s="463">
        <f>'EF brandstof'!N4</f>
        <v>0.33</v>
      </c>
      <c r="I22" s="463">
        <f>'EF brandstof'!L4</f>
        <v>0</v>
      </c>
      <c r="J22" s="463">
        <f>'EF brandstof'!M4</f>
        <v>0</v>
      </c>
      <c r="K22" s="463">
        <f>EF_biogas_CO2</f>
        <v>0</v>
      </c>
      <c r="L22" s="463">
        <f>'EF brandstof'!M4</f>
        <v>0</v>
      </c>
      <c r="M22" s="463">
        <f>EF_anderfossiel_CO2</f>
        <v>0.26400000000000001</v>
      </c>
      <c r="N22" s="464"/>
      <c r="O22" s="464"/>
      <c r="P22" s="464"/>
      <c r="S22" s="433"/>
    </row>
    <row r="23" spans="1:27" s="461" customFormat="1">
      <c r="A23" s="465"/>
      <c r="B23" s="464"/>
      <c r="C23" s="464"/>
      <c r="D23" s="464"/>
      <c r="E23" s="464"/>
      <c r="F23" s="464"/>
      <c r="G23" s="464"/>
      <c r="H23" s="464"/>
      <c r="I23" s="464"/>
      <c r="J23" s="464"/>
      <c r="K23" s="464"/>
      <c r="L23" s="464"/>
      <c r="M23" s="464"/>
      <c r="N23" s="464"/>
      <c r="O23" s="464"/>
      <c r="P23" s="464"/>
      <c r="Q23" s="464"/>
      <c r="R23" s="464"/>
      <c r="S23" s="433"/>
    </row>
    <row r="24" spans="1:27" s="461" customFormat="1">
      <c r="A24" s="465"/>
      <c r="B24" s="464"/>
      <c r="C24" s="464"/>
      <c r="D24" s="480"/>
      <c r="E24" s="480"/>
      <c r="F24" s="480"/>
      <c r="G24" s="464"/>
      <c r="H24" s="464"/>
      <c r="I24" s="464"/>
      <c r="J24" s="464"/>
      <c r="K24" s="464"/>
      <c r="L24" s="464"/>
      <c r="M24" s="464"/>
      <c r="N24" s="464"/>
      <c r="O24" s="464"/>
      <c r="P24" s="464"/>
      <c r="Q24" s="464"/>
      <c r="R24" s="464"/>
    </row>
    <row r="25" spans="1:27" s="461" customFormat="1">
      <c r="A25" s="465"/>
      <c r="B25" s="464"/>
      <c r="C25" s="464"/>
      <c r="D25" s="480"/>
      <c r="E25" s="480"/>
      <c r="F25" s="480"/>
      <c r="G25" s="464"/>
      <c r="H25" s="464"/>
      <c r="I25" s="464"/>
      <c r="J25" s="464"/>
      <c r="K25" s="464"/>
      <c r="L25" s="464"/>
      <c r="M25" s="464"/>
      <c r="N25" s="464"/>
      <c r="O25" s="464"/>
      <c r="P25" s="464"/>
      <c r="Q25" s="464"/>
      <c r="R25" s="464"/>
    </row>
    <row r="26" spans="1:27" s="433" customFormat="1" ht="15.75" thickBot="1">
      <c r="B26" s="480"/>
      <c r="C26" s="480"/>
      <c r="D26" s="480"/>
      <c r="E26" s="480"/>
      <c r="F26" s="480"/>
      <c r="G26" s="480"/>
      <c r="H26" s="480"/>
      <c r="I26" s="480"/>
      <c r="J26" s="480"/>
      <c r="K26" s="480"/>
      <c r="L26" s="480"/>
      <c r="M26" s="480"/>
      <c r="N26" s="480"/>
      <c r="O26" s="480"/>
      <c r="P26" s="480"/>
      <c r="Q26" s="481"/>
      <c r="R26" s="481"/>
    </row>
    <row r="27" spans="1:27" s="433" customFormat="1" ht="45">
      <c r="A27" s="482" t="s">
        <v>744</v>
      </c>
      <c r="B27" s="522" t="s">
        <v>76</v>
      </c>
      <c r="C27" s="522" t="s">
        <v>77</v>
      </c>
      <c r="D27" s="522"/>
      <c r="E27" s="522"/>
      <c r="F27" s="522"/>
      <c r="G27" s="522" t="s">
        <v>78</v>
      </c>
      <c r="H27" s="522" t="s">
        <v>79</v>
      </c>
      <c r="I27" s="522"/>
      <c r="J27" s="522"/>
      <c r="K27" s="522"/>
      <c r="L27" s="522" t="s">
        <v>80</v>
      </c>
      <c r="M27" s="523" t="s">
        <v>254</v>
      </c>
      <c r="N27" s="523" t="s">
        <v>81</v>
      </c>
      <c r="O27" s="523" t="s">
        <v>82</v>
      </c>
      <c r="P27" s="523" t="s">
        <v>435</v>
      </c>
      <c r="Q27" s="523" t="s">
        <v>83</v>
      </c>
      <c r="R27" s="523" t="s">
        <v>84</v>
      </c>
      <c r="S27" s="523" t="s">
        <v>85</v>
      </c>
      <c r="T27" s="523" t="s">
        <v>86</v>
      </c>
      <c r="U27" s="523" t="s">
        <v>87</v>
      </c>
      <c r="V27" s="523" t="s">
        <v>88</v>
      </c>
      <c r="W27" s="522" t="s">
        <v>89</v>
      </c>
      <c r="X27" s="522" t="s">
        <v>618</v>
      </c>
      <c r="Y27" s="522" t="s">
        <v>255</v>
      </c>
      <c r="Z27" s="522" t="s">
        <v>90</v>
      </c>
      <c r="AA27" s="524" t="s">
        <v>256</v>
      </c>
    </row>
    <row r="28" spans="1:27" s="484" customFormat="1" ht="12.75">
      <c r="A28" s="483"/>
      <c r="B28" s="619"/>
      <c r="C28" s="619"/>
      <c r="D28" s="526"/>
      <c r="E28" s="525"/>
      <c r="F28" s="525"/>
      <c r="G28" s="525"/>
      <c r="H28" s="525"/>
      <c r="I28" s="525"/>
      <c r="J28" s="618"/>
      <c r="K28" s="618"/>
      <c r="L28" s="525"/>
      <c r="M28" s="525"/>
      <c r="N28" s="525"/>
      <c r="O28" s="525"/>
      <c r="P28" s="525"/>
      <c r="Q28" s="525"/>
      <c r="R28" s="525"/>
      <c r="S28" s="525"/>
      <c r="T28" s="525"/>
      <c r="U28" s="525"/>
      <c r="V28" s="525"/>
      <c r="W28" s="525"/>
      <c r="X28" s="525"/>
      <c r="Y28" s="525"/>
      <c r="Z28" s="525"/>
      <c r="AA28" s="527"/>
    </row>
    <row r="29" spans="1:27" s="465" customFormat="1">
      <c r="A29" s="485" t="s">
        <v>243</v>
      </c>
      <c r="B29" s="486"/>
      <c r="C29" s="486"/>
      <c r="D29" s="486"/>
      <c r="E29" s="486"/>
      <c r="F29" s="486"/>
      <c r="G29" s="486"/>
      <c r="H29" s="486"/>
      <c r="I29" s="486"/>
      <c r="J29" s="486"/>
      <c r="K29" s="486"/>
      <c r="L29" s="487"/>
      <c r="M29" s="487">
        <f>SUM(M28:M28)</f>
        <v>0</v>
      </c>
      <c r="N29" s="487">
        <f>SUM(N28:N28)</f>
        <v>0</v>
      </c>
      <c r="O29" s="487">
        <f>SUM(O28:O28)</f>
        <v>0</v>
      </c>
      <c r="P29" s="487">
        <f>SUM(P28:P28)</f>
        <v>0</v>
      </c>
      <c r="Q29" s="487">
        <f>SUM(Q28:Q28)</f>
        <v>0</v>
      </c>
      <c r="R29" s="487">
        <f>SUM(R28:R28)</f>
        <v>0</v>
      </c>
      <c r="S29" s="487">
        <f>SUM(S28:S28)</f>
        <v>0</v>
      </c>
      <c r="T29" s="487">
        <f>SUM(T28:T28)</f>
        <v>0</v>
      </c>
      <c r="U29" s="487">
        <f>SUM(U28:U28)</f>
        <v>0</v>
      </c>
      <c r="V29" s="487">
        <f>SUM(V28:V28)</f>
        <v>0</v>
      </c>
      <c r="W29" s="487">
        <f>SUM(W28:W28)</f>
        <v>0</v>
      </c>
      <c r="X29" s="487">
        <f>SUM(X28:X28)</f>
        <v>0</v>
      </c>
      <c r="Y29" s="488"/>
      <c r="Z29" s="488"/>
      <c r="AA29" s="489"/>
    </row>
    <row r="30" spans="1:27" s="465" customFormat="1">
      <c r="A30" s="485" t="s">
        <v>634</v>
      </c>
      <c r="B30" s="486"/>
      <c r="C30" s="486"/>
      <c r="D30" s="486"/>
      <c r="E30" s="486"/>
      <c r="F30" s="486"/>
      <c r="G30" s="486"/>
      <c r="H30" s="486"/>
      <c r="I30" s="486"/>
      <c r="J30" s="486"/>
      <c r="K30" s="486"/>
      <c r="L30" s="487"/>
      <c r="M30" s="487">
        <f>SUMIF($AA$28:$AA$28,"huishoudens",M28:M28)</f>
        <v>0</v>
      </c>
      <c r="N30" s="487">
        <f>SUMIF($AA$28:$AA$28,"huishoudens",N28:N28)</f>
        <v>0</v>
      </c>
      <c r="O30" s="487">
        <f>SUMIF($AA$28:$AA$28,"huishoudens",O28:O28)</f>
        <v>0</v>
      </c>
      <c r="P30" s="487">
        <f>SUMIF($AA$28:$AA$28,"huishoudens",P28:P28)</f>
        <v>0</v>
      </c>
      <c r="Q30" s="487">
        <f>SUMIF($AA$28:$AA$28,"huishoudens",Q28:Q28)</f>
        <v>0</v>
      </c>
      <c r="R30" s="487">
        <f>SUMIF($AA$28:$AA$28,"huishoudens",R28:R28)</f>
        <v>0</v>
      </c>
      <c r="S30" s="487">
        <f>SUMIF($AA$28:$AA$28,"huishoudens",S28:S28)</f>
        <v>0</v>
      </c>
      <c r="T30" s="487">
        <f>SUMIF($AA$28:$AA$28,"huishoudens",T28:T28)</f>
        <v>0</v>
      </c>
      <c r="U30" s="487">
        <f>SUMIF($AA$28:$AA$28,"huishoudens",U28:U28)</f>
        <v>0</v>
      </c>
      <c r="V30" s="487">
        <f>SUMIF($AA$28:$AA$28,"huishoudens",V28:V28)</f>
        <v>0</v>
      </c>
      <c r="W30" s="487">
        <f>SUMIF($AA$28:$AA$28,"huishoudens",W28:W28)</f>
        <v>0</v>
      </c>
      <c r="X30" s="487">
        <f>SUMIF($AA$28:$AA$28,"huishoudens",X28:X28)</f>
        <v>0</v>
      </c>
      <c r="Y30" s="488"/>
      <c r="Z30" s="488"/>
      <c r="AA30" s="489"/>
    </row>
    <row r="31" spans="1:27" s="465" customFormat="1">
      <c r="A31" s="485" t="s">
        <v>248</v>
      </c>
      <c r="B31" s="486"/>
      <c r="C31" s="486"/>
      <c r="D31" s="486"/>
      <c r="E31" s="486"/>
      <c r="F31" s="486"/>
      <c r="G31" s="486"/>
      <c r="H31" s="486"/>
      <c r="I31" s="486"/>
      <c r="J31" s="486"/>
      <c r="K31" s="486"/>
      <c r="L31" s="487"/>
      <c r="M31" s="487">
        <f>SUMIF($AA$28:$AA$28,"industrie",M28:M28)</f>
        <v>0</v>
      </c>
      <c r="N31" s="487">
        <f>SUMIF($AA$28:$AA$28,"industrie",N28:N28)</f>
        <v>0</v>
      </c>
      <c r="O31" s="487">
        <f>SUMIF($AA$28:$AA$28,"industrie",O28:O28)</f>
        <v>0</v>
      </c>
      <c r="P31" s="487">
        <f>SUMIF($AA$28:$AA$28,"industrie",P28:P28)</f>
        <v>0</v>
      </c>
      <c r="Q31" s="487">
        <f>SUMIF($AA$28:$AA$28,"industrie",Q28:Q28)</f>
        <v>0</v>
      </c>
      <c r="R31" s="487">
        <f>SUMIF($AA$28:$AA$28,"industrie",R28:R28)</f>
        <v>0</v>
      </c>
      <c r="S31" s="487">
        <f>SUMIF($AA$28:$AA$28,"industrie",S28:S28)</f>
        <v>0</v>
      </c>
      <c r="T31" s="487">
        <f>SUMIF($AA$28:$AA$28,"industrie",T28:T28)</f>
        <v>0</v>
      </c>
      <c r="U31" s="487">
        <f>SUMIF($AA$28:$AA$28,"industrie",U28:U28)</f>
        <v>0</v>
      </c>
      <c r="V31" s="487">
        <f>SUMIF($AA$28:$AA$28,"industrie",V28:V28)</f>
        <v>0</v>
      </c>
      <c r="W31" s="487">
        <f>SUMIF($AA$28:$AA$28,"industrie",W28:W28)</f>
        <v>0</v>
      </c>
      <c r="X31" s="487">
        <f>SUMIF($AA$28:$AA$28,"industrie",X28:X28)</f>
        <v>0</v>
      </c>
      <c r="Y31" s="488"/>
      <c r="Z31" s="488"/>
      <c r="AA31" s="489"/>
    </row>
    <row r="32" spans="1:27" s="465" customFormat="1">
      <c r="A32" s="485" t="s">
        <v>249</v>
      </c>
      <c r="B32" s="486"/>
      <c r="C32" s="486"/>
      <c r="D32" s="486"/>
      <c r="E32" s="486"/>
      <c r="F32" s="486"/>
      <c r="G32" s="486"/>
      <c r="H32" s="486"/>
      <c r="I32" s="486"/>
      <c r="J32" s="486"/>
      <c r="K32" s="486"/>
      <c r="L32" s="487"/>
      <c r="M32" s="487">
        <f>SUMIF($AA$28:$AA$28,"tertiair",M28:M28)</f>
        <v>0</v>
      </c>
      <c r="N32" s="487">
        <f>SUMIF($AA$28:$AA$28,"tertiair",N28:N28)</f>
        <v>0</v>
      </c>
      <c r="O32" s="487">
        <f>SUMIF($AA$28:$AA$28,"tertiair",O28:O28)</f>
        <v>0</v>
      </c>
      <c r="P32" s="487">
        <f>SUMIF($AA$28:$AA$28,"tertiair",P28:P28)</f>
        <v>0</v>
      </c>
      <c r="Q32" s="487">
        <f>SUMIF($AA$28:$AA$28,"tertiair",Q28:Q28)</f>
        <v>0</v>
      </c>
      <c r="R32" s="487">
        <f>SUMIF($AA$28:$AA$28,"tertiair",R28:R28)</f>
        <v>0</v>
      </c>
      <c r="S32" s="487">
        <f>SUMIF($AA$28:$AA$28,"tertiair",S28:S28)</f>
        <v>0</v>
      </c>
      <c r="T32" s="487">
        <f>SUMIF($AA$28:$AA$28,"tertiair",T28:T28)</f>
        <v>0</v>
      </c>
      <c r="U32" s="487">
        <f>SUMIF($AA$28:$AA$28,"tertiair",U28:U28)</f>
        <v>0</v>
      </c>
      <c r="V32" s="487">
        <f>SUMIF($AA$28:$AA$28,"tertiair",V28:V28)</f>
        <v>0</v>
      </c>
      <c r="W32" s="487">
        <f>SUMIF($AA$28:$AA$28,"tertiair",W28:W28)</f>
        <v>0</v>
      </c>
      <c r="X32" s="487">
        <f>SUMIF($AA$28:$AA$28,"tertiair",X28:X28)</f>
        <v>0</v>
      </c>
      <c r="Y32" s="488"/>
      <c r="Z32" s="488"/>
      <c r="AA32" s="489"/>
    </row>
    <row r="33" spans="1:28" s="465" customFormat="1" ht="15.75" thickBot="1">
      <c r="A33" s="490" t="s">
        <v>250</v>
      </c>
      <c r="B33" s="491"/>
      <c r="C33" s="491"/>
      <c r="D33" s="491"/>
      <c r="E33" s="491"/>
      <c r="F33" s="491"/>
      <c r="G33" s="491"/>
      <c r="H33" s="491"/>
      <c r="I33" s="491"/>
      <c r="J33" s="491"/>
      <c r="K33" s="491"/>
      <c r="L33" s="492"/>
      <c r="M33" s="492">
        <f>SUMIF($AA$28:$AA$28,"landbouw",M28:M28)</f>
        <v>0</v>
      </c>
      <c r="N33" s="492">
        <f>SUMIF($AA$28:$AA$28,"landbouw",N28:N28)</f>
        <v>0</v>
      </c>
      <c r="O33" s="492">
        <f>SUMIF($AA$28:$AA$28,"landbouw",O28:O28)</f>
        <v>0</v>
      </c>
      <c r="P33" s="492">
        <f>SUMIF($AA$28:$AA$28,"landbouw",P28:P28)</f>
        <v>0</v>
      </c>
      <c r="Q33" s="492">
        <f>SUMIF($AA$28:$AA$28,"landbouw",Q28:Q28)</f>
        <v>0</v>
      </c>
      <c r="R33" s="492">
        <f>SUMIF($AA$28:$AA$28,"landbouw",R28:R28)</f>
        <v>0</v>
      </c>
      <c r="S33" s="492">
        <f>SUMIF($AA$28:$AA$28,"landbouw",S28:S28)</f>
        <v>0</v>
      </c>
      <c r="T33" s="492">
        <f>SUMIF($AA$28:$AA$28,"landbouw",T28:T28)</f>
        <v>0</v>
      </c>
      <c r="U33" s="492">
        <f>SUMIF($AA$28:$AA$28,"landbouw",U28:U28)</f>
        <v>0</v>
      </c>
      <c r="V33" s="492">
        <f>SUMIF($AA$28:$AA$28,"landbouw",V28:V28)</f>
        <v>0</v>
      </c>
      <c r="W33" s="492">
        <f>SUMIF($AA$28:$AA$28,"landbouw",W28:W28)</f>
        <v>0</v>
      </c>
      <c r="X33" s="492">
        <f>SUMIF($AA$28:$AA$28,"landbouw",X28:X28)</f>
        <v>0</v>
      </c>
      <c r="Y33" s="493"/>
      <c r="Z33" s="493"/>
      <c r="AA33" s="494"/>
    </row>
    <row r="34" spans="1:28" s="433" customFormat="1">
      <c r="A34" s="495"/>
      <c r="B34" s="496"/>
      <c r="C34" s="496"/>
      <c r="D34" s="496"/>
      <c r="E34" s="496"/>
      <c r="F34" s="496"/>
      <c r="G34" s="496"/>
      <c r="H34" s="496"/>
      <c r="I34" s="496"/>
      <c r="J34" s="496"/>
      <c r="K34" s="496"/>
      <c r="L34" s="480"/>
      <c r="M34" s="480"/>
      <c r="N34" s="480"/>
      <c r="O34" s="481"/>
      <c r="P34" s="481"/>
    </row>
    <row r="35" spans="1:28" s="497" customFormat="1">
      <c r="A35" s="495"/>
      <c r="B35" s="480"/>
      <c r="C35" s="480"/>
      <c r="D35" s="480"/>
      <c r="E35" s="480"/>
      <c r="F35" s="480"/>
      <c r="G35" s="480"/>
      <c r="H35" s="480"/>
      <c r="I35" s="480"/>
      <c r="J35" s="480"/>
      <c r="K35" s="480"/>
      <c r="L35" s="480"/>
      <c r="M35" s="480"/>
      <c r="N35" s="480"/>
      <c r="O35" s="480"/>
      <c r="P35" s="480"/>
      <c r="Q35" s="480"/>
      <c r="R35" s="480"/>
      <c r="S35" s="480"/>
      <c r="T35" s="480"/>
      <c r="U35" s="480"/>
      <c r="V35" s="480"/>
      <c r="W35" s="480"/>
      <c r="X35" s="480"/>
      <c r="Y35" s="480"/>
      <c r="Z35" s="480"/>
    </row>
    <row r="36" spans="1:28" s="497" customFormat="1" ht="15.75" thickBot="1">
      <c r="A36" s="495"/>
      <c r="B36" s="480"/>
      <c r="C36" s="480"/>
      <c r="D36" s="480"/>
      <c r="E36" s="480"/>
      <c r="F36" s="480"/>
      <c r="G36" s="480"/>
      <c r="H36" s="480"/>
      <c r="I36" s="480"/>
      <c r="J36" s="480"/>
      <c r="K36" s="480"/>
      <c r="L36" s="480"/>
      <c r="M36" s="480"/>
      <c r="N36" s="480"/>
      <c r="O36" s="480"/>
      <c r="P36" s="480"/>
      <c r="Q36" s="480"/>
      <c r="R36" s="480"/>
      <c r="S36" s="480"/>
      <c r="T36" s="480"/>
      <c r="U36" s="480"/>
      <c r="V36" s="480"/>
      <c r="W36" s="480"/>
      <c r="X36" s="480"/>
      <c r="Y36" s="480"/>
      <c r="Z36" s="480"/>
      <c r="AA36" s="480"/>
      <c r="AB36" s="480"/>
    </row>
    <row r="37" spans="1:28">
      <c r="A37" s="498" t="s">
        <v>693</v>
      </c>
      <c r="B37" s="499"/>
      <c r="C37" s="499"/>
      <c r="D37" s="499"/>
      <c r="E37" s="499"/>
      <c r="F37" s="499"/>
      <c r="G37" s="499"/>
      <c r="H37" s="499"/>
      <c r="I37" s="499"/>
      <c r="J37" s="500"/>
      <c r="K37" s="501"/>
      <c r="L37" s="502"/>
      <c r="M37" s="502"/>
      <c r="N37" s="502"/>
      <c r="O37" s="502"/>
      <c r="P37" s="502"/>
    </row>
    <row r="38" spans="1:28">
      <c r="A38" s="504"/>
      <c r="B38" s="496"/>
      <c r="C38" s="496"/>
      <c r="D38" s="496"/>
      <c r="E38" s="496"/>
      <c r="F38" s="496"/>
      <c r="G38" s="496"/>
      <c r="H38" s="496"/>
      <c r="I38" s="496"/>
      <c r="J38" s="505"/>
      <c r="K38" s="496"/>
      <c r="L38" s="502"/>
      <c r="M38" s="502"/>
      <c r="N38" s="502"/>
      <c r="O38" s="502"/>
      <c r="P38" s="502"/>
    </row>
    <row r="39" spans="1:28">
      <c r="A39" s="506"/>
      <c r="B39" s="507" t="s">
        <v>244</v>
      </c>
      <c r="C39" s="507" t="s">
        <v>245</v>
      </c>
      <c r="D39" s="507"/>
      <c r="E39" s="507"/>
      <c r="F39" s="507"/>
      <c r="G39" s="507"/>
      <c r="H39" s="507"/>
      <c r="I39" s="507"/>
      <c r="J39" s="508"/>
      <c r="K39" s="507"/>
      <c r="L39" s="507"/>
      <c r="M39" s="507"/>
      <c r="N39" s="507"/>
      <c r="O39" s="507"/>
      <c r="P39" s="502"/>
    </row>
    <row r="40" spans="1:28">
      <c r="A40" s="504" t="s">
        <v>243</v>
      </c>
      <c r="B40" s="509">
        <f>IF(ISERROR(O29/(O29+N29)),0,O29/(O29+N29))</f>
        <v>0</v>
      </c>
      <c r="C40" s="510">
        <f>IF(ISERROR(N29/(O29+N29)),0,N29/(N29+O29))</f>
        <v>0</v>
      </c>
      <c r="D40" s="480"/>
      <c r="E40" s="480"/>
      <c r="F40" s="480"/>
      <c r="G40" s="480"/>
      <c r="H40" s="480"/>
      <c r="I40" s="480"/>
      <c r="J40" s="511"/>
      <c r="K40" s="480"/>
      <c r="L40" s="512"/>
      <c r="M40" s="512"/>
      <c r="N40" s="512"/>
      <c r="O40" s="512"/>
      <c r="P40" s="502"/>
    </row>
    <row r="41" spans="1:28">
      <c r="A41" s="504"/>
      <c r="B41" s="513"/>
      <c r="C41" s="513"/>
      <c r="D41" s="513"/>
      <c r="E41" s="513"/>
      <c r="F41" s="513"/>
      <c r="G41" s="513"/>
      <c r="H41" s="513"/>
      <c r="I41" s="513"/>
      <c r="J41" s="514"/>
      <c r="K41" s="513"/>
      <c r="L41" s="515"/>
      <c r="M41" s="515"/>
      <c r="N41" s="515"/>
      <c r="O41" s="515"/>
      <c r="P41" s="502"/>
    </row>
    <row r="42" spans="1:28" ht="30">
      <c r="A42" s="516"/>
      <c r="B42" s="517" t="s">
        <v>435</v>
      </c>
      <c r="C42" s="517" t="s">
        <v>83</v>
      </c>
      <c r="D42" s="517" t="s">
        <v>84</v>
      </c>
      <c r="E42" s="517" t="s">
        <v>85</v>
      </c>
      <c r="F42" s="517" t="s">
        <v>86</v>
      </c>
      <c r="G42" s="517" t="s">
        <v>87</v>
      </c>
      <c r="H42" s="517" t="s">
        <v>88</v>
      </c>
      <c r="I42" s="517" t="s">
        <v>89</v>
      </c>
      <c r="J42" s="518" t="s">
        <v>618</v>
      </c>
      <c r="K42" s="507"/>
      <c r="L42" s="515"/>
      <c r="M42" s="515"/>
      <c r="N42" s="515"/>
      <c r="O42" s="502"/>
      <c r="P42" s="502"/>
    </row>
    <row r="43" spans="1:28">
      <c r="A43" s="506" t="s">
        <v>246</v>
      </c>
      <c r="B43" s="519">
        <f t="shared" ref="B43:J43" si="3">$C$40*P29</f>
        <v>0</v>
      </c>
      <c r="C43" s="519">
        <f t="shared" si="3"/>
        <v>0</v>
      </c>
      <c r="D43" s="519">
        <f t="shared" si="3"/>
        <v>0</v>
      </c>
      <c r="E43" s="519">
        <f t="shared" si="3"/>
        <v>0</v>
      </c>
      <c r="F43" s="519">
        <f t="shared" si="3"/>
        <v>0</v>
      </c>
      <c r="G43" s="519">
        <f t="shared" si="3"/>
        <v>0</v>
      </c>
      <c r="H43" s="519">
        <f t="shared" si="3"/>
        <v>0</v>
      </c>
      <c r="I43" s="519">
        <f t="shared" si="3"/>
        <v>0</v>
      </c>
      <c r="J43" s="519">
        <f t="shared" si="3"/>
        <v>0</v>
      </c>
      <c r="K43" s="480"/>
      <c r="L43" s="515"/>
      <c r="M43" s="515"/>
      <c r="N43" s="515"/>
      <c r="O43" s="502"/>
      <c r="P43" s="502"/>
    </row>
    <row r="44" spans="1:28" ht="15.75" thickBot="1">
      <c r="A44" s="520" t="s">
        <v>247</v>
      </c>
      <c r="B44" s="521">
        <f t="shared" ref="B44:J44" si="4">$B$40*P29</f>
        <v>0</v>
      </c>
      <c r="C44" s="521">
        <f t="shared" si="4"/>
        <v>0</v>
      </c>
      <c r="D44" s="521">
        <f t="shared" si="4"/>
        <v>0</v>
      </c>
      <c r="E44" s="521">
        <f t="shared" si="4"/>
        <v>0</v>
      </c>
      <c r="F44" s="521">
        <f t="shared" si="4"/>
        <v>0</v>
      </c>
      <c r="G44" s="521">
        <f t="shared" si="4"/>
        <v>0</v>
      </c>
      <c r="H44" s="521">
        <f t="shared" si="4"/>
        <v>0</v>
      </c>
      <c r="I44" s="521">
        <f t="shared" si="4"/>
        <v>0</v>
      </c>
      <c r="J44" s="521">
        <f t="shared" si="4"/>
        <v>0</v>
      </c>
      <c r="K44" s="480"/>
      <c r="L44" s="515"/>
      <c r="M44" s="515"/>
      <c r="N44" s="515"/>
      <c r="O44" s="502"/>
      <c r="P44" s="502"/>
    </row>
    <row r="45" spans="1:28">
      <c r="J45" s="461"/>
      <c r="K45" s="461"/>
      <c r="L45" s="461"/>
      <c r="M45" s="461"/>
      <c r="N45" s="461"/>
    </row>
  </sheetData>
  <mergeCells count="46">
    <mergeCell ref="T1:U3"/>
    <mergeCell ref="T5:U5"/>
    <mergeCell ref="T6:U6"/>
    <mergeCell ref="S20:T20"/>
    <mergeCell ref="S17:T17"/>
    <mergeCell ref="S18:T18"/>
    <mergeCell ref="S19:T19"/>
    <mergeCell ref="S1:S3"/>
    <mergeCell ref="T8:U8"/>
    <mergeCell ref="T9:U9"/>
    <mergeCell ref="S14:T16"/>
    <mergeCell ref="N14:O14"/>
    <mergeCell ref="T4:U4"/>
    <mergeCell ref="A14:A16"/>
    <mergeCell ref="B14:B16"/>
    <mergeCell ref="C15:G15"/>
    <mergeCell ref="H15:H16"/>
    <mergeCell ref="I15:I16"/>
    <mergeCell ref="C14:M14"/>
    <mergeCell ref="J15:J16"/>
    <mergeCell ref="K15:K16"/>
    <mergeCell ref="M15:M16"/>
    <mergeCell ref="L15:L16"/>
    <mergeCell ref="A1:A3"/>
    <mergeCell ref="B1:B3"/>
    <mergeCell ref="C2:G2"/>
    <mergeCell ref="H2:H3"/>
    <mergeCell ref="I2:I3"/>
    <mergeCell ref="C1:M1"/>
    <mergeCell ref="M2:M3"/>
    <mergeCell ref="J2:J3"/>
    <mergeCell ref="K2:K3"/>
    <mergeCell ref="L2:L3"/>
    <mergeCell ref="N1:O1"/>
    <mergeCell ref="N4:N7"/>
    <mergeCell ref="H4:H7"/>
    <mergeCell ref="C4:C7"/>
    <mergeCell ref="D4:D7"/>
    <mergeCell ref="E4:E7"/>
    <mergeCell ref="F4:F7"/>
    <mergeCell ref="G4:G7"/>
    <mergeCell ref="I4:I7"/>
    <mergeCell ref="J4:J7"/>
    <mergeCell ref="K4:K7"/>
    <mergeCell ref="M4:M7"/>
    <mergeCell ref="L4:L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19"/>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66" bestFit="1" customWidth="1"/>
    <col min="6" max="6" width="57.7109375" bestFit="1" customWidth="1"/>
    <col min="7" max="7" width="12.5703125" bestFit="1" customWidth="1"/>
    <col min="8" max="8" width="40" bestFit="1" customWidth="1"/>
  </cols>
  <sheetData>
    <row r="1" spans="1:8" s="8" customFormat="1">
      <c r="A1" s="299" t="s">
        <v>343</v>
      </c>
      <c r="B1" s="299" t="s">
        <v>350</v>
      </c>
      <c r="C1" s="299" t="s">
        <v>349</v>
      </c>
      <c r="D1" s="299" t="s">
        <v>348</v>
      </c>
      <c r="E1" s="300" t="s">
        <v>344</v>
      </c>
      <c r="F1" s="301" t="s">
        <v>345</v>
      </c>
      <c r="G1" s="301" t="s">
        <v>346</v>
      </c>
      <c r="H1" s="301" t="s">
        <v>347</v>
      </c>
    </row>
    <row r="2" spans="1:8" s="10" customFormat="1">
      <c r="A2" s="296" t="s">
        <v>340</v>
      </c>
      <c r="B2" s="625">
        <v>2024</v>
      </c>
      <c r="C2" s="296" t="s">
        <v>340</v>
      </c>
      <c r="D2" s="296" t="s">
        <v>774</v>
      </c>
      <c r="E2" s="1012"/>
      <c r="F2" s="711" t="s">
        <v>523</v>
      </c>
      <c r="G2" s="711" t="s">
        <v>524</v>
      </c>
      <c r="H2" s="711" t="s">
        <v>628</v>
      </c>
    </row>
    <row r="3" spans="1:8" s="11" customFormat="1">
      <c r="A3" s="296" t="s">
        <v>576</v>
      </c>
      <c r="B3" s="865" t="s">
        <v>719</v>
      </c>
      <c r="C3" s="296" t="s">
        <v>576</v>
      </c>
      <c r="D3" s="296" t="s">
        <v>733</v>
      </c>
      <c r="E3" s="1012" t="s">
        <v>615</v>
      </c>
      <c r="F3" s="711"/>
      <c r="G3" s="711"/>
      <c r="H3" s="1013"/>
    </row>
    <row r="4" spans="1:8">
      <c r="A4" s="296" t="s">
        <v>355</v>
      </c>
      <c r="B4" s="625">
        <v>2014</v>
      </c>
      <c r="C4" s="296" t="s">
        <v>356</v>
      </c>
      <c r="D4" s="296" t="s">
        <v>763</v>
      </c>
      <c r="E4" s="1012" t="s">
        <v>762</v>
      </c>
      <c r="F4" s="294"/>
      <c r="G4" s="294"/>
      <c r="H4" s="295"/>
    </row>
    <row r="5" spans="1:8" s="705" customFormat="1">
      <c r="A5" s="296" t="s">
        <v>530</v>
      </c>
      <c r="B5" s="625">
        <v>2017</v>
      </c>
      <c r="C5" s="296" t="s">
        <v>532</v>
      </c>
      <c r="D5" s="296" t="s">
        <v>531</v>
      </c>
      <c r="E5" s="297" t="s">
        <v>529</v>
      </c>
      <c r="F5" s="294"/>
      <c r="G5" s="294"/>
      <c r="H5" s="295"/>
    </row>
    <row r="6" spans="1:8" s="11" customFormat="1">
      <c r="A6" s="296" t="s">
        <v>488</v>
      </c>
      <c r="B6" s="625" t="s">
        <v>708</v>
      </c>
      <c r="C6" s="296" t="s">
        <v>489</v>
      </c>
      <c r="D6" s="296" t="s">
        <v>490</v>
      </c>
      <c r="E6" s="297" t="s">
        <v>614</v>
      </c>
      <c r="F6" s="711" t="s">
        <v>577</v>
      </c>
      <c r="G6" s="711"/>
      <c r="H6" s="811" t="s">
        <v>578</v>
      </c>
    </row>
    <row r="7" spans="1:8" s="10" customFormat="1">
      <c r="A7" s="296" t="s">
        <v>616</v>
      </c>
      <c r="B7" s="298" t="s">
        <v>738</v>
      </c>
      <c r="C7" s="296" t="s">
        <v>616</v>
      </c>
      <c r="D7" s="296" t="s">
        <v>617</v>
      </c>
      <c r="E7" s="297" t="s">
        <v>758</v>
      </c>
      <c r="F7" s="834"/>
      <c r="G7" s="834"/>
      <c r="H7" s="834"/>
    </row>
    <row r="8" spans="1:8" s="11" customFormat="1">
      <c r="A8" s="296" t="s">
        <v>602</v>
      </c>
      <c r="B8" s="865" t="s">
        <v>719</v>
      </c>
      <c r="C8" s="296" t="s">
        <v>602</v>
      </c>
      <c r="D8" s="866" t="s">
        <v>586</v>
      </c>
      <c r="E8" s="863"/>
      <c r="F8" s="711" t="s">
        <v>740</v>
      </c>
      <c r="G8" s="711" t="s">
        <v>741</v>
      </c>
      <c r="H8" s="711" t="s">
        <v>742</v>
      </c>
    </row>
    <row r="9" spans="1:8" s="708" customFormat="1">
      <c r="A9" s="825" t="s">
        <v>603</v>
      </c>
      <c r="B9" s="828" t="s">
        <v>716</v>
      </c>
      <c r="C9" s="825" t="s">
        <v>602</v>
      </c>
      <c r="D9" s="825" t="s">
        <v>717</v>
      </c>
      <c r="E9" s="830" t="s">
        <v>632</v>
      </c>
      <c r="F9" s="827" t="s">
        <v>740</v>
      </c>
      <c r="G9" s="827" t="s">
        <v>741</v>
      </c>
      <c r="H9" s="829" t="s">
        <v>742</v>
      </c>
    </row>
    <row r="10" spans="1:8" s="708" customFormat="1">
      <c r="A10" s="825" t="s">
        <v>173</v>
      </c>
      <c r="B10" s="831" t="s">
        <v>706</v>
      </c>
      <c r="C10" s="825" t="s">
        <v>351</v>
      </c>
      <c r="D10" s="825" t="s">
        <v>707</v>
      </c>
      <c r="E10" s="826"/>
      <c r="F10" s="827" t="s">
        <v>352</v>
      </c>
      <c r="G10" s="827" t="s">
        <v>353</v>
      </c>
      <c r="H10" s="829" t="s">
        <v>354</v>
      </c>
    </row>
    <row r="11" spans="1:8" s="10" customFormat="1">
      <c r="A11" s="1026" t="s">
        <v>754</v>
      </c>
      <c r="B11" s="1027" t="s">
        <v>756</v>
      </c>
      <c r="C11" s="1026" t="s">
        <v>173</v>
      </c>
      <c r="D11" s="1026" t="s">
        <v>757</v>
      </c>
      <c r="E11" s="863"/>
      <c r="F11" s="711" t="s">
        <v>526</v>
      </c>
      <c r="G11" s="711" t="s">
        <v>525</v>
      </c>
      <c r="H11" s="711" t="s">
        <v>527</v>
      </c>
    </row>
    <row r="12" spans="1:8" s="11" customFormat="1">
      <c r="A12" s="296" t="s">
        <v>602</v>
      </c>
      <c r="B12" s="625" t="s">
        <v>706</v>
      </c>
      <c r="C12" s="296" t="s">
        <v>602</v>
      </c>
      <c r="D12" s="296" t="s">
        <v>585</v>
      </c>
      <c r="E12" s="863"/>
      <c r="F12" s="711" t="s">
        <v>740</v>
      </c>
      <c r="G12" s="711" t="s">
        <v>741</v>
      </c>
      <c r="H12" s="711" t="s">
        <v>742</v>
      </c>
    </row>
    <row r="13" spans="1:8" s="11" customFormat="1">
      <c r="A13" s="296" t="s">
        <v>602</v>
      </c>
      <c r="B13" s="864" t="s">
        <v>706</v>
      </c>
      <c r="C13" s="296" t="s">
        <v>602</v>
      </c>
      <c r="D13" s="296" t="s">
        <v>718</v>
      </c>
      <c r="E13" s="863"/>
      <c r="F13" s="711" t="s">
        <v>740</v>
      </c>
      <c r="G13" s="711" t="s">
        <v>741</v>
      </c>
      <c r="H13" s="711" t="s">
        <v>742</v>
      </c>
    </row>
    <row r="14" spans="1:8" s="11" customFormat="1">
      <c r="A14" s="296" t="s">
        <v>602</v>
      </c>
      <c r="B14" s="864" t="s">
        <v>738</v>
      </c>
      <c r="C14" s="296" t="s">
        <v>602</v>
      </c>
      <c r="D14" s="296" t="s">
        <v>739</v>
      </c>
      <c r="E14" s="863"/>
      <c r="F14" s="711" t="s">
        <v>740</v>
      </c>
      <c r="G14" s="711" t="s">
        <v>741</v>
      </c>
      <c r="H14" s="811" t="s">
        <v>742</v>
      </c>
    </row>
    <row r="15" spans="1:8" s="11" customFormat="1">
      <c r="A15" s="296" t="s">
        <v>602</v>
      </c>
      <c r="B15" s="865" t="s">
        <v>719</v>
      </c>
      <c r="C15" s="296" t="s">
        <v>602</v>
      </c>
      <c r="D15" s="296" t="s">
        <v>743</v>
      </c>
      <c r="E15" s="863"/>
      <c r="F15" s="711" t="s">
        <v>740</v>
      </c>
      <c r="G15" s="711" t="s">
        <v>741</v>
      </c>
      <c r="H15" s="711" t="s">
        <v>742</v>
      </c>
    </row>
    <row r="18" spans="6:7">
      <c r="F18" s="705"/>
    </row>
    <row r="19" spans="6:7">
      <c r="G19" s="705"/>
    </row>
  </sheetData>
  <phoneticPr fontId="127" type="noConversion"/>
  <hyperlinks>
    <hyperlink ref="E5" r:id="rId1" xr:uid="{00000000-0004-0000-1F00-000007000000}"/>
    <hyperlink ref="H6" r:id="rId2" xr:uid="{B6B245E2-5237-4B18-80D4-B23FF83155D0}"/>
    <hyperlink ref="H8:H9" r:id="rId3" display="kaat.jespers@vlaanderen.be" xr:uid="{4F7662B0-176D-4997-945F-1D8DC7244E59}"/>
    <hyperlink ref="E6" r:id="rId4" xr:uid="{F2765C98-35F9-4AB1-9CF3-F129BF6945F0}"/>
    <hyperlink ref="E3" r:id="rId5" xr:uid="{3548521E-90E5-405B-B41A-E2FA8F1AB4D8}"/>
    <hyperlink ref="H12" r:id="rId6" display="kaat.jespers@vlaanderen.be" xr:uid="{367847F4-B7D2-45FF-814D-C333B083FF80}"/>
    <hyperlink ref="H13" r:id="rId7" display="kaat.jespers@vlaanderen.be" xr:uid="{D75B0E93-A50C-4DB8-ABA2-0B886900B858}"/>
    <hyperlink ref="H14" r:id="rId8" xr:uid="{26BDE574-524A-4A15-B9DE-33B61DB94393}"/>
    <hyperlink ref="E4" r:id="rId9" display="https://ghgprotocol.org/sites/default/files/ghgp/Global-Warming-Potential-Values %28Feb 16 2016%29_1.pdf" xr:uid="{3D4E989C-FE14-4C0F-A3A2-4E19D404C5B6}"/>
  </hyperlinks>
  <pageMargins left="0.7" right="0.7" top="0.75" bottom="0.75" header="0.3" footer="0.3"/>
  <pageSetup paperSize="9" orientation="portrait" r:id="rId1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election activeCell="D14" sqref="D14"/>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712" t="s">
        <v>480</v>
      </c>
      <c r="B1" s="712" t="s">
        <v>481</v>
      </c>
      <c r="C1" s="712" t="s">
        <v>483</v>
      </c>
      <c r="D1" s="712" t="s">
        <v>482</v>
      </c>
    </row>
    <row r="2" spans="1:4" s="706" customFormat="1">
      <c r="A2" s="789" t="s">
        <v>709</v>
      </c>
      <c r="B2" s="733">
        <v>45373</v>
      </c>
      <c r="C2" s="812" t="s">
        <v>581</v>
      </c>
      <c r="D2" s="813" t="s">
        <v>582</v>
      </c>
    </row>
    <row r="3" spans="1:4" s="706" customFormat="1">
      <c r="A3" s="789" t="s">
        <v>709</v>
      </c>
      <c r="B3" s="733">
        <v>45373</v>
      </c>
      <c r="C3" s="812" t="s">
        <v>584</v>
      </c>
      <c r="D3" s="736" t="s">
        <v>583</v>
      </c>
    </row>
    <row r="4" spans="1:4" s="11" customFormat="1">
      <c r="A4" s="1003" t="s">
        <v>709</v>
      </c>
      <c r="B4" s="1004">
        <v>45385</v>
      </c>
      <c r="C4" s="1005" t="s">
        <v>642</v>
      </c>
      <c r="D4" s="839" t="s">
        <v>641</v>
      </c>
    </row>
    <row r="5" spans="1:4" s="11" customFormat="1">
      <c r="A5" s="1003" t="s">
        <v>709</v>
      </c>
      <c r="B5" s="1004">
        <v>45393</v>
      </c>
      <c r="C5" s="1005" t="s">
        <v>752</v>
      </c>
      <c r="D5" s="839"/>
    </row>
    <row r="6" spans="1:4" s="11" customFormat="1">
      <c r="A6" s="1003" t="s">
        <v>709</v>
      </c>
      <c r="B6" s="1004">
        <v>45405</v>
      </c>
      <c r="C6" s="1005" t="s">
        <v>604</v>
      </c>
      <c r="D6" s="839" t="s">
        <v>605</v>
      </c>
    </row>
    <row r="7" spans="1:4" s="11" customFormat="1">
      <c r="A7" s="1003" t="s">
        <v>709</v>
      </c>
      <c r="B7" s="1004">
        <v>45428</v>
      </c>
      <c r="C7" s="1005" t="s">
        <v>736</v>
      </c>
      <c r="D7" s="839" t="s">
        <v>737</v>
      </c>
    </row>
    <row r="8" spans="1:4" s="11" customFormat="1">
      <c r="A8" s="1003" t="s">
        <v>709</v>
      </c>
      <c r="B8" s="1004">
        <v>45428</v>
      </c>
      <c r="C8" s="1005" t="s">
        <v>751</v>
      </c>
      <c r="D8" s="823" t="s">
        <v>753</v>
      </c>
    </row>
    <row r="9" spans="1:4" s="7" customFormat="1">
      <c r="A9" s="1003" t="s">
        <v>709</v>
      </c>
      <c r="B9" s="1004">
        <v>45442</v>
      </c>
      <c r="C9" s="1005" t="s">
        <v>760</v>
      </c>
      <c r="D9" s="823" t="s">
        <v>600</v>
      </c>
    </row>
    <row r="10" spans="1:4" s="7" customFormat="1">
      <c r="A10" s="1003" t="s">
        <v>709</v>
      </c>
      <c r="B10" s="1004">
        <v>45442</v>
      </c>
      <c r="C10" s="1005" t="s">
        <v>755</v>
      </c>
      <c r="D10" s="823" t="s">
        <v>601</v>
      </c>
    </row>
    <row r="11" spans="1:4" s="7" customFormat="1">
      <c r="A11" s="1003" t="s">
        <v>709</v>
      </c>
      <c r="B11" s="1004">
        <v>45442</v>
      </c>
      <c r="C11" s="1005" t="s">
        <v>761</v>
      </c>
      <c r="D11" s="823" t="s">
        <v>598</v>
      </c>
    </row>
    <row r="12" spans="1:4" s="7" customFormat="1">
      <c r="A12" s="1003" t="s">
        <v>709</v>
      </c>
      <c r="B12" s="809">
        <v>45457</v>
      </c>
      <c r="C12" s="1005" t="s">
        <v>772</v>
      </c>
      <c r="D12" s="823" t="s">
        <v>598</v>
      </c>
    </row>
    <row r="13" spans="1:4" s="822" customFormat="1">
      <c r="A13" s="1003" t="s">
        <v>709</v>
      </c>
      <c r="B13" s="809">
        <v>45457</v>
      </c>
      <c r="C13" s="1005" t="s">
        <v>773</v>
      </c>
      <c r="D13" s="823" t="s">
        <v>599</v>
      </c>
    </row>
    <row r="14" spans="1:4" s="822" customFormat="1">
      <c r="A14" s="1003" t="s">
        <v>709</v>
      </c>
      <c r="B14" s="809">
        <v>45457</v>
      </c>
      <c r="C14" s="1005" t="s">
        <v>776</v>
      </c>
      <c r="D14" s="823" t="s">
        <v>777</v>
      </c>
    </row>
    <row r="15" spans="1:4" s="7" customFormat="1">
      <c r="B15" s="709"/>
      <c r="D15" s="710"/>
    </row>
  </sheetData>
  <phoneticPr fontId="127" type="noConversion"/>
  <hyperlinks>
    <hyperlink ref="D2" location="'EF N2O_CH4 landbouw'!A1" display="'EF N2O_CH4 landbouw'!A1" xr:uid="{CA0323D0-2FCC-43D5-9177-EEBC293D5ECA}"/>
    <hyperlink ref="D3" location="'ha_N2O bodem landbouw'!A1" display="'ha_N2O bodem landbouw'!A1" xr:uid="{70F26C7C-2752-4F30-91FA-95FD0D4EE7E8}"/>
    <hyperlink ref="D9" location="transport!A21" display="transport!A21" xr:uid="{A4F60DF1-4A56-45DA-8085-D6C4C04AA2AD}"/>
    <hyperlink ref="D10" location="transport!A28" display="transport!A28" xr:uid="{3EF7DA6A-831C-4D98-BE7C-B126B597E783}"/>
    <hyperlink ref="D11" location="'ECF transport '!A1" display="'ECF transport '!A1" xr:uid="{39B93E8C-4E62-429B-8501-0FC655BDF36E}"/>
    <hyperlink ref="D13" location="transport!B65" display="transport!B65" xr:uid="{4C3ABB0B-0C11-4743-BD05-A7EEBF1923A5}"/>
    <hyperlink ref="D6" location="'E Balans VL '!A1" display="'E Balans VL '!A1" xr:uid="{9CD4FEC7-DF95-475C-91B7-F7B2F0115C3E}"/>
    <hyperlink ref="D7" location="'E Balans VL '!A1" display="'E Balans VL '!A1" xr:uid="{8256523A-1803-4AAF-9B69-10266A72F590}"/>
    <hyperlink ref="D8" location="'lokale energieproductie'!A1" display="'lokale energieproductie'!A1" xr:uid="{C5904D1D-144C-451D-A3DA-D2A1D7A3E4A3}"/>
    <hyperlink ref="D12" location="'ECF transport '!A1" display="'ECF transport '!A1" xr:uid="{922721F7-28A7-4253-9C8C-8038C5E6F816}"/>
    <hyperlink ref="D14" location="transport!B66" display="transport!B66" xr:uid="{C70D8088-9C56-4E04-BEB3-847B551CEDD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198</vt:i4>
      </vt:variant>
    </vt:vector>
  </HeadingPairs>
  <TitlesOfParts>
    <vt:vector size="233" baseType="lpstr">
      <vt:lpstr>LEGENDE</vt:lpstr>
      <vt:lpstr>OUTPUT--&gt;</vt:lpstr>
      <vt:lpstr>SECAP template</vt:lpstr>
      <vt:lpstr>Inventaris 2022</vt:lpstr>
      <vt:lpstr>betrouwbaarheid inventaris</vt:lpstr>
      <vt:lpstr>Lokale energieproductie 2022</vt:lpstr>
      <vt:lpstr>betrouwbaarheid productie</vt:lpstr>
      <vt:lpstr>INPUT--&gt;</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Eigen gebouwen</vt:lpstr>
      <vt:lpstr>Eigen openbare verlichting</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aantalZoogkoeien</vt:lpstr>
      <vt:lpstr>bus_pct_elektrisch</vt:lpstr>
      <vt:lpstr>bus_pct_hybride</vt:lpstr>
      <vt:lpstr>EF_anderfossiel_CO2</vt:lpstr>
      <vt:lpstr>EF_benzine_CO2</vt:lpstr>
      <vt:lpstr>EF_biogas_CO2</vt:lpstr>
      <vt:lpstr>EF_bruinkool_CO2</vt:lpstr>
      <vt:lpstr>EF_CO2_aardgas</vt:lpstr>
      <vt:lpstr>EF_diesel_CO2</vt:lpstr>
      <vt:lpstr>EF_steenkool_CO2</vt:lpstr>
      <vt:lpstr>EF_stookolie_CO2</vt:lpstr>
      <vt:lpstr>EF_VLgas_CO2</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kWh_eigengeb_aardgas</vt:lpstr>
      <vt:lpstr>kWh_eigengeb_elektriciteit</vt:lpstr>
      <vt:lpstr>kWh_eigengeb_overigebiomassa</vt:lpstr>
      <vt:lpstr>kWh_eigengeb_stookolie</vt:lpstr>
      <vt:lpstr>kWh_eigengeb_vloeibaargas</vt:lpstr>
      <vt:lpstr>kWh_eigengeb_warmtekoude</vt:lpstr>
      <vt:lpstr>kWh_eigenov_elektriciteit</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MWh_eigenverbruikPV_industrie</vt:lpstr>
      <vt:lpstr>MWh_eigenverbruikPV_landbouw</vt:lpstr>
      <vt:lpstr>MWh_eigenverbruikPV_residentieel</vt:lpstr>
      <vt:lpstr>MWh_eigenverbruikPV_tertiair</vt:lpstr>
      <vt:lpstr>MWh_eigenvloot_aardgas</vt:lpstr>
      <vt:lpstr>MWh_eigenvloot_benzine</vt:lpstr>
      <vt:lpstr>MWh_eigenvloot_diesel</vt:lpstr>
      <vt:lpstr>MWh_eigenvloot_elektriciteit</vt:lpstr>
      <vt:lpstr>MWh_eigenvloot_vloeibaargas</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Jana Pauwels</cp:lastModifiedBy>
  <dcterms:created xsi:type="dcterms:W3CDTF">2013-05-17T14:24:21Z</dcterms:created>
  <dcterms:modified xsi:type="dcterms:W3CDTF">2024-08-06T13:19:16Z</dcterms:modified>
</cp:coreProperties>
</file>