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BE7B4A8-7751-4508-AD35-1EC1A02704A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M6" i="13" s="1"/>
  <c r="M9" i="13" s="1"/>
  <c r="M13" i="13" s="1"/>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B7" i="15"/>
  <c r="E10" i="15"/>
  <c r="H10" i="15"/>
  <c r="O115" i="14"/>
  <c r="C42" i="18"/>
  <c r="B42" i="18"/>
  <c r="O13" i="15"/>
  <c r="F8" i="15"/>
  <c r="H8" i="15"/>
  <c r="H5" i="15" s="1"/>
  <c r="H17" i="15" s="1"/>
  <c r="B12" i="16"/>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5" i="22"/>
  <c r="B14" i="22" s="1"/>
  <c r="D32" i="48"/>
  <c r="J8" i="18"/>
  <c r="J10" i="1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3" i="14"/>
  <c r="K8" i="59" s="1"/>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F17" i="15"/>
  <c r="F5" i="48" s="1"/>
  <c r="F23" i="48" s="1"/>
  <c r="O13" i="13"/>
  <c r="P62" i="14" s="1"/>
  <c r="B17" i="15"/>
  <c r="C15" i="14" s="1"/>
  <c r="C13" i="14"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9" i="20"/>
  <c r="C11" i="17"/>
  <c r="C13" i="17" s="1"/>
  <c r="D85" i="14" s="1"/>
  <c r="D87" i="14" s="1"/>
  <c r="C16" i="22"/>
  <c r="C22" i="59"/>
  <c r="C19" i="15"/>
  <c r="C21" i="15" s="1"/>
  <c r="D61" i="14" s="1"/>
  <c r="D59" i="14" s="1"/>
  <c r="C56" i="22"/>
  <c r="B4" i="6"/>
  <c r="C17" i="48" l="1"/>
  <c r="C13" i="13"/>
  <c r="D62" i="14" s="1"/>
  <c r="D66" i="14" s="1"/>
  <c r="D72" i="14"/>
  <c r="D73" i="14"/>
  <c r="B13" i="6"/>
  <c r="B56" i="22" s="1"/>
  <c r="D71" i="14" l="1"/>
  <c r="D83" i="14" s="1"/>
  <c r="D88" i="14" s="1"/>
  <c r="D90" i="14" s="1"/>
  <c r="C28" i="48"/>
  <c r="C22" i="48"/>
  <c r="C29" i="48"/>
  <c r="C30" i="48"/>
  <c r="C24" i="48"/>
  <c r="C26" i="48"/>
  <c r="C31" i="48"/>
  <c r="C32" i="48"/>
  <c r="C25" i="48"/>
  <c r="C23" i="48"/>
  <c r="C27"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<sst xmlns="http://schemas.openxmlformats.org/spreadsheetml/2006/main" count="3029" uniqueCount="783">
  <si>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</si>
  <si>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</si>
  <si>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</si>
  <si>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</si>
  <si>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</si>
  <si>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</si>
  <si>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</si>
  <si>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</si>
  <si>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</si>
  <si>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</si>
  <si>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</si>
  <si>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</si>
  <si>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</si>
  <si>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</si>
  <si>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</si>
  <si>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</si>
  <si>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</si>
  <si>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</si>
  <si>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</si>
  <si>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</si>
  <si>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</si>
  <si>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</si>
  <si>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</si>
  <si>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</si>
  <si>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</si>
  <si>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</si>
  <si>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</si>
  <si>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</si>
  <si>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</si>
  <si>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</si>
  <si>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</si>
  <si>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</si>
  <si>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</si>
  <si>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</si>
  <si>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</si>
  <si>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</si>
  <si>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</si>
  <si>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</si>
  <si>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</si>
  <si>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</si>
  <si>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</si>
  <si>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</si>
  <si>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</si>
  <si>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</si>
  <si>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</si>
  <si>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</si>
  <si>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</si>
  <si>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</si>
  <si>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</si>
  <si>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</si>
  <si>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</si>
  <si>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</si>
  <si>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</si>
  <si>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</si>
  <si>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</si>
  <si>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</si>
  <si>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</si>
  <si>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</si>
  <si>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</si>
  <si>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</si>
  <si>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</si>
  <si>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</si>
  <si>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</si>
  <si>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</si>
  <si>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</si>
  <si>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</si>
  <si>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</si>
  <si>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</si>
  <si>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</si>
  <si>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</si>
  <si>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</si>
  <si>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</si>
  <si>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</si>
  <si>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</si>
  <si>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</si>
  <si>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</si>
  <si>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</si>
  <si>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</si>
  <si>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</si>
  <si>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</si>
  <si>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</si>
  <si>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</si>
  <si>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</si>
  <si>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</si>
  <si>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</si>
  <si>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</si>
  <si>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</si>
  <si>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</si>
  <si>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</si>
  <si>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</si>
  <si>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</si>
  <si>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</si>
  <si>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</si>
  <si>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</si>
  <si>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</si>
  <si>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</si>
  <si>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</si>
  <si>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</si>
  <si>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</si>
  <si>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</si>
  <si>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</si>
  <si>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</si>
  <si>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</si>
  <si>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</si>
  <si>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</si>
  <si>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</si>
  <si>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</si>
  <si>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</si>
  <si>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</si>
  <si>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</si>
  <si>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</si>
  <si>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</si>
  <si>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</si>
  <si>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</si>
  <si>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</si>
  <si>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</si>
  <si>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</si>
  <si>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</si>
  <si>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</si>
  <si>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</si>
  <si>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</si>
  <si>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</si>
  <si>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</si>
  <si>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</si>
  <si>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</si>
  <si>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</si>
  <si>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</si>
  <si>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</si>
  <si>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</si>
  <si>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</si>
  <si>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</si>
  <si>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</si>
  <si>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</si>
  <si>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</si>
  <si>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</si>
  <si>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</si>
  <si>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</si>
  <si>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</si>
  <si>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</si>
  <si>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</si>
  <si>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</si>
  <si>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</si>
  <si>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</si>
  <si>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</si>
  <si>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</si>
  <si>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</si>
  <si>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</si>
  <si>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</si>
  <si>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</si>
  <si>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</si>
  <si>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</si>
  <si>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</si>
  <si>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</si>
  <si>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</si>
  <si>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</si>
  <si>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</si>
  <si>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</si>
  <si>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</si>
  <si>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</si>
  <si>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</si>
  <si>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</si>
  <si>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</si>
  <si>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</si>
  <si>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</si>
  <si>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</si>
  <si>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</si>
  <si>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</si>
  <si>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</si>
  <si>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</si>
  <si>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</si>
  <si>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</si>
  <si>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</si>
  <si>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</si>
  <si>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</si>
  <si>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</si>
  <si>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</si>
  <si>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</si>
  <si>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</si>
  <si>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</si>
  <si>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</si>
  <si>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</si>
  <si>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</si>
  <si>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</si>
  <si>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</si>
  <si>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</si>
  <si>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</si>
  <si>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</si>
  <si>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</si>
  <si>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</si>
  <si>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</si>
  <si>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</si>
  <si>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</si>
  <si>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</si>
  <si>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</si>
  <si>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</si>
  <si>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</si>
  <si>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</si>
  <si>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</si>
  <si>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</si>
  <si>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</si>
  <si>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</si>
  <si>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</si>
  <si>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</si>
  <si>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</si>
  <si>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</si>
  <si>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</si>
  <si>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</si>
  <si>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</si>
  <si>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</si>
  <si>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</si>
  <si>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</si>
  <si>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</si>
  <si>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</si>
  <si>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</si>
  <si>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</si>
  <si>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</si>
  <si>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</si>
  <si>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</si>
  <si>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</si>
  <si>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</si>
  <si>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</si>
  <si>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</si>
  <si>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</si>
  <si>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</si>
  <si>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</si>
  <si>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</si>
  <si>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</si>
  <si>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</si>
  <si>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</si>
  <si>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</si>
  <si>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</si>
  <si>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</si>
  <si>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</si>
  <si>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</si>
  <si>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</si>
  <si>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</si>
  <si>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</si>
  <si>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</si>
  <si>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</si>
  <si>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</si>
  <si>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</si>
  <si>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</si>
  <si>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</si>
  <si>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</si>
  <si>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</si>
  <si>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</si>
  <si>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</si>
  <si>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</si>
  <si>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</si>
  <si>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</si>
  <si>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</si>
  <si>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</si>
  <si>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</si>
  <si>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</si>
  <si>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</si>
  <si>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</si>
  <si>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</si>
  <si>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</si>
  <si>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</si>
  <si>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</si>
  <si>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</si>
  <si>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</si>
  <si>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</si>
  <si>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</si>
  <si>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</si>
  <si>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</si>
  <si>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</si>
  <si>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</si>
  <si>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</si>
  <si>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</si>
  <si>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</si>
  <si>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</si>
  <si>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</si>
  <si>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</si>
  <si>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</si>
  <si>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</si>
  <si>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</si>
  <si>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</si>
  <si>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</si>
  <si>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</si>
  <si>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</si>
  <si>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</si>
  <si>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</si>
  <si>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</si>
  <si>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</si>
  <si>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</si>
  <si>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</si>
  <si>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</si>
  <si>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</si>
  <si>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</si>
  <si>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</si>
  <si>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</si>
  <si>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</si>
  <si>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</si>
  <si>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</si>
  <si>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</si>
  <si>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</si>
  <si>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</si>
  <si>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</si>
  <si>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</si>
  <si>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</si>
  <si>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</si>
  <si>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</si>
  <si>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</si>
  <si>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</si>
  <si>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</si>
  <si>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</si>
  <si>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</si>
  <si>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</si>
  <si>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</si>
  <si>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</si>
  <si>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</si>
  <si>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</si>
  <si>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</si>
  <si>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</si>
  <si>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</si>
  <si>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</si>
  <si>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</si>
  <si>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</si>
  <si>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</si>
  <si>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</si>
  <si>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</si>
  <si>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</si>
  <si>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</si>
  <si>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</si>
  <si>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</si>
  <si>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</si>
  <si>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</si>
  <si>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</si>
  <si>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</si>
  <si>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</si>
  <si>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</si>
  <si>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</si>
  <si>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</si>
  <si>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</si>
  <si>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</si>
  <si>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</si>
  <si>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</si>
  <si>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</si>
  <si>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</si>
  <si>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</si>
  <si>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</si>
  <si>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</si>
  <si>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</si>
  <si>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</si>
  <si>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</si>
  <si>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</si>
  <si>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</si>
  <si>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</si>
  <si>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</si>
  <si>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</si>
  <si>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</si>
  <si>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</si>
  <si>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</si>
  <si>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</si>
  <si>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</si>
  <si>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</si>
  <si>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</si>
  <si>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</si>
  <si>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</si>
  <si>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</si>
  <si>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</si>
  <si>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</si>
  <si>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</si>
  <si>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</si>
  <si>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</si>
  <si>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</si>
  <si>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</si>
  <si>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</si>
  <si>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</si>
  <si>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</si>
  <si>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</si>
  <si>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</si>
  <si>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</si>
  <si>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</si>
  <si>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</si>
  <si>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</si>
  <si>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</si>
  <si>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</si>
  <si>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</si>
  <si>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</si>
  <si>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</si>
  <si>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</si>
  <si>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</si>
  <si>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</si>
  <si>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</si>
  <si>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</si>
  <si>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</si>
  <si>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</si>
  <si>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</si>
  <si>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</si>
  <si>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</si>
  <si>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</si>
  <si>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</si>
  <si>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</si>
  <si>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</si>
  <si>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</si>
  <si>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</si>
  <si>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</si>
  <si>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</si>
  <si>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</si>
  <si>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</si>
  <si>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</si>
  <si>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</si>
  <si>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</si>
  <si>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</si>
  <si>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</si>
  <si>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</si>
  <si>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</si>
  <si>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</si>
  <si>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</si>
  <si>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</si>
  <si>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</si>
  <si>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</si>
  <si>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</si>
  <si>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</si>
  <si>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</si>
  <si>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</si>
  <si>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</si>
  <si>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</si>
  <si>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</si>
  <si>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</si>
  <si>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</si>
  <si>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</si>
  <si>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</si>
  <si>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</si>
  <si>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</si>
  <si>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</si>
  <si>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</si>
  <si>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</si>
  <si>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</si>
  <si>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</si>
  <si>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</si>
  <si>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</si>
  <si>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</si>
  <si>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</si>
  <si>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</si>
  <si>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</si>
  <si>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</si>
  <si>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</si>
  <si>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</si>
  <si>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</si>
  <si>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</si>
  <si>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</si>
  <si>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</si>
  <si>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</si>
  <si>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</si>
  <si>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</si>
  <si>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</si>
  <si>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</si>
  <si>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</si>
  <si>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</si>
  <si>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</si>
  <si>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</si>
  <si>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</si>
  <si>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</si>
  <si>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</si>
  <si>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</si>
  <si>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</si>
  <si>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</si>
  <si>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</si>
  <si>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</si>
  <si>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</si>
  <si>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</si>
  <si>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</si>
  <si>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</si>
  <si>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</si>
  <si>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</si>
  <si>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</si>
  <si>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</si>
  <si>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</si>
  <si>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</si>
  <si>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</si>
  <si>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</si>
  <si>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</si>
  <si>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</si>
  <si>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</si>
  <si>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</si>
  <si>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</si>
  <si>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</si>
  <si>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</si>
  <si>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</si>
  <si>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</si>
  <si>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</si>
  <si>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</si>
  <si>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</si>
  <si>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</si>
  <si>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</si>
  <si>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</si>
  <si>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</si>
  <si>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</si>
  <si>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</si>
  <si>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</si>
  <si>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</si>
  <si>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</si>
  <si>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</si>
  <si>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</si>
  <si>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</si>
  <si>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</si>
  <si>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</si>
  <si>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</si>
  <si>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</si>
  <si>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</si>
  <si>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</si>
  <si>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</si>
  <si>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</si>
  <si>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</si>
  <si>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</si>
  <si>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</si>
  <si>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</si>
  <si>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</si>
  <si>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</si>
  <si>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</si>
  <si>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</si>
  <si>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</si>
  <si>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</si>
  <si>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</si>
  <si>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</si>
  <si>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</si>
  <si>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</si>
  <si>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</si>
  <si>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</si>
  <si>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</si>
  <si>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</si>
  <si>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</si>
  <si>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</si>
  <si>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</si>
  <si>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</si>
  <si>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</si>
  <si>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</si>
  <si>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</si>
  <si>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</si>
  <si>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</si>
  <si>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</si>
  <si>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</si>
  <si>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</si>
  <si>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</si>
  <si>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</si>
  <si>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</si>
  <si>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</si>
  <si>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</si>
  <si>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</si>
  <si>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</si>
  <si>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</si>
  <si>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</si>
  <si>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</si>
  <si>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</si>
  <si>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</si>
  <si>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</si>
  <si>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</si>
  <si>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</si>
  <si>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</si>
  <si>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</si>
  <si>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</si>
  <si>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</si>
  <si>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</si>
  <si>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</si>
  <si>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</si>
  <si>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</si>
  <si>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</si>
  <si>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</si>
  <si>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</si>
  <si>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</si>
  <si>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</si>
  <si>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</si>
  <si>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</si>
  <si>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</si>
  <si>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</si>
  <si>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</si>
  <si>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</si>
  <si>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</si>
  <si>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</si>
  <si>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</si>
  <si>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</si>
  <si>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</si>
  <si>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</si>
  <si>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</si>
  <si>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</si>
  <si>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</si>
  <si>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</si>
  <si>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</si>
  <si>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</si>
  <si>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</si>
  <si>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</si>
  <si>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</si>
  <si>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</si>
  <si>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</si>
  <si>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</si>
  <si>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</si>
  <si>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</si>
  <si>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</si>
  <si>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</si>
  <si>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</si>
  <si>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</si>
  <si>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</si>
  <si>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</si>
  <si>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</si>
  <si>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</si>
  <si>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</si>
  <si>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</si>
  <si>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</si>
  <si>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</si>
  <si>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</si>
  <si>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</si>
  <si>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</si>
  <si>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</si>
  <si>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</si>
  <si>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</si>
  <si>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</si>
  <si>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</si>
  <si>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</si>
  <si>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</si>
  <si>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</si>
  <si>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</si>
  <si>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</si>
  <si>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</si>
  <si>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</si>
  <si>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</si>
  <si>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</si>
  <si>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</si>
  <si>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</si>
  <si>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</si>
  <si>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</si>
  <si>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</si>
  <si>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</si>
  <si>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</si>
  <si>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</si>
  <si>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</si>
  <si>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</si>
  <si>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</si>
  <si>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</si>
  <si>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</si>
  <si>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</si>
  <si>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</si>
  <si>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</si>
  <si>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</si>
  <si>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</si>
  <si>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</si>
  <si>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</si>
  <si>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</si>
  <si>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</si>
  <si>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</si>
  <si>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</si>
  <si>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</si>
  <si>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</si>
  <si>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</si>
  <si>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</si>
  <si>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</si>
  <si>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</si>
  <si>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</si>
  <si>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</si>
  <si>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</si>
  <si>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</si>
  <si>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</si>
  <si>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</si>
  <si>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</si>
  <si>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</si>
  <si>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</si>
  <si>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</si>
  <si>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</si>
  <si>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</si>
  <si>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</si>
  <si>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</si>
  <si>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</si>
  <si>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</si>
  <si>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</si>
  <si>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</si>
  <si>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</si>
  <si>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</si>
  <si>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</si>
  <si>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</si>
  <si>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</si>
  <si>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</si>
  <si>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</si>
  <si>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</si>
  <si>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</si>
  <si>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</si>
  <si>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</si>
  <si>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</si>
  <si>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</si>
  <si>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</si>
  <si>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</si>
  <si>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</si>
  <si>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</si>
  <si>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</si>
  <si>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</si>
  <si>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</si>
  <si>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</si>
  <si>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</si>
  <si>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</si>
  <si>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</si>
  <si>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</si>
  <si>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</si>
  <si>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</si>
  <si>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</si>
  <si>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</si>
  <si>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</si>
  <si>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</si>
  <si>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</si>
  <si>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</si>
  <si>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</si>
  <si>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</si>
  <si>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</si>
  <si>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</si>
  <si>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</si>
  <si>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</si>
  <si>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</si>
  <si>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</si>
  <si>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</si>
  <si>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</si>
  <si>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</si>
  <si>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</si>
  <si>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</si>
  <si>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</si>
  <si>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</si>
  <si>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</si>
  <si>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</si>
  <si>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</si>
  <si>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</si>
  <si>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</si>
  <si>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</si>
  <si>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</si>
  <si>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</si>
  <si>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</si>
  <si>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</si>
  <si>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</si>
  <si>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</si>
  <si>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</si>
  <si>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</si>
  <si>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</si>
  <si>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</si>
  <si>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</si>
  <si>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</si>
  <si>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</si>
  <si>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</si>
  <si>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</si>
  <si>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</si>
  <si>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</si>
  <si>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</si>
  <si>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</si>
  <si>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</si>
  <si>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</si>
  <si>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</si>
  <si>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</si>
  <si>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</si>
  <si>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</si>
  <si>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</si>
  <si>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</si>
  <si>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</si>
  <si>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</si>
  <si>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</si>
  <si>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</si>
  <si>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</si>
  <si>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</si>
  <si>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</si>
  <si>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</si>
  <si>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</si>
  <si>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</si>
  <si>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</si>
  <si>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</si>
  <si>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</si>
  <si>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</si>
  <si>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</si>
  <si>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</si>
  <si>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</si>
  <si>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</si>
  <si>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</si>
  <si>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</si>
  <si>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</si>
  <si>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</si>
  <si>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</si>
  <si>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</si>
  <si>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</si>
  <si>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</si>
  <si>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</si>
  <si>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</si>
  <si>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</si>
  <si>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</si>
  <si>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</si>
  <si>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</si>
  <si>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31033</t>
  </si>
  <si>
    <t>TORHOUT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</si>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</sst>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A8D95B6-6AAD-412C-8C52-D035CF3B0C0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1E2DDD5-526B-4858-85CC-17EA387D6BA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139806.76442663104</c:v>
                </c:pt>
                <c:pt idx="1">
                  <c:v>51815.569337933892</c:v>
                </c:pt>
                <c:pt idx="2">
                  <c:v>0</c:v>
                </c:pt>
                <c:pt idx="3">
                  <c:v>17171.531712335789</c:v>
                </c:pt>
                <c:pt idx="4">
                  <c:v>65772.281632978353</c:v>
                </c:pt>
                <c:pt idx="5">
                  <c:v>122793.44628136641</c:v>
                </c:pt>
                <c:pt idx="6">
                  <c:v>1137.6860448690973</c:v>
                </c:pt>
                <c:pt idx="7">
                  <c:v>5656.8692541040482</c:v>
                </c:pt>
                <c:pt idx="8">
                  <c:v>817.74304107994851</c:v>
                </c:pt>
                <c:pt idx="9">
                  <c:v>39.410705416168582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139806.76442663104</c:v>
                </c:pt>
                <c:pt idx="1">
                  <c:v>51815.569337933892</c:v>
                </c:pt>
                <c:pt idx="2">
                  <c:v>0</c:v>
                </c:pt>
                <c:pt idx="3">
                  <c:v>17171.531712335789</c:v>
                </c:pt>
                <c:pt idx="4">
                  <c:v>65772.281632978353</c:v>
                </c:pt>
                <c:pt idx="5">
                  <c:v>122793.44628136641</c:v>
                </c:pt>
                <c:pt idx="6">
                  <c:v>1137.6860448690973</c:v>
                </c:pt>
                <c:pt idx="7">
                  <c:v>5656.8692541040482</c:v>
                </c:pt>
                <c:pt idx="8">
                  <c:v>817.74304107994851</c:v>
                </c:pt>
                <c:pt idx="9">
                  <c:v>39.410705416168582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27417.494816514281</c:v>
                </c:pt>
                <c:pt idx="1">
                  <c:v>9875.7532687861549</c:v>
                </c:pt>
                <c:pt idx="2">
                  <c:v>0</c:v>
                </c:pt>
                <c:pt idx="3">
                  <c:v>4171.1509371025741</c:v>
                </c:pt>
                <c:pt idx="4">
                  <c:v>12746.909888657812</c:v>
                </c:pt>
                <c:pt idx="5">
                  <c:v>28882.209578510068</c:v>
                </c:pt>
                <c:pt idx="6">
                  <c:v>269.67267800841603</c:v>
                </c:pt>
                <c:pt idx="7">
                  <c:v>1077.6085650947421</c:v>
                </c:pt>
                <c:pt idx="8">
                  <c:v>141.70010225832448</c:v>
                </c:pt>
                <c:pt idx="9">
                  <c:v>8.9064874586830314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27417.494816514281</c:v>
                </c:pt>
                <c:pt idx="1">
                  <c:v>9875.7532687861549</c:v>
                </c:pt>
                <c:pt idx="2">
                  <c:v>0</c:v>
                </c:pt>
                <c:pt idx="3">
                  <c:v>4171.1509371025741</c:v>
                </c:pt>
                <c:pt idx="4">
                  <c:v>12746.909888657812</c:v>
                </c:pt>
                <c:pt idx="5">
                  <c:v>28882.209578510068</c:v>
                </c:pt>
                <c:pt idx="6">
                  <c:v>269.67267800841603</c:v>
                </c:pt>
                <c:pt idx="7">
                  <c:v>1077.6085650947421</c:v>
                </c:pt>
                <c:pt idx="8">
                  <c:v>141.70010225832448</c:v>
                </c:pt>
                <c:pt idx="9">
                  <c:v>8.9064874586830314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31033</v>
      </c>
      <c r="B6" s="336"/>
      <c r="C6" s="337"/>
    </row>
    <row r="7" spans="1:7" s="334" customFormat="1" ht="15.75" customHeight="1">
      <c r="A7" s="338" t="str">
        <f>txtMunicipality</f>
        <v>TORHOUT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2681.7880931487011</v>
      </c>
      <c r="D9" s="531">
        <f t="shared" ref="D9:R9" si="0">SUM(D10:D11)</f>
        <v>62.957089750000002</v>
      </c>
      <c r="E9" s="531">
        <f t="shared" si="0"/>
        <v>3723.8202420350949</v>
      </c>
      <c r="F9" s="531">
        <f t="shared" si="0"/>
        <v>0</v>
      </c>
      <c r="G9" s="531">
        <f t="shared" si="0"/>
        <v>6.0468702502011169</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6474.612295183997</v>
      </c>
      <c r="T9" s="66"/>
    </row>
    <row r="10" spans="1:20" s="382" customFormat="1">
      <c r="A10" s="870" t="s">
        <v>197</v>
      </c>
      <c r="B10" s="639"/>
      <c r="C10" s="531">
        <f>'Eigen gebouwen'!B6</f>
        <v>1864.0450520687525</v>
      </c>
      <c r="D10" s="531">
        <f>'Eigen gebouwen'!C6</f>
        <v>62.957089750000002</v>
      </c>
      <c r="E10" s="531">
        <f>'Eigen gebouwen'!D6</f>
        <v>3723.8202420350949</v>
      </c>
      <c r="F10" s="531">
        <f>'Eigen gebouwen'!E6</f>
        <v>0</v>
      </c>
      <c r="G10" s="531">
        <f>'Eigen gebouwen'!F6</f>
        <v>6.0468702502011169</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5656.8692541040482</v>
      </c>
      <c r="T10" s="66"/>
    </row>
    <row r="11" spans="1:20" s="382" customFormat="1">
      <c r="A11" s="870" t="s">
        <v>410</v>
      </c>
      <c r="B11" s="639"/>
      <c r="C11" s="531">
        <f>'Eigen openbare verlichting'!B6</f>
        <v>817.74304107994851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817.74304107994851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21297.990821348765</v>
      </c>
      <c r="D13" s="868">
        <f t="shared" ref="D13:P13" si="1">SUM(D14:D15)</f>
        <v>0</v>
      </c>
      <c r="E13" s="868">
        <f t="shared" si="1"/>
        <v>27332.510534100405</v>
      </c>
      <c r="F13" s="868">
        <f t="shared" si="1"/>
        <v>36.705146986349504</v>
      </c>
      <c r="G13" s="868">
        <f t="shared" si="1"/>
        <v>2455.4325014530036</v>
      </c>
      <c r="H13" s="868">
        <f t="shared" si="1"/>
        <v>0</v>
      </c>
      <c r="I13" s="868">
        <f t="shared" si="1"/>
        <v>0.36252457948451594</v>
      </c>
      <c r="J13" s="868">
        <f t="shared" si="1"/>
        <v>0</v>
      </c>
      <c r="K13" s="868">
        <f t="shared" si="1"/>
        <v>1.7273113479334877E-2</v>
      </c>
      <c r="L13" s="868">
        <f t="shared" si="1"/>
        <v>0</v>
      </c>
      <c r="M13" s="868">
        <f t="shared" si="1"/>
        <v>0</v>
      </c>
      <c r="N13" s="868">
        <f t="shared" si="1"/>
        <v>0</v>
      </c>
      <c r="O13" s="868">
        <f t="shared" si="1"/>
        <v>0</v>
      </c>
      <c r="P13" s="868">
        <f t="shared" si="1"/>
        <v>692.55053635240063</v>
      </c>
      <c r="Q13" s="868">
        <f t="shared" ref="Q13" si="2">SUM(Q14:Q15)</f>
        <v>0</v>
      </c>
      <c r="R13" s="869">
        <f t="shared" ref="R13" si="3">SUM(R14:R15)</f>
        <v>0</v>
      </c>
      <c r="S13" s="562">
        <f t="shared" ref="S13" si="4">SUM(C13:R13)</f>
        <v>51815.569337933892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21297.990821348765</v>
      </c>
      <c r="D15" s="531">
        <f>tertiair!C17</f>
        <v>0</v>
      </c>
      <c r="E15" s="531">
        <f>tertiair!D17</f>
        <v>27332.510534100405</v>
      </c>
      <c r="F15" s="531">
        <f>tertiair!E17</f>
        <v>36.705146986349504</v>
      </c>
      <c r="G15" s="531">
        <f>tertiair!F17</f>
        <v>2455.4325014530036</v>
      </c>
      <c r="H15" s="531" t="str">
        <f>tertiair!G17</f>
        <v>NE</v>
      </c>
      <c r="I15" s="531">
        <f>tertiair!H17</f>
        <v>0.36252457948451594</v>
      </c>
      <c r="J15" s="531" t="str">
        <f>tertiair!I17</f>
        <v>NE</v>
      </c>
      <c r="K15" s="531">
        <f>tertiair!J17</f>
        <v>1.7273113479334877E-2</v>
      </c>
      <c r="L15" s="531" t="str">
        <f>tertiair!K17</f>
        <v>NE</v>
      </c>
      <c r="M15" s="531" t="str">
        <f>tertiair!L17</f>
        <v>IE</v>
      </c>
      <c r="N15" s="531" t="str">
        <f>tertiair!M17</f>
        <v>IE</v>
      </c>
      <c r="O15" s="531" t="str">
        <f>tertiair!N17</f>
        <v>IE</v>
      </c>
      <c r="P15" s="531">
        <f>tertiair!O17</f>
        <v>692.55053635240063</v>
      </c>
      <c r="Q15" s="531" t="str">
        <f>tertiair!P17</f>
        <v>NE</v>
      </c>
      <c r="R15" s="869" t="str">
        <f>tertiair!Q17</f>
        <v>NE</v>
      </c>
      <c r="S15" s="562">
        <f>SUM(C15:R15)</f>
        <v>51815.569337933892</v>
      </c>
      <c r="T15" s="66"/>
    </row>
    <row r="16" spans="1:20" s="382" customFormat="1">
      <c r="A16" s="634" t="s">
        <v>644</v>
      </c>
      <c r="B16" s="639"/>
      <c r="C16" s="531">
        <f>huishoudens!B9</f>
        <v>29294.543733595856</v>
      </c>
      <c r="D16" s="531">
        <f>huishoudens!C9</f>
        <v>6.1237000004898965</v>
      </c>
      <c r="E16" s="531">
        <f>huishoudens!D9</f>
        <v>64031.854981966098</v>
      </c>
      <c r="F16" s="531">
        <f>huishoudens!E9</f>
        <v>2039.7671455465404</v>
      </c>
      <c r="G16" s="531">
        <f>huishoudens!F9</f>
        <v>33144.882305543695</v>
      </c>
      <c r="H16" s="531" t="str">
        <f>huishoudens!G9</f>
        <v>NE</v>
      </c>
      <c r="I16" s="531" t="str">
        <f>huishoudens!H9</f>
        <v>NE</v>
      </c>
      <c r="J16" s="531" t="str">
        <f>huishoudens!I9</f>
        <v xml:space="preserve">NE </v>
      </c>
      <c r="K16" s="531">
        <f>huishoudens!J9</f>
        <v>265.70165042975702</v>
      </c>
      <c r="L16" s="531" t="str">
        <f>huishoudens!K9</f>
        <v>NE</v>
      </c>
      <c r="M16" s="531">
        <f>huishoudens!L9</f>
        <v>0</v>
      </c>
      <c r="N16" s="531">
        <f>huishoudens!M9</f>
        <v>0</v>
      </c>
      <c r="O16" s="531" t="str">
        <f>huishoudens!N9</f>
        <v>NE</v>
      </c>
      <c r="P16" s="531">
        <f>huishoudens!O9</f>
        <v>11023.890909548592</v>
      </c>
      <c r="Q16" s="531" t="str">
        <f>huishoudens!P9</f>
        <v>NE</v>
      </c>
      <c r="R16" s="869" t="str">
        <f>huishoudens!Q9</f>
        <v>NE</v>
      </c>
      <c r="S16" s="562">
        <f>SUM(C16:R16)</f>
        <v>139806.76442663104</v>
      </c>
      <c r="T16" s="66"/>
    </row>
    <row r="17" spans="1:20" s="382" customFormat="1">
      <c r="A17" s="634" t="s">
        <v>495</v>
      </c>
      <c r="B17" s="643" t="s">
        <v>493</v>
      </c>
      <c r="C17" s="531">
        <f>industrie!B19</f>
        <v>15670.412087804072</v>
      </c>
      <c r="D17" s="531">
        <f>industrie!C19</f>
        <v>0</v>
      </c>
      <c r="E17" s="531">
        <f>industrie!D19</f>
        <v>46853.690822399993</v>
      </c>
      <c r="F17" s="531">
        <f>industrie!E19</f>
        <v>66.582859224678856</v>
      </c>
      <c r="G17" s="531">
        <f>industrie!F19</f>
        <v>2051.3982355311036</v>
      </c>
      <c r="H17" s="531" t="str">
        <f>industrie!G19</f>
        <v>NE</v>
      </c>
      <c r="I17" s="531">
        <f>industrie!H19</f>
        <v>0</v>
      </c>
      <c r="J17" s="531" t="str">
        <f>industrie!I19</f>
        <v>NE</v>
      </c>
      <c r="K17" s="531">
        <f>industrie!J19</f>
        <v>11.941427296985621</v>
      </c>
      <c r="L17" s="531" t="str">
        <f>industrie!K19</f>
        <v>NE</v>
      </c>
      <c r="M17" s="531" t="str">
        <f>industrie!L19</f>
        <v>IE</v>
      </c>
      <c r="N17" s="531" t="str">
        <f>industrie!M19</f>
        <v>IE</v>
      </c>
      <c r="O17" s="531" t="str">
        <f>industrie!N19</f>
        <v>IE</v>
      </c>
      <c r="P17" s="531">
        <f>industrie!O19</f>
        <v>1118.2562007215192</v>
      </c>
      <c r="Q17" s="531" t="str">
        <f>industrie!P19</f>
        <v>NE</v>
      </c>
      <c r="R17" s="869" t="str">
        <f>industrie!Q19</f>
        <v>NE</v>
      </c>
      <c r="S17" s="562">
        <f>SUM(C17:R17)</f>
        <v>65772.281632978353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68944.734735897393</v>
      </c>
      <c r="D20" s="564">
        <f>SUM(D9,D13,D16,D17,D18,D19)</f>
        <v>69.080789750489899</v>
      </c>
      <c r="E20" s="564">
        <f t="shared" ref="E20:R20" si="5">SUM(E9,E13,E16,E17,E18,E19)</f>
        <v>141941.87658050159</v>
      </c>
      <c r="F20" s="564">
        <f t="shared" si="5"/>
        <v>2143.0551517575686</v>
      </c>
      <c r="G20" s="564">
        <f t="shared" si="5"/>
        <v>37657.759912778005</v>
      </c>
      <c r="H20" s="564">
        <f t="shared" si="5"/>
        <v>0</v>
      </c>
      <c r="I20" s="564">
        <f t="shared" si="5"/>
        <v>0.36252457948451594</v>
      </c>
      <c r="J20" s="564">
        <f t="shared" si="5"/>
        <v>0</v>
      </c>
      <c r="K20" s="564">
        <f t="shared" si="5"/>
        <v>277.66035084022201</v>
      </c>
      <c r="L20" s="564">
        <f t="shared" si="5"/>
        <v>0</v>
      </c>
      <c r="M20" s="564">
        <f t="shared" si="5"/>
        <v>0</v>
      </c>
      <c r="N20" s="564">
        <f t="shared" si="5"/>
        <v>0</v>
      </c>
      <c r="O20" s="564">
        <f t="shared" si="5"/>
        <v>0</v>
      </c>
      <c r="P20" s="564">
        <f t="shared" si="5"/>
        <v>12834.697646622513</v>
      </c>
      <c r="Q20" s="564">
        <f t="shared" si="5"/>
        <v>0</v>
      </c>
      <c r="R20" s="564">
        <f t="shared" si="5"/>
        <v>0</v>
      </c>
      <c r="S20" s="564">
        <f>SUM(C20:R20)</f>
        <v>263869.22769272723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8.2393044053106106</v>
      </c>
      <c r="F22" s="531">
        <f t="shared" si="6"/>
        <v>0</v>
      </c>
      <c r="G22" s="531">
        <f t="shared" si="6"/>
        <v>0</v>
      </c>
      <c r="H22" s="531">
        <f t="shared" si="6"/>
        <v>6.491940309282322</v>
      </c>
      <c r="I22" s="531">
        <f t="shared" si="6"/>
        <v>22.123694402537783</v>
      </c>
      <c r="J22" s="531">
        <f t="shared" si="6"/>
        <v>0</v>
      </c>
      <c r="K22" s="531">
        <f t="shared" si="6"/>
        <v>0</v>
      </c>
      <c r="L22" s="531">
        <f t="shared" si="6"/>
        <v>0</v>
      </c>
      <c r="M22" s="531">
        <f t="shared" si="6"/>
        <v>0</v>
      </c>
      <c r="N22" s="531">
        <f t="shared" si="6"/>
        <v>2.5557662990378738</v>
      </c>
      <c r="O22" s="531">
        <f t="shared" si="6"/>
        <v>0</v>
      </c>
      <c r="P22" s="531">
        <f t="shared" si="6"/>
        <v>0</v>
      </c>
      <c r="Q22" s="531">
        <f t="shared" si="6"/>
        <v>0</v>
      </c>
      <c r="R22" s="869">
        <f t="shared" si="6"/>
        <v>0</v>
      </c>
      <c r="S22" s="950">
        <f>SUM(C22:R22)</f>
        <v>39.410705416168582</v>
      </c>
      <c r="T22" s="66"/>
    </row>
    <row r="23" spans="1:20" s="382" customFormat="1">
      <c r="A23" s="870" t="s">
        <v>645</v>
      </c>
      <c r="B23" s="639"/>
      <c r="C23" s="531">
        <f>'Eigen vloot'!B27</f>
        <v>0</v>
      </c>
      <c r="D23" s="531" t="str">
        <f>'Eigen vloot'!C27</f>
        <v>NO</v>
      </c>
      <c r="E23" s="531">
        <f>'Eigen vloot'!D27</f>
        <v>8.2393044053106106</v>
      </c>
      <c r="F23" s="531">
        <f>'Eigen vloot'!E27</f>
        <v>0</v>
      </c>
      <c r="G23" s="531" t="str">
        <f>'Eigen vloot'!F27</f>
        <v>NO</v>
      </c>
      <c r="H23" s="531">
        <f>'Eigen vloot'!G27</f>
        <v>6.491940309282322</v>
      </c>
      <c r="I23" s="531">
        <f>'Eigen vloot'!H27</f>
        <v>22.123694402537783</v>
      </c>
      <c r="J23" s="531" t="str">
        <f>'Eigen vloot'!I27</f>
        <v>NO</v>
      </c>
      <c r="K23" s="531" t="str">
        <f>'Eigen vloot'!J27</f>
        <v>NO</v>
      </c>
      <c r="L23" s="531" t="str">
        <f>'Eigen vloot'!K27</f>
        <v>NO</v>
      </c>
      <c r="M23" s="531" t="str">
        <f>'Eigen vloot'!M27</f>
        <v>NO</v>
      </c>
      <c r="N23" s="531">
        <f>'Eigen vloot'!N27</f>
        <v>2.5557662990378738</v>
      </c>
      <c r="O23" s="531" t="str">
        <f>'Eigen vloot'!O27</f>
        <v>NO</v>
      </c>
      <c r="P23" s="531" t="str">
        <f>'Eigen vloot'!P27</f>
        <v>NO</v>
      </c>
      <c r="Q23" s="531" t="str">
        <f>'Eigen vloot'!Q27</f>
        <v>NO</v>
      </c>
      <c r="R23" s="869">
        <f>'Eigen vloot'!R27</f>
        <v>0</v>
      </c>
      <c r="S23" s="562">
        <f>SUM(C23:R23)</f>
        <v>39.410705416168582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24.743647577102799</v>
      </c>
      <c r="D25" s="531">
        <f t="shared" ref="D25:R25" si="7">SUM(D26:D29)</f>
        <v>0</v>
      </c>
      <c r="E25" s="531">
        <f t="shared" si="7"/>
        <v>0</v>
      </c>
      <c r="F25" s="531">
        <f t="shared" si="7"/>
        <v>0</v>
      </c>
      <c r="G25" s="531">
        <f t="shared" si="7"/>
        <v>0</v>
      </c>
      <c r="H25" s="531">
        <f t="shared" si="7"/>
        <v>993.95150075951608</v>
      </c>
      <c r="I25" s="531">
        <f t="shared" si="7"/>
        <v>0</v>
      </c>
      <c r="J25" s="531">
        <f t="shared" si="7"/>
        <v>0</v>
      </c>
      <c r="K25" s="531">
        <f t="shared" si="7"/>
        <v>0</v>
      </c>
      <c r="L25" s="531">
        <f t="shared" si="7"/>
        <v>0</v>
      </c>
      <c r="M25" s="531">
        <f t="shared" si="7"/>
        <v>0</v>
      </c>
      <c r="N25" s="531">
        <f t="shared" si="7"/>
        <v>0</v>
      </c>
      <c r="O25" s="531">
        <f t="shared" si="7"/>
        <v>118.99089653247835</v>
      </c>
      <c r="P25" s="531">
        <f t="shared" si="7"/>
        <v>0</v>
      </c>
      <c r="Q25" s="531">
        <f t="shared" si="7"/>
        <v>0</v>
      </c>
      <c r="R25" s="869">
        <f t="shared" si="7"/>
        <v>0</v>
      </c>
      <c r="S25" s="562">
        <f>SUM(C25:R25)</f>
        <v>1137.6860448690973</v>
      </c>
      <c r="T25" s="66"/>
    </row>
    <row r="26" spans="1:20" s="382" customFormat="1">
      <c r="A26" s="870" t="s">
        <v>645</v>
      </c>
      <c r="B26" s="867"/>
      <c r="C26" s="868">
        <f>transport!B51*10^9/3600</f>
        <v>24.743647577102799</v>
      </c>
      <c r="D26" s="868">
        <f>transport!C51*10^9/3600</f>
        <v>0</v>
      </c>
      <c r="E26" s="868">
        <f>transport!D51*10^9/3600</f>
        <v>0</v>
      </c>
      <c r="F26" s="868">
        <f>transport!E51*10^9/3600</f>
        <v>0</v>
      </c>
      <c r="G26" s="868">
        <f>transport!F51*10^9/3600</f>
        <v>0</v>
      </c>
      <c r="H26" s="868">
        <f>transport!G51*10^9/3600</f>
        <v>993.95150075951608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118.99089653247835</v>
      </c>
      <c r="P26" s="868">
        <f>transport!O51*10^9/3600</f>
        <v>0</v>
      </c>
      <c r="Q26" s="868">
        <f>transport!P51*10^9/3600</f>
        <v>0</v>
      </c>
      <c r="R26" s="868">
        <f>transport!Q51*10^9/3600</f>
        <v>0</v>
      </c>
      <c r="S26" s="562">
        <f>SUM(C26:R26)</f>
        <v>1137.6860448690973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1672.1524206248901</v>
      </c>
      <c r="D30" s="868">
        <f t="shared" ref="D30:R30" si="9">SUM(D31:D35)</f>
        <v>0</v>
      </c>
      <c r="E30" s="868">
        <f t="shared" si="9"/>
        <v>433.83448366729914</v>
      </c>
      <c r="F30" s="868">
        <f t="shared" si="9"/>
        <v>203.67073351806971</v>
      </c>
      <c r="G30" s="868">
        <f t="shared" si="9"/>
        <v>0</v>
      </c>
      <c r="H30" s="868">
        <f t="shared" si="9"/>
        <v>77257.812124099946</v>
      </c>
      <c r="I30" s="868">
        <f t="shared" si="9"/>
        <v>31448.803615711502</v>
      </c>
      <c r="J30" s="868">
        <f t="shared" si="9"/>
        <v>0</v>
      </c>
      <c r="K30" s="868">
        <f t="shared" si="9"/>
        <v>0</v>
      </c>
      <c r="L30" s="868">
        <f t="shared" si="9"/>
        <v>0</v>
      </c>
      <c r="M30" s="868">
        <f t="shared" si="9"/>
        <v>0</v>
      </c>
      <c r="N30" s="868">
        <f t="shared" si="9"/>
        <v>0</v>
      </c>
      <c r="O30" s="868">
        <f t="shared" si="9"/>
        <v>11777.172903744708</v>
      </c>
      <c r="P30" s="868">
        <f t="shared" si="9"/>
        <v>0</v>
      </c>
      <c r="Q30" s="868">
        <f t="shared" si="9"/>
        <v>0</v>
      </c>
      <c r="R30" s="869">
        <f t="shared" si="9"/>
        <v>0</v>
      </c>
      <c r="S30" s="562">
        <f>SUM(C30:R30)</f>
        <v>122793.44628136641</v>
      </c>
      <c r="T30" s="66"/>
    </row>
    <row r="31" spans="1:20" s="382" customFormat="1">
      <c r="A31" s="870" t="s">
        <v>645</v>
      </c>
      <c r="B31" s="639"/>
      <c r="C31" s="531">
        <f>transport!B14</f>
        <v>1672.1524206248901</v>
      </c>
      <c r="D31" s="531" t="str">
        <f>transport!C14</f>
        <v>NO</v>
      </c>
      <c r="E31" s="531">
        <f>transport!D14</f>
        <v>433.83448366729914</v>
      </c>
      <c r="F31" s="531">
        <f>transport!E14</f>
        <v>203.67073351806971</v>
      </c>
      <c r="G31" s="531" t="str">
        <f>transport!F14</f>
        <v>NO</v>
      </c>
      <c r="H31" s="531">
        <f>transport!G14</f>
        <v>77257.812124099946</v>
      </c>
      <c r="I31" s="531">
        <f>transport!H14</f>
        <v>31448.803615711502</v>
      </c>
      <c r="J31" s="531" t="str">
        <f>transport!I14</f>
        <v>NO</v>
      </c>
      <c r="K31" s="531" t="str">
        <f>transport!J14</f>
        <v>NO</v>
      </c>
      <c r="L31" s="531" t="str">
        <f>transport!K14</f>
        <v>NO</v>
      </c>
      <c r="M31" s="531" t="str">
        <f>transport!L14</f>
        <v>NO</v>
      </c>
      <c r="N31" s="531" t="str">
        <f>transport!M14</f>
        <v>NO</v>
      </c>
      <c r="O31" s="531">
        <f>transport!N14</f>
        <v>11777.172903744708</v>
      </c>
      <c r="P31" s="531" t="str">
        <f>transport!O14</f>
        <v>NO</v>
      </c>
      <c r="Q31" s="531" t="str">
        <f>transport!P14</f>
        <v>NO</v>
      </c>
      <c r="R31" s="869" t="str">
        <f>transport!Q14</f>
        <v>NO</v>
      </c>
      <c r="S31" s="562">
        <f>SUM(C31:R31)</f>
        <v>122793.44628136641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1696.8960682019929</v>
      </c>
      <c r="D37" s="637">
        <f t="shared" ref="D37:R37" si="10">SUM(D22,D25,D30,D36)</f>
        <v>0</v>
      </c>
      <c r="E37" s="637">
        <f t="shared" si="10"/>
        <v>442.07378807260977</v>
      </c>
      <c r="F37" s="637">
        <f t="shared" si="10"/>
        <v>203.67073351806971</v>
      </c>
      <c r="G37" s="637">
        <f t="shared" si="10"/>
        <v>0</v>
      </c>
      <c r="H37" s="637">
        <f t="shared" si="10"/>
        <v>78258.255565168743</v>
      </c>
      <c r="I37" s="637">
        <f t="shared" si="10"/>
        <v>31470.927310114039</v>
      </c>
      <c r="J37" s="637">
        <f t="shared" si="10"/>
        <v>0</v>
      </c>
      <c r="K37" s="637">
        <f t="shared" si="10"/>
        <v>0</v>
      </c>
      <c r="L37" s="637">
        <f t="shared" si="10"/>
        <v>0</v>
      </c>
      <c r="M37" s="637">
        <f t="shared" si="10"/>
        <v>0</v>
      </c>
      <c r="N37" s="637">
        <f t="shared" si="10"/>
        <v>2.5557662990378738</v>
      </c>
      <c r="O37" s="637">
        <f t="shared" si="10"/>
        <v>11896.163800277185</v>
      </c>
      <c r="P37" s="637">
        <f t="shared" si="10"/>
        <v>0</v>
      </c>
      <c r="Q37" s="637">
        <f t="shared" si="10"/>
        <v>0</v>
      </c>
      <c r="R37" s="637">
        <f t="shared" si="10"/>
        <v>0</v>
      </c>
      <c r="S37" s="637">
        <f>SUM(C37:R37)</f>
        <v>123970.54303165167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3380.6436299425</v>
      </c>
      <c r="D39" s="531">
        <f>+landbouw!C9</f>
        <v>347.74371569336461</v>
      </c>
      <c r="E39" s="531">
        <f>+landbouw!D9</f>
        <v>577.82267465999996</v>
      </c>
      <c r="F39" s="531">
        <f>+landbouw!E9</f>
        <v>121.99895813257059</v>
      </c>
      <c r="G39" s="531">
        <f>+landbouw!F9</f>
        <v>12350.524070026031</v>
      </c>
      <c r="H39" s="531" t="str">
        <f>+landbouw!G9</f>
        <v>NE</v>
      </c>
      <c r="I39" s="531" t="str">
        <f>+landbouw!H9</f>
        <v>NE</v>
      </c>
      <c r="J39" s="531" t="str">
        <f>+landbouw!I9</f>
        <v>NE</v>
      </c>
      <c r="K39" s="531">
        <f>+landbouw!J9</f>
        <v>392.79866388132473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17171.531712335789</v>
      </c>
      <c r="T39" s="66"/>
    </row>
    <row r="40" spans="1:20" s="382" customFormat="1" ht="15" thickBot="1">
      <c r="A40" s="654" t="s">
        <v>537</v>
      </c>
      <c r="B40" s="748"/>
      <c r="C40" s="749">
        <f>IF(Onbekend_ele_kWh="---",0,Onbekend_ele_kWh)/1000+IF(REST_rest_ele_kWh="---",0,REST_rest_ele_kWh)/1000</f>
        <v>890.98391000000004</v>
      </c>
      <c r="D40" s="749" t="s">
        <v>637</v>
      </c>
      <c r="E40" s="749">
        <f>IF(onbekend_gas_kWh="---",0,onbekend_gas_kWh)/1000+IF(REST_rest_gas_kWh="---",0,REST_rest_gas_kWh)/1000</f>
        <v>918.29561000000001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1809.27952</v>
      </c>
      <c r="T40" s="66"/>
    </row>
    <row r="41" spans="1:20" s="382" customFormat="1" ht="15.75" thickBot="1">
      <c r="A41" s="537" t="s">
        <v>538</v>
      </c>
      <c r="B41" s="642"/>
      <c r="C41" s="637">
        <f>SUM(C39:C40)</f>
        <v>4271.6275399425003</v>
      </c>
      <c r="D41" s="637">
        <f t="shared" ref="D41:R41" si="11">SUM(D39:D40)</f>
        <v>347.74371569336461</v>
      </c>
      <c r="E41" s="637">
        <f t="shared" si="11"/>
        <v>1496.11828466</v>
      </c>
      <c r="F41" s="637">
        <f t="shared" si="11"/>
        <v>121.99895813257059</v>
      </c>
      <c r="G41" s="637">
        <f t="shared" si="11"/>
        <v>12350.524070026031</v>
      </c>
      <c r="H41" s="637">
        <f t="shared" si="11"/>
        <v>0</v>
      </c>
      <c r="I41" s="637">
        <f t="shared" si="11"/>
        <v>0</v>
      </c>
      <c r="J41" s="637">
        <f t="shared" si="11"/>
        <v>0</v>
      </c>
      <c r="K41" s="637">
        <f t="shared" si="11"/>
        <v>392.79866388132473</v>
      </c>
      <c r="L41" s="637">
        <f t="shared" si="11"/>
        <v>0</v>
      </c>
      <c r="M41" s="637">
        <f t="shared" si="11"/>
        <v>0</v>
      </c>
      <c r="N41" s="637">
        <f t="shared" si="11"/>
        <v>0</v>
      </c>
      <c r="O41" s="637">
        <f t="shared" si="11"/>
        <v>0</v>
      </c>
      <c r="P41" s="637">
        <f t="shared" si="11"/>
        <v>0</v>
      </c>
      <c r="Q41" s="637">
        <f t="shared" si="11"/>
        <v>0</v>
      </c>
      <c r="R41" s="637">
        <f t="shared" si="11"/>
        <v>0</v>
      </c>
      <c r="S41" s="637">
        <f>SUM(C41:R41)</f>
        <v>18980.811232335789</v>
      </c>
      <c r="T41" s="66"/>
    </row>
    <row r="42" spans="1:20" s="382" customFormat="1" ht="17.25" thickTop="1" thickBot="1">
      <c r="A42" s="538" t="s">
        <v>96</v>
      </c>
      <c r="B42" s="630"/>
      <c r="C42" s="539">
        <f t="shared" ref="C42:S42" si="12">C37+C20+C41</f>
        <v>74913.258344041897</v>
      </c>
      <c r="D42" s="539">
        <f t="shared" si="12"/>
        <v>416.82450544385449</v>
      </c>
      <c r="E42" s="539">
        <f t="shared" si="12"/>
        <v>143880.06865323422</v>
      </c>
      <c r="F42" s="539">
        <f t="shared" si="12"/>
        <v>2468.7248434082094</v>
      </c>
      <c r="G42" s="539">
        <f t="shared" si="12"/>
        <v>50008.283982804038</v>
      </c>
      <c r="H42" s="539">
        <f t="shared" si="12"/>
        <v>78258.255565168743</v>
      </c>
      <c r="I42" s="539">
        <f t="shared" si="12"/>
        <v>31471.289834693522</v>
      </c>
      <c r="J42" s="539">
        <f t="shared" si="12"/>
        <v>0</v>
      </c>
      <c r="K42" s="539">
        <f t="shared" si="12"/>
        <v>670.45901472154674</v>
      </c>
      <c r="L42" s="539">
        <f t="shared" si="12"/>
        <v>0</v>
      </c>
      <c r="M42" s="539">
        <f t="shared" si="12"/>
        <v>0</v>
      </c>
      <c r="N42" s="539">
        <f t="shared" si="12"/>
        <v>2.5557662990378738</v>
      </c>
      <c r="O42" s="539">
        <f t="shared" si="12"/>
        <v>11896.163800277185</v>
      </c>
      <c r="P42" s="539">
        <f t="shared" si="12"/>
        <v>12834.697646622513</v>
      </c>
      <c r="Q42" s="539">
        <f t="shared" si="12"/>
        <v>0</v>
      </c>
      <c r="R42" s="539">
        <f t="shared" si="12"/>
        <v>0</v>
      </c>
      <c r="S42" s="539">
        <f t="shared" si="12"/>
        <v>406820.58195671468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464.70544895431942</v>
      </c>
      <c r="D55" s="531">
        <f t="shared" ref="D55:R55" si="13">SUM(D56:D58)</f>
        <v>0.77701515085422368</v>
      </c>
      <c r="E55" s="531">
        <f t="shared" si="13"/>
        <v>752.21168889108924</v>
      </c>
      <c r="F55" s="531">
        <f t="shared" si="13"/>
        <v>0</v>
      </c>
      <c r="G55" s="531">
        <f t="shared" si="13"/>
        <v>1.6145143568036984</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1219.3086673530665</v>
      </c>
    </row>
    <row r="56" spans="1:19">
      <c r="A56" s="899" t="s">
        <v>197</v>
      </c>
      <c r="B56" s="652"/>
      <c r="C56" s="531">
        <f>'Eigen gebouwen'!B10</f>
        <v>323.00534669599494</v>
      </c>
      <c r="D56" s="531">
        <f>'Eigen gebouwen'!C10</f>
        <v>0.77701515085422368</v>
      </c>
      <c r="E56" s="531">
        <f>'Eigen gebouwen'!D10</f>
        <v>752.21168889108924</v>
      </c>
      <c r="F56" s="531">
        <f>'Eigen gebouwen'!E10</f>
        <v>0</v>
      </c>
      <c r="G56" s="531">
        <f>'Eigen gebouwen'!F10</f>
        <v>1.6145143568036984</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1077.6085650947421</v>
      </c>
    </row>
    <row r="57" spans="1:19">
      <c r="A57" s="900" t="s">
        <v>410</v>
      </c>
      <c r="B57" s="652"/>
      <c r="C57" s="531">
        <f>'Eigen openbare verlichting'!B10</f>
        <v>141.70010225832448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141.70010225832448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3690.5572113415537</v>
      </c>
      <c r="D59" s="868">
        <f t="shared" ref="D59:R59" si="15">SUM(D60:D61)</f>
        <v>0</v>
      </c>
      <c r="E59" s="868">
        <f t="shared" si="15"/>
        <v>5521.1671278882823</v>
      </c>
      <c r="F59" s="868">
        <f t="shared" si="15"/>
        <v>8.3320683659013373</v>
      </c>
      <c r="G59" s="868">
        <f t="shared" si="15"/>
        <v>655.60047788795202</v>
      </c>
      <c r="H59" s="868">
        <f t="shared" si="15"/>
        <v>0</v>
      </c>
      <c r="I59" s="868">
        <f t="shared" si="15"/>
        <v>9.0268620291644466E-2</v>
      </c>
      <c r="J59" s="868">
        <f t="shared" si="15"/>
        <v>0</v>
      </c>
      <c r="K59" s="868">
        <f t="shared" si="15"/>
        <v>6.1146821716845465E-3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9875.7532687861549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3690.5572113415537</v>
      </c>
      <c r="D61" s="531">
        <f>tertiair!C21</f>
        <v>0</v>
      </c>
      <c r="E61" s="531">
        <f>tertiair!D21</f>
        <v>5521.1671278882823</v>
      </c>
      <c r="F61" s="531">
        <f>tertiair!E21</f>
        <v>8.3320683659013373</v>
      </c>
      <c r="G61" s="531">
        <f>tertiair!F21</f>
        <v>655.60047788795202</v>
      </c>
      <c r="H61" s="531" t="str">
        <f>tertiair!G21</f>
        <v>NE</v>
      </c>
      <c r="I61" s="531">
        <f>tertiair!H21</f>
        <v>9.0268620291644466E-2</v>
      </c>
      <c r="J61" s="531" t="str">
        <f>tertiair!I21</f>
        <v>NE</v>
      </c>
      <c r="K61" s="531">
        <f>tertiair!J21</f>
        <v>6.1146821716845465E-3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9875.7532687861549</v>
      </c>
    </row>
    <row r="62" spans="1:19" ht="14.45" customHeight="1">
      <c r="A62" s="647" t="s">
        <v>644</v>
      </c>
      <c r="B62" s="652"/>
      <c r="C62" s="531">
        <f>huishoudens!B13</f>
        <v>5076.2154297020252</v>
      </c>
      <c r="D62" s="531">
        <f>huishoudens!C13</f>
        <v>7.5578583739517063E-2</v>
      </c>
      <c r="E62" s="531">
        <f>huishoudens!D13</f>
        <v>12934.434706357153</v>
      </c>
      <c r="F62" s="531">
        <f>huishoudens!E13</f>
        <v>463.0271420390647</v>
      </c>
      <c r="G62" s="531">
        <f>huishoudens!F13</f>
        <v>8849.6835755801676</v>
      </c>
      <c r="H62" s="531" t="str">
        <f>huishoudens!G13</f>
        <v>NE</v>
      </c>
      <c r="I62" s="531" t="str">
        <f>huishoudens!H13</f>
        <v>NE</v>
      </c>
      <c r="J62" s="531" t="str">
        <f>huishoudens!I13</f>
        <v>NE</v>
      </c>
      <c r="K62" s="531">
        <f>huishoudens!J13</f>
        <v>94.058384252133976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27417.494816514281</v>
      </c>
    </row>
    <row r="63" spans="1:19">
      <c r="A63" s="647" t="s">
        <v>496</v>
      </c>
      <c r="B63" s="660" t="s">
        <v>493</v>
      </c>
      <c r="C63" s="531">
        <f>industrie!B23</f>
        <v>2715.3994393390735</v>
      </c>
      <c r="D63" s="531">
        <f>industrie!C23</f>
        <v>0</v>
      </c>
      <c r="E63" s="531">
        <f>industrie!D23</f>
        <v>9464.4455461247999</v>
      </c>
      <c r="F63" s="531">
        <f>industrie!E23</f>
        <v>15.1143090440021</v>
      </c>
      <c r="G63" s="531">
        <f>industrie!F23</f>
        <v>547.72332888680467</v>
      </c>
      <c r="H63" s="531" t="str">
        <f>industrie!G23</f>
        <v>NE</v>
      </c>
      <c r="I63" s="531">
        <f>industrie!H23</f>
        <v>0</v>
      </c>
      <c r="J63" s="531" t="str">
        <f>industrie!I23</f>
        <v>NE</v>
      </c>
      <c r="K63" s="531">
        <f>industrie!J23</f>
        <v>4.2272652631329093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12746.909888657812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11946.877529336971</v>
      </c>
      <c r="D66" s="564">
        <f t="shared" ref="D66:E66" si="17">SUM(D55,D59,D62,D63,D64,D65)</f>
        <v>0.85259373459374077</v>
      </c>
      <c r="E66" s="564">
        <f t="shared" si="17"/>
        <v>28672.259069261323</v>
      </c>
      <c r="F66" s="564">
        <f t="shared" ref="F66" si="18">SUM(F55,F59,F62,F63,F64,F65)</f>
        <v>486.47351944896815</v>
      </c>
      <c r="G66" s="564">
        <f t="shared" ref="G66" si="19">SUM(G55,G59,G62,G63,G64,G65)</f>
        <v>10054.621896711727</v>
      </c>
      <c r="H66" s="564">
        <f t="shared" ref="H66" si="20">SUM(H55,H59,H62,H63,H64,H65)</f>
        <v>0</v>
      </c>
      <c r="I66" s="564">
        <f t="shared" ref="I66" si="21">SUM(I55,I59,I62,I63,I64,I65)</f>
        <v>9.0268620291644466E-2</v>
      </c>
      <c r="J66" s="564">
        <f t="shared" ref="J66" si="22">SUM(J55,J59,J62,J63,J64,J65)</f>
        <v>0</v>
      </c>
      <c r="K66" s="564">
        <f t="shared" ref="K66" si="23">SUM(K55,K59,K62,K63,K64,K65)</f>
        <v>98.291764197438567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51259.466641311308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1.6643394898727435</v>
      </c>
      <c r="F68" s="531">
        <f t="shared" si="31"/>
        <v>0</v>
      </c>
      <c r="G68" s="531">
        <f t="shared" si="31"/>
        <v>0</v>
      </c>
      <c r="H68" s="531">
        <f t="shared" si="31"/>
        <v>1.7333480625783801</v>
      </c>
      <c r="I68" s="531">
        <f t="shared" si="31"/>
        <v>5.508799906231908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8.9064874586830314</v>
      </c>
    </row>
    <row r="69" spans="1:19">
      <c r="A69" s="900" t="s">
        <v>645</v>
      </c>
      <c r="B69" s="652"/>
      <c r="C69" s="531">
        <f>'Eigen vloot'!B31</f>
        <v>0</v>
      </c>
      <c r="D69" s="531" t="str">
        <f>'Eigen vloot'!C31</f>
        <v>NO</v>
      </c>
      <c r="E69" s="531">
        <f>'Eigen vloot'!D31</f>
        <v>1.6643394898727435</v>
      </c>
      <c r="F69" s="531">
        <f>'Eigen vloot'!E31</f>
        <v>0</v>
      </c>
      <c r="G69" s="531" t="str">
        <f>'Eigen vloot'!F31</f>
        <v>NO</v>
      </c>
      <c r="H69" s="531">
        <f>'Eigen vloot'!G31</f>
        <v>1.7333480625783801</v>
      </c>
      <c r="I69" s="531">
        <f>'Eigen vloot'!H31</f>
        <v>5.508799906231908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8.9064874586830314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4.2876273056252394</v>
      </c>
      <c r="D71" s="531">
        <f t="shared" ref="D71:R71" si="32">SUM(D72:D75)</f>
        <v>0</v>
      </c>
      <c r="E71" s="531">
        <f t="shared" si="32"/>
        <v>0</v>
      </c>
      <c r="F71" s="531">
        <f t="shared" si="32"/>
        <v>0</v>
      </c>
      <c r="G71" s="531">
        <f t="shared" si="32"/>
        <v>0</v>
      </c>
      <c r="H71" s="531">
        <f t="shared" si="32"/>
        <v>265.38505070279081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269.67267800841603</v>
      </c>
    </row>
    <row r="72" spans="1:19">
      <c r="A72" s="904" t="s">
        <v>645</v>
      </c>
      <c r="B72" s="903"/>
      <c r="C72" s="876">
        <f>transport!B51*transport!B56*10^9/3600</f>
        <v>4.2876273056252394</v>
      </c>
      <c r="D72" s="876">
        <f>transport!C51*transport!C56*10^9/3600</f>
        <v>0</v>
      </c>
      <c r="E72" s="876">
        <f>transport!D51*transport!D56*10^9/3600</f>
        <v>0</v>
      </c>
      <c r="F72" s="876">
        <f>transport!E51*transport!E56*10^9/3600</f>
        <v>0</v>
      </c>
      <c r="G72" s="876">
        <f>transport!F51*transport!F56*10^9/3600</f>
        <v>0</v>
      </c>
      <c r="H72" s="876">
        <f>transport!G51*transport!G56*10^9/3600</f>
        <v>265.38505070279081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269.67267800841603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289.75381885382052</v>
      </c>
      <c r="D76" s="876">
        <f t="shared" ref="D76:R76" si="34">SUM(D77:D81)</f>
        <v>0</v>
      </c>
      <c r="E76" s="876">
        <f t="shared" si="34"/>
        <v>87.634565700794425</v>
      </c>
      <c r="F76" s="876">
        <f t="shared" si="34"/>
        <v>46.233256508601826</v>
      </c>
      <c r="G76" s="876">
        <f t="shared" si="34"/>
        <v>0</v>
      </c>
      <c r="H76" s="876">
        <f t="shared" si="34"/>
        <v>20627.835837134688</v>
      </c>
      <c r="I76" s="876">
        <f t="shared" si="34"/>
        <v>7830.7521003121637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28882.209578510068</v>
      </c>
    </row>
    <row r="77" spans="1:19">
      <c r="A77" s="905" t="s">
        <v>645</v>
      </c>
      <c r="B77" s="658"/>
      <c r="C77" s="536">
        <f>transport!B18</f>
        <v>289.75381885382052</v>
      </c>
      <c r="D77" s="536" t="str">
        <f>transport!C18</f>
        <v>NO</v>
      </c>
      <c r="E77" s="536">
        <f>transport!D18</f>
        <v>87.634565700794425</v>
      </c>
      <c r="F77" s="536">
        <f>transport!E18</f>
        <v>46.233256508601826</v>
      </c>
      <c r="G77" s="536" t="str">
        <f>transport!F18</f>
        <v>NO</v>
      </c>
      <c r="H77" s="536">
        <f>transport!G18</f>
        <v>20627.835837134688</v>
      </c>
      <c r="I77" s="536">
        <f>transport!H18</f>
        <v>7830.7521003121637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28882.209578510068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294.04144615944574</v>
      </c>
      <c r="D83" s="564">
        <f t="shared" ref="D83:R83" si="35">SUM(D68,D71,D76,D82)</f>
        <v>0</v>
      </c>
      <c r="E83" s="564">
        <f t="shared" si="35"/>
        <v>89.29890519066717</v>
      </c>
      <c r="F83" s="564">
        <f t="shared" si="35"/>
        <v>46.233256508601826</v>
      </c>
      <c r="G83" s="564">
        <f t="shared" si="35"/>
        <v>0</v>
      </c>
      <c r="H83" s="564">
        <f t="shared" si="35"/>
        <v>20894.954235900055</v>
      </c>
      <c r="I83" s="564">
        <f t="shared" si="35"/>
        <v>7836.2609002183954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29160.788743977166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585.80449358415433</v>
      </c>
      <c r="D85" s="536">
        <f>+landbouw!C13</f>
        <v>4.2918460300666608</v>
      </c>
      <c r="E85" s="536">
        <f>+landbouw!D13</f>
        <v>116.72018028132</v>
      </c>
      <c r="F85" s="536">
        <f>+landbouw!E13</f>
        <v>27.693763496093524</v>
      </c>
      <c r="G85" s="536">
        <f>+landbouw!F13</f>
        <v>3297.5899266969504</v>
      </c>
      <c r="H85" s="536" t="str">
        <f>+landbouw!G13</f>
        <v>NE</v>
      </c>
      <c r="I85" s="536" t="str">
        <f>+landbouw!H13</f>
        <v>NE</v>
      </c>
      <c r="J85" s="536" t="str">
        <f>+landbouw!I13</f>
        <v>NE</v>
      </c>
      <c r="K85" s="536">
        <f>+landbouw!J13</f>
        <v>139.05072701398893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4171.1509371025741</v>
      </c>
    </row>
    <row r="86" spans="1:20" ht="15" thickBot="1">
      <c r="A86" s="650" t="s">
        <v>537</v>
      </c>
      <c r="B86" s="658"/>
      <c r="C86" s="536">
        <f>C40*'EF ele_warmte'!B13</f>
        <v>154.3914222624102</v>
      </c>
      <c r="D86" s="536" t="s">
        <v>637</v>
      </c>
      <c r="E86" s="536">
        <f>E40*EF_CO2_aardgas</f>
        <v>185.49571322000003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339.88713548241026</v>
      </c>
    </row>
    <row r="87" spans="1:20" ht="15.75" thickBot="1">
      <c r="A87" s="648" t="s">
        <v>538</v>
      </c>
      <c r="B87" s="659"/>
      <c r="C87" s="564">
        <f>SUM(C85:C86)</f>
        <v>740.1959158465645</v>
      </c>
      <c r="D87" s="564">
        <f t="shared" ref="D87:R87" si="36">SUM(D85:D86)</f>
        <v>4.2918460300666608</v>
      </c>
      <c r="E87" s="564">
        <f t="shared" si="36"/>
        <v>302.21589350132001</v>
      </c>
      <c r="F87" s="564">
        <f t="shared" si="36"/>
        <v>27.693763496093524</v>
      </c>
      <c r="G87" s="564">
        <f t="shared" si="36"/>
        <v>3297.5899266969504</v>
      </c>
      <c r="H87" s="564">
        <f t="shared" si="36"/>
        <v>0</v>
      </c>
      <c r="I87" s="564">
        <f t="shared" si="36"/>
        <v>0</v>
      </c>
      <c r="J87" s="564">
        <f t="shared" si="36"/>
        <v>0</v>
      </c>
      <c r="K87" s="564">
        <f t="shared" si="36"/>
        <v>139.05072701398893</v>
      </c>
      <c r="L87" s="564">
        <f t="shared" si="36"/>
        <v>0</v>
      </c>
      <c r="M87" s="564">
        <f t="shared" si="36"/>
        <v>0</v>
      </c>
      <c r="N87" s="564">
        <f t="shared" si="36"/>
        <v>0</v>
      </c>
      <c r="O87" s="564">
        <f t="shared" si="36"/>
        <v>0</v>
      </c>
      <c r="P87" s="564">
        <f t="shared" si="36"/>
        <v>0</v>
      </c>
      <c r="Q87" s="564">
        <f t="shared" si="36"/>
        <v>0</v>
      </c>
      <c r="R87" s="565">
        <f t="shared" si="36"/>
        <v>0</v>
      </c>
      <c r="S87" s="566">
        <f>SUM(S85:S86)</f>
        <v>4511.0380725849845</v>
      </c>
    </row>
    <row r="88" spans="1:20" ht="16.5" thickBot="1">
      <c r="A88" s="661" t="s">
        <v>96</v>
      </c>
      <c r="B88" s="662"/>
      <c r="C88" s="569">
        <f t="shared" ref="C88:S88" si="37">C66+C83+C87</f>
        <v>12981.114891342982</v>
      </c>
      <c r="D88" s="569">
        <f t="shared" si="37"/>
        <v>5.1444397646604019</v>
      </c>
      <c r="E88" s="569">
        <f t="shared" si="37"/>
        <v>29063.77386795331</v>
      </c>
      <c r="F88" s="569">
        <f t="shared" si="37"/>
        <v>560.40053945366355</v>
      </c>
      <c r="G88" s="569">
        <f t="shared" si="37"/>
        <v>13352.211823408677</v>
      </c>
      <c r="H88" s="569">
        <f t="shared" si="37"/>
        <v>20894.954235900055</v>
      </c>
      <c r="I88" s="569">
        <f t="shared" si="37"/>
        <v>7836.351168838687</v>
      </c>
      <c r="J88" s="569">
        <f t="shared" si="37"/>
        <v>0</v>
      </c>
      <c r="K88" s="569">
        <f t="shared" si="37"/>
        <v>237.3424912114275</v>
      </c>
      <c r="L88" s="569">
        <f t="shared" si="37"/>
        <v>0</v>
      </c>
      <c r="M88" s="569">
        <f t="shared" si="37"/>
        <v>0</v>
      </c>
      <c r="N88" s="569">
        <f t="shared" si="37"/>
        <v>0</v>
      </c>
      <c r="O88" s="569">
        <f t="shared" si="37"/>
        <v>0</v>
      </c>
      <c r="P88" s="569">
        <f t="shared" si="37"/>
        <v>0</v>
      </c>
      <c r="Q88" s="569">
        <f t="shared" si="37"/>
        <v>0</v>
      </c>
      <c r="R88" s="569">
        <f t="shared" si="37"/>
        <v>0</v>
      </c>
      <c r="S88" s="569">
        <f t="shared" si="37"/>
        <v>84931.293457873457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0.17328194205259015</v>
      </c>
      <c r="D90" s="613">
        <f t="shared" si="38"/>
        <v>1.2341980131859951E-2</v>
      </c>
      <c r="E90" s="758">
        <f t="shared" si="38"/>
        <v>0.20199999999999999</v>
      </c>
      <c r="F90" s="613">
        <f t="shared" si="38"/>
        <v>0.22700000000000001</v>
      </c>
      <c r="G90" s="613">
        <f t="shared" si="38"/>
        <v>0.26699999999999996</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16067.591910392934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107.47670409513518</v>
      </c>
      <c r="C103" s="582">
        <f>'lokale energieproductie'!B8*IFERROR(SUM(D103:F103,I103)/SUM(D103:F103,I103:L103),0)</f>
        <v>7.5317739140655275</v>
      </c>
      <c r="D103" s="754">
        <f>'lokale energieproductie'!C8</f>
        <v>8.1162532009729826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115.81709084670457</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1.6394831465965427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16175.068614488069</v>
      </c>
      <c r="C105" s="587">
        <f>SUM(C99:C104)</f>
        <v>7.5317739140655275</v>
      </c>
      <c r="D105" s="588">
        <f t="shared" ref="D105:N105" si="39">SUM(D103:D104)</f>
        <v>8.1162532009729826</v>
      </c>
      <c r="E105" s="588">
        <f t="shared" si="39"/>
        <v>0</v>
      </c>
      <c r="F105" s="588">
        <f t="shared" si="39"/>
        <v>0</v>
      </c>
      <c r="G105" s="588">
        <f t="shared" si="39"/>
        <v>0</v>
      </c>
      <c r="H105" s="588">
        <f t="shared" si="39"/>
        <v>0</v>
      </c>
      <c r="I105" s="588">
        <f t="shared" si="39"/>
        <v>0</v>
      </c>
      <c r="J105" s="588">
        <f t="shared" si="39"/>
        <v>0</v>
      </c>
      <c r="K105" s="588">
        <f t="shared" si="39"/>
        <v>0</v>
      </c>
      <c r="L105" s="588">
        <f t="shared" si="39"/>
        <v>115.81709084670457</v>
      </c>
      <c r="M105" s="588">
        <f t="shared" si="39"/>
        <v>0</v>
      </c>
      <c r="N105" s="588">
        <f t="shared" si="39"/>
        <v>0</v>
      </c>
      <c r="O105" s="589">
        <f>SUM(O103:O104)</f>
        <v>1.6394831465965427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337.2449612973769</v>
      </c>
      <c r="C114" s="600">
        <f>'lokale energieproductie'!B17*IFERROR(SUM(D114:F114,I114)/SUM(D114:F114,I114:L114),0)</f>
        <v>23.633519687217454</v>
      </c>
      <c r="D114" s="610">
        <f>'lokale energieproductie'!C17</f>
        <v>25.467523587427724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363.41578064766526</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5.144439764660401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337.2449612973769</v>
      </c>
      <c r="C117" s="587">
        <f>SUM(C114:C116)</f>
        <v>23.633519687217454</v>
      </c>
      <c r="D117" s="587">
        <f t="shared" ref="D117:N117" si="40">SUM(D114:D116)</f>
        <v>25.467523587427724</v>
      </c>
      <c r="E117" s="587">
        <f t="shared" si="40"/>
        <v>0</v>
      </c>
      <c r="F117" s="587">
        <f t="shared" si="40"/>
        <v>0</v>
      </c>
      <c r="G117" s="587">
        <f t="shared" si="40"/>
        <v>0</v>
      </c>
      <c r="H117" s="587">
        <f t="shared" si="40"/>
        <v>0</v>
      </c>
      <c r="I117" s="587">
        <f t="shared" si="40"/>
        <v>0</v>
      </c>
      <c r="J117" s="587">
        <f t="shared" si="40"/>
        <v>0</v>
      </c>
      <c r="K117" s="587">
        <f t="shared" si="40"/>
        <v>0</v>
      </c>
      <c r="L117" s="587">
        <f t="shared" si="40"/>
        <v>363.41578064766526</v>
      </c>
      <c r="M117" s="587">
        <f t="shared" si="40"/>
        <v>0</v>
      </c>
      <c r="N117" s="587">
        <f t="shared" si="40"/>
        <v>0</v>
      </c>
      <c r="O117" s="587">
        <f>SUM(O114:O116)</f>
        <v>5.144439764660401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29294.543733595856</v>
      </c>
      <c r="C4" s="955">
        <f>huishoudens!C9</f>
        <v>6.1237000004898965</v>
      </c>
      <c r="D4" s="955">
        <f>huishoudens!D9</f>
        <v>64031.854981966098</v>
      </c>
      <c r="E4" s="955">
        <f>huishoudens!E9</f>
        <v>2039.7671455465404</v>
      </c>
      <c r="F4" s="955">
        <f>huishoudens!F9</f>
        <v>33144.882305543695</v>
      </c>
      <c r="G4" s="955" t="str">
        <f>huishoudens!G9</f>
        <v>NE</v>
      </c>
      <c r="H4" s="955" t="str">
        <f>huishoudens!H9</f>
        <v>NE</v>
      </c>
      <c r="I4" s="955" t="str">
        <f>huishoudens!I9</f>
        <v xml:space="preserve">NE </v>
      </c>
      <c r="J4" s="955">
        <f>huishoudens!J9</f>
        <v>265.70165042975702</v>
      </c>
      <c r="K4" s="955" t="str">
        <f>huishoudens!K9</f>
        <v>NE</v>
      </c>
      <c r="L4" s="955">
        <f>huishoudens!L9</f>
        <v>0</v>
      </c>
      <c r="M4" s="955">
        <f>huishoudens!M9</f>
        <v>0</v>
      </c>
      <c r="N4" s="955" t="str">
        <f>huishoudens!N9</f>
        <v>NE</v>
      </c>
      <c r="O4" s="955">
        <f>huishoudens!O9</f>
        <v>11023.890909548592</v>
      </c>
      <c r="P4" s="955" t="str">
        <f>huishoudens!P9</f>
        <v>NE</v>
      </c>
      <c r="Q4" s="956" t="str">
        <f>huishoudens!Q9</f>
        <v>NE</v>
      </c>
      <c r="R4" s="957">
        <f>SUM(B4:Q4)</f>
        <v>139806.76442663104</v>
      </c>
    </row>
    <row r="5" spans="1:18">
      <c r="A5" s="385" t="s">
        <v>136</v>
      </c>
      <c r="B5" s="955">
        <f>tertiair!B17</f>
        <v>21297.990821348765</v>
      </c>
      <c r="C5" s="955">
        <f>tertiair!C17</f>
        <v>0</v>
      </c>
      <c r="D5" s="955">
        <f>tertiair!D17</f>
        <v>27332.510534100405</v>
      </c>
      <c r="E5" s="955">
        <f>tertiair!E17</f>
        <v>36.705146986349504</v>
      </c>
      <c r="F5" s="955">
        <f>tertiair!F17</f>
        <v>2455.4325014530036</v>
      </c>
      <c r="G5" s="955" t="str">
        <f>tertiair!G17</f>
        <v>NE</v>
      </c>
      <c r="H5" s="955">
        <f>tertiair!H17</f>
        <v>0.36252457948451594</v>
      </c>
      <c r="I5" s="955" t="str">
        <f>tertiair!I17</f>
        <v>NE</v>
      </c>
      <c r="J5" s="955">
        <f>tertiair!J17</f>
        <v>1.7273113479334877E-2</v>
      </c>
      <c r="K5" s="955" t="str">
        <f>tertiair!K17</f>
        <v>NE</v>
      </c>
      <c r="L5" s="955" t="str">
        <f>tertiair!L17</f>
        <v>IE</v>
      </c>
      <c r="M5" s="955" t="str">
        <f>tertiair!M17</f>
        <v>IE</v>
      </c>
      <c r="N5" s="955" t="str">
        <f>tertiair!N17</f>
        <v>IE</v>
      </c>
      <c r="O5" s="955">
        <f>tertiair!O17</f>
        <v>692.55053635240063</v>
      </c>
      <c r="P5" s="955" t="str">
        <f>tertiair!P17</f>
        <v>NE</v>
      </c>
      <c r="Q5" s="956" t="str">
        <f>tertiair!Q17</f>
        <v>NE</v>
      </c>
      <c r="R5" s="958">
        <f t="shared" ref="R5:R14" si="0">SUM(B5:Q5)</f>
        <v>51815.569337933892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3380.6436299425</v>
      </c>
      <c r="C7" s="955">
        <f>landbouw!C9</f>
        <v>347.74371569336461</v>
      </c>
      <c r="D7" s="955">
        <f>landbouw!D9</f>
        <v>577.82267465999996</v>
      </c>
      <c r="E7" s="955">
        <f>landbouw!E9</f>
        <v>121.99895813257059</v>
      </c>
      <c r="F7" s="955">
        <f>landbouw!F9</f>
        <v>12350.524070026031</v>
      </c>
      <c r="G7" s="955" t="str">
        <f>landbouw!G9</f>
        <v>NE</v>
      </c>
      <c r="H7" s="955" t="str">
        <f>landbouw!H9</f>
        <v>NE</v>
      </c>
      <c r="I7" s="955" t="str">
        <f>landbouw!I9</f>
        <v>NE</v>
      </c>
      <c r="J7" s="955">
        <f>landbouw!J9</f>
        <v>392.79866388132473</v>
      </c>
      <c r="K7" s="955" t="str">
        <f>landbouw!K9</f>
        <v>NE</v>
      </c>
      <c r="L7" s="955" t="str">
        <f>landbouw!L9</f>
        <v>IE</v>
      </c>
      <c r="M7" s="955" t="str">
        <f>landbouw!M9</f>
        <v>IE</v>
      </c>
      <c r="N7" s="955" t="str">
        <f>landbouw!N9</f>
        <v>IE</v>
      </c>
      <c r="O7" s="955">
        <f>landbouw!O9</f>
        <v>0</v>
      </c>
      <c r="P7" s="955" t="str">
        <f>landbouw!P9</f>
        <v>NE</v>
      </c>
      <c r="Q7" s="956" t="str">
        <f>landbouw!Q9</f>
        <v>NE</v>
      </c>
      <c r="R7" s="958">
        <f t="shared" si="0"/>
        <v>17171.531712335789</v>
      </c>
    </row>
    <row r="8" spans="1:18">
      <c r="A8" s="385" t="s">
        <v>492</v>
      </c>
      <c r="B8" s="955">
        <f>industrie!B19</f>
        <v>15670.412087804072</v>
      </c>
      <c r="C8" s="955">
        <f>industrie!C19</f>
        <v>0</v>
      </c>
      <c r="D8" s="955">
        <f>industrie!D19</f>
        <v>46853.690822399993</v>
      </c>
      <c r="E8" s="955">
        <f>industrie!E19</f>
        <v>66.582859224678856</v>
      </c>
      <c r="F8" s="955">
        <f>industrie!F19</f>
        <v>2051.3982355311036</v>
      </c>
      <c r="G8" s="955" t="str">
        <f>industrie!G19</f>
        <v>NE</v>
      </c>
      <c r="H8" s="955">
        <f>industrie!H19</f>
        <v>0</v>
      </c>
      <c r="I8" s="955" t="str">
        <f>industrie!I19</f>
        <v>NE</v>
      </c>
      <c r="J8" s="955">
        <f>industrie!J19</f>
        <v>11.941427296985621</v>
      </c>
      <c r="K8" s="955" t="str">
        <f>industrie!K19</f>
        <v>NE</v>
      </c>
      <c r="L8" s="955" t="str">
        <f>industrie!L19</f>
        <v>IE</v>
      </c>
      <c r="M8" s="955" t="str">
        <f>industrie!M19</f>
        <v>IE</v>
      </c>
      <c r="N8" s="955" t="str">
        <f>industrie!N19</f>
        <v>IE</v>
      </c>
      <c r="O8" s="955">
        <f>industrie!O19</f>
        <v>1118.2562007215192</v>
      </c>
      <c r="P8" s="955" t="str">
        <f>industrie!P19</f>
        <v>NE</v>
      </c>
      <c r="Q8" s="956" t="str">
        <f>industrie!Q19</f>
        <v>NE</v>
      </c>
      <c r="R8" s="958">
        <f t="shared" si="0"/>
        <v>65772.281632978353</v>
      </c>
    </row>
    <row r="9" spans="1:18" s="389" customFormat="1">
      <c r="A9" s="388" t="s">
        <v>457</v>
      </c>
      <c r="B9" s="959">
        <f>transport!B14</f>
        <v>1672.1524206248901</v>
      </c>
      <c r="C9" s="959" t="str">
        <f>transport!C14</f>
        <v>NO</v>
      </c>
      <c r="D9" s="959">
        <f>transport!D14</f>
        <v>433.83448366729914</v>
      </c>
      <c r="E9" s="959">
        <f>transport!E14</f>
        <v>203.67073351806971</v>
      </c>
      <c r="F9" s="959" t="str">
        <f>transport!F14</f>
        <v>NO</v>
      </c>
      <c r="G9" s="959">
        <f>transport!G14</f>
        <v>77257.812124099946</v>
      </c>
      <c r="H9" s="959">
        <f>transport!H14</f>
        <v>31448.803615711502</v>
      </c>
      <c r="I9" s="959" t="str">
        <f>transport!I14</f>
        <v>NO</v>
      </c>
      <c r="J9" s="959" t="str">
        <f>transport!J14</f>
        <v>NO</v>
      </c>
      <c r="K9" s="959" t="str">
        <f>transport!K14</f>
        <v>NO</v>
      </c>
      <c r="L9" s="959" t="str">
        <f>transport!L14</f>
        <v>NO</v>
      </c>
      <c r="M9" s="959" t="str">
        <f>transport!M14</f>
        <v>NO</v>
      </c>
      <c r="N9" s="959">
        <f>transport!N14</f>
        <v>11777.172903744708</v>
      </c>
      <c r="O9" s="959" t="str">
        <f>transport!O14</f>
        <v>NO</v>
      </c>
      <c r="P9" s="959" t="str">
        <f>transport!P14</f>
        <v>NO</v>
      </c>
      <c r="Q9" s="959" t="str">
        <f>transport!Q14</f>
        <v>NO</v>
      </c>
      <c r="R9" s="960">
        <f>SUM(B9:Q9)</f>
        <v>122793.44628136641</v>
      </c>
    </row>
    <row r="10" spans="1:18">
      <c r="A10" s="385" t="s">
        <v>447</v>
      </c>
      <c r="B10" s="955">
        <f>transport!B54</f>
        <v>24.743647577102799</v>
      </c>
      <c r="C10" s="955" t="str">
        <f>transport!C54</f>
        <v>NO</v>
      </c>
      <c r="D10" s="955" t="str">
        <f>transport!D54</f>
        <v>NO</v>
      </c>
      <c r="E10" s="955" t="str">
        <f>transport!E54</f>
        <v>NO</v>
      </c>
      <c r="F10" s="955" t="str">
        <f>transport!F54</f>
        <v>NO</v>
      </c>
      <c r="G10" s="955">
        <f>transport!G54</f>
        <v>993.95150075951608</v>
      </c>
      <c r="H10" s="955" t="str">
        <f>transport!H54</f>
        <v>NO</v>
      </c>
      <c r="I10" s="955" t="str">
        <f>transport!I54</f>
        <v>NO</v>
      </c>
      <c r="J10" s="955" t="str">
        <f>transport!J54</f>
        <v>NO</v>
      </c>
      <c r="K10" s="955" t="str">
        <f>transport!K54</f>
        <v>NO</v>
      </c>
      <c r="L10" s="955" t="str">
        <f>transport!L54</f>
        <v>NO</v>
      </c>
      <c r="M10" s="955" t="str">
        <f>transport!M54</f>
        <v>NO</v>
      </c>
      <c r="N10" s="955">
        <f>transport!N54</f>
        <v>118.99089653247835</v>
      </c>
      <c r="O10" s="955" t="str">
        <f>transport!O54</f>
        <v>NO</v>
      </c>
      <c r="P10" s="955" t="str">
        <f>transport!P54</f>
        <v>NO</v>
      </c>
      <c r="Q10" s="956" t="str">
        <f>transport!Q54</f>
        <v xml:space="preserve">NO </v>
      </c>
      <c r="R10" s="958">
        <f t="shared" si="0"/>
        <v>1137.6860448690973</v>
      </c>
    </row>
    <row r="11" spans="1:18">
      <c r="A11" s="385" t="s">
        <v>448</v>
      </c>
      <c r="B11" s="955">
        <f>'Eigen gebouwen'!B6</f>
        <v>1864.0450520687525</v>
      </c>
      <c r="C11" s="955">
        <f>'Eigen gebouwen'!C6</f>
        <v>62.957089750000002</v>
      </c>
      <c r="D11" s="955">
        <f>'Eigen gebouwen'!D6</f>
        <v>3723.8202420350949</v>
      </c>
      <c r="E11" s="955">
        <f>'Eigen gebouwen'!E6</f>
        <v>0</v>
      </c>
      <c r="F11" s="955">
        <f>'Eigen gebouwen'!F6</f>
        <v>6.0468702502011169</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5656.8692541040482</v>
      </c>
    </row>
    <row r="12" spans="1:18">
      <c r="A12" s="385" t="s">
        <v>449</v>
      </c>
      <c r="B12" s="955">
        <f>'Eigen openbare verlichting'!B6</f>
        <v>817.74304107994851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817.74304107994851</v>
      </c>
    </row>
    <row r="13" spans="1:18">
      <c r="A13" s="385" t="s">
        <v>450</v>
      </c>
      <c r="B13" s="955">
        <f>'Eigen vloot'!B27</f>
        <v>0</v>
      </c>
      <c r="C13" s="955" t="str">
        <f>'Eigen vloot'!C27</f>
        <v>NO</v>
      </c>
      <c r="D13" s="955">
        <f>'Eigen vloot'!D27</f>
        <v>8.2393044053106106</v>
      </c>
      <c r="E13" s="955">
        <f>'Eigen vloot'!E27</f>
        <v>0</v>
      </c>
      <c r="F13" s="955" t="str">
        <f>'Eigen vloot'!F27</f>
        <v>NO</v>
      </c>
      <c r="G13" s="955">
        <f>'Eigen vloot'!G27</f>
        <v>6.491940309282322</v>
      </c>
      <c r="H13" s="955">
        <f>'Eigen vloot'!H27</f>
        <v>22.123694402537783</v>
      </c>
      <c r="I13" s="955" t="str">
        <f>'Eigen vloot'!I27</f>
        <v>NO</v>
      </c>
      <c r="J13" s="955" t="str">
        <f>'Eigen vloot'!J27</f>
        <v>NO</v>
      </c>
      <c r="K13" s="955" t="str">
        <f>'Eigen vloot'!K27</f>
        <v>NO</v>
      </c>
      <c r="L13" s="955" t="str">
        <f>'Eigen vloot'!L27</f>
        <v>NO</v>
      </c>
      <c r="M13" s="955" t="str">
        <f>'Eigen vloot'!M27</f>
        <v>NO</v>
      </c>
      <c r="N13" s="955">
        <f>'Eigen vloot'!N27</f>
        <v>2.5557662990378738</v>
      </c>
      <c r="O13" s="955" t="str">
        <f>'Eigen vloot'!O27</f>
        <v>NO</v>
      </c>
      <c r="P13" s="955" t="str">
        <f>'Eigen vloot'!P27</f>
        <v>NO</v>
      </c>
      <c r="Q13" s="955" t="str">
        <f>'Eigen vloot'!Q27</f>
        <v>NO</v>
      </c>
      <c r="R13" s="958">
        <f t="shared" si="0"/>
        <v>39.410705416168582</v>
      </c>
    </row>
    <row r="14" spans="1:18">
      <c r="A14" s="390" t="s">
        <v>553</v>
      </c>
      <c r="B14" s="961">
        <f>'SECAP template'!C40</f>
        <v>890.98391000000004</v>
      </c>
      <c r="C14" s="961" t="str">
        <f>'SECAP template'!D40</f>
        <v>NE</v>
      </c>
      <c r="D14" s="961">
        <f>'SECAP template'!E40</f>
        <v>918.29561000000001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1809.27952</v>
      </c>
    </row>
    <row r="15" spans="1:18" s="393" customFormat="1">
      <c r="A15" s="391" t="s">
        <v>451</v>
      </c>
      <c r="B15" s="962">
        <f>SUM(B4:B14)</f>
        <v>74913.258344041868</v>
      </c>
      <c r="C15" s="962">
        <f t="shared" ref="C15:R15" si="1">SUM(C4:C14)</f>
        <v>416.82450544385455</v>
      </c>
      <c r="D15" s="962">
        <f t="shared" si="1"/>
        <v>143880.06865323419</v>
      </c>
      <c r="E15" s="962">
        <f t="shared" si="1"/>
        <v>2468.7248434082094</v>
      </c>
      <c r="F15" s="962">
        <f t="shared" si="1"/>
        <v>50008.283982804038</v>
      </c>
      <c r="G15" s="962">
        <f t="shared" si="1"/>
        <v>78258.255565168743</v>
      </c>
      <c r="H15" s="962">
        <f t="shared" si="1"/>
        <v>31471.289834693522</v>
      </c>
      <c r="I15" s="962">
        <f t="shared" si="1"/>
        <v>0</v>
      </c>
      <c r="J15" s="962">
        <f t="shared" si="1"/>
        <v>670.45901472154662</v>
      </c>
      <c r="K15" s="962">
        <f t="shared" si="1"/>
        <v>0</v>
      </c>
      <c r="L15" s="962">
        <f t="shared" si="1"/>
        <v>0</v>
      </c>
      <c r="M15" s="962">
        <f t="shared" si="1"/>
        <v>0</v>
      </c>
      <c r="N15" s="962">
        <f t="shared" si="1"/>
        <v>11898.719566576223</v>
      </c>
      <c r="O15" s="962">
        <f t="shared" si="1"/>
        <v>12834.697646622513</v>
      </c>
      <c r="P15" s="962">
        <f t="shared" si="1"/>
        <v>0</v>
      </c>
      <c r="Q15" s="962">
        <f t="shared" si="1"/>
        <v>0</v>
      </c>
      <c r="R15" s="962">
        <f t="shared" si="1"/>
        <v>406820.58195671468</v>
      </c>
    </row>
    <row r="17" spans="1:18">
      <c r="A17" s="394" t="s">
        <v>452</v>
      </c>
      <c r="B17" s="617">
        <f>huishoudens!B11</f>
        <v>0.17328194205259015</v>
      </c>
      <c r="C17" s="617">
        <f>huishoudens!C11</f>
        <v>1.2341980131859949E-2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5076.2154297020252</v>
      </c>
      <c r="C22" s="955">
        <f t="shared" ref="C22:C32" si="2">IFERROR(C4*$C$17,C4)</f>
        <v>7.5578583739517063E-2</v>
      </c>
      <c r="D22" s="955">
        <f t="shared" ref="D22:D32" si="3">IFERROR(D4*$D$17,D4)</f>
        <v>12934.434706357153</v>
      </c>
      <c r="E22" s="955">
        <f t="shared" ref="E22:E32" si="4">IFERROR(E4*$E$17,E4)</f>
        <v>463.0271420390647</v>
      </c>
      <c r="F22" s="955">
        <f t="shared" ref="F22:F32" si="5">IFERROR(F4*$F$17,F4)</f>
        <v>8849.6835755801676</v>
      </c>
      <c r="G22" s="955" t="str">
        <f t="shared" ref="G22:G32" si="6">IFERROR(G4*$G$17,G4)</f>
        <v>NE</v>
      </c>
      <c r="H22" s="955" t="str">
        <f t="shared" ref="H22:H32" si="7">IFERROR(H4*$H$17,H4)</f>
        <v>NE</v>
      </c>
      <c r="I22" s="955" t="str">
        <f t="shared" ref="I22:I32" si="8">IFERROR(I4*$I$17,I4)</f>
        <v xml:space="preserve">NE </v>
      </c>
      <c r="J22" s="955">
        <f t="shared" ref="J22:J32" si="9">IFERROR(J4*$J$17,J4)</f>
        <v>94.058384252133976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27417.494816514281</v>
      </c>
    </row>
    <row r="23" spans="1:18">
      <c r="A23" s="385" t="s">
        <v>136</v>
      </c>
      <c r="B23" s="955">
        <f t="shared" ref="B23:B32" si="17">B5*$B$17</f>
        <v>3690.5572113415537</v>
      </c>
      <c r="C23" s="955">
        <f t="shared" si="2"/>
        <v>0</v>
      </c>
      <c r="D23" s="955">
        <f t="shared" si="3"/>
        <v>5521.1671278882823</v>
      </c>
      <c r="E23" s="955">
        <f t="shared" si="4"/>
        <v>8.3320683659013373</v>
      </c>
      <c r="F23" s="955">
        <f t="shared" si="5"/>
        <v>655.60047788795202</v>
      </c>
      <c r="G23" s="955" t="str">
        <f t="shared" si="6"/>
        <v>NE</v>
      </c>
      <c r="H23" s="955">
        <f t="shared" si="7"/>
        <v>9.0268620291644466E-2</v>
      </c>
      <c r="I23" s="955" t="str">
        <f t="shared" si="8"/>
        <v>NE</v>
      </c>
      <c r="J23" s="955">
        <f t="shared" si="9"/>
        <v>6.1146821716845465E-3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9875.7532687861549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585.80449358415433</v>
      </c>
      <c r="C25" s="955">
        <f t="shared" si="2"/>
        <v>4.2918460300666608</v>
      </c>
      <c r="D25" s="955">
        <f t="shared" si="3"/>
        <v>116.72018028132</v>
      </c>
      <c r="E25" s="955">
        <f t="shared" si="4"/>
        <v>27.693763496093524</v>
      </c>
      <c r="F25" s="955">
        <f t="shared" si="5"/>
        <v>3297.5899266969504</v>
      </c>
      <c r="G25" s="955" t="str">
        <f t="shared" si="6"/>
        <v>NE</v>
      </c>
      <c r="H25" s="955" t="str">
        <f t="shared" si="7"/>
        <v>NE</v>
      </c>
      <c r="I25" s="955" t="str">
        <f t="shared" si="8"/>
        <v>NE</v>
      </c>
      <c r="J25" s="955">
        <f t="shared" si="9"/>
        <v>139.05072701398893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4171.1509371025741</v>
      </c>
    </row>
    <row r="26" spans="1:18">
      <c r="A26" s="385" t="s">
        <v>492</v>
      </c>
      <c r="B26" s="955">
        <f t="shared" si="17"/>
        <v>2715.3994393390735</v>
      </c>
      <c r="C26" s="955">
        <f t="shared" si="2"/>
        <v>0</v>
      </c>
      <c r="D26" s="955">
        <f t="shared" si="3"/>
        <v>9464.4455461247999</v>
      </c>
      <c r="E26" s="955">
        <f t="shared" si="4"/>
        <v>15.1143090440021</v>
      </c>
      <c r="F26" s="955">
        <f t="shared" si="5"/>
        <v>547.72332888680467</v>
      </c>
      <c r="G26" s="955" t="str">
        <f t="shared" si="6"/>
        <v>NE</v>
      </c>
      <c r="H26" s="955">
        <f t="shared" si="7"/>
        <v>0</v>
      </c>
      <c r="I26" s="955" t="str">
        <f t="shared" si="8"/>
        <v>NE</v>
      </c>
      <c r="J26" s="955">
        <f t="shared" si="9"/>
        <v>4.2272652631329093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12746.909888657812</v>
      </c>
    </row>
    <row r="27" spans="1:18" s="389" customFormat="1">
      <c r="A27" s="388" t="s">
        <v>457</v>
      </c>
      <c r="B27" s="963">
        <f t="shared" si="17"/>
        <v>289.75381885382052</v>
      </c>
      <c r="C27" s="955" t="str">
        <f t="shared" si="2"/>
        <v>NO</v>
      </c>
      <c r="D27" s="955">
        <f t="shared" si="3"/>
        <v>87.634565700794425</v>
      </c>
      <c r="E27" s="955">
        <f t="shared" si="4"/>
        <v>46.233256508601826</v>
      </c>
      <c r="F27" s="955" t="str">
        <f t="shared" si="5"/>
        <v>NO</v>
      </c>
      <c r="G27" s="955">
        <f t="shared" si="6"/>
        <v>20627.835837134688</v>
      </c>
      <c r="H27" s="955">
        <f t="shared" si="7"/>
        <v>7830.7521003121637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28882.209578510068</v>
      </c>
    </row>
    <row r="28" spans="1:18" ht="16.5" customHeight="1">
      <c r="A28" s="385" t="s">
        <v>447</v>
      </c>
      <c r="B28" s="955">
        <f t="shared" si="17"/>
        <v>4.2876273056252394</v>
      </c>
      <c r="C28" s="955" t="str">
        <f t="shared" si="2"/>
        <v>NO</v>
      </c>
      <c r="D28" s="955" t="str">
        <f t="shared" si="3"/>
        <v>NO</v>
      </c>
      <c r="E28" s="955" t="str">
        <f t="shared" si="4"/>
        <v>NO</v>
      </c>
      <c r="F28" s="955" t="str">
        <f t="shared" si="5"/>
        <v>NO</v>
      </c>
      <c r="G28" s="955">
        <f t="shared" si="6"/>
        <v>265.38505070279081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269.67267800841603</v>
      </c>
    </row>
    <row r="29" spans="1:18">
      <c r="A29" s="385" t="s">
        <v>448</v>
      </c>
      <c r="B29" s="955">
        <f t="shared" si="17"/>
        <v>323.00534669599494</v>
      </c>
      <c r="C29" s="955">
        <f t="shared" si="2"/>
        <v>0.77701515085422368</v>
      </c>
      <c r="D29" s="955">
        <f t="shared" si="3"/>
        <v>752.21168889108924</v>
      </c>
      <c r="E29" s="955">
        <f t="shared" si="4"/>
        <v>0</v>
      </c>
      <c r="F29" s="955">
        <f t="shared" si="5"/>
        <v>1.6145143568036984</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1077.6085650947421</v>
      </c>
    </row>
    <row r="30" spans="1:18">
      <c r="A30" s="385" t="s">
        <v>449</v>
      </c>
      <c r="B30" s="955">
        <f t="shared" si="17"/>
        <v>141.70010225832448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141.70010225832448</v>
      </c>
    </row>
    <row r="31" spans="1:18">
      <c r="A31" s="385" t="s">
        <v>450</v>
      </c>
      <c r="B31" s="955">
        <f t="shared" si="17"/>
        <v>0</v>
      </c>
      <c r="C31" s="955" t="str">
        <f t="shared" si="2"/>
        <v>NO</v>
      </c>
      <c r="D31" s="955">
        <f t="shared" si="3"/>
        <v>1.6643394898727435</v>
      </c>
      <c r="E31" s="955">
        <f t="shared" si="4"/>
        <v>0</v>
      </c>
      <c r="F31" s="955" t="str">
        <f t="shared" si="5"/>
        <v>NO</v>
      </c>
      <c r="G31" s="955">
        <f t="shared" si="6"/>
        <v>1.7333480625783801</v>
      </c>
      <c r="H31" s="955">
        <f t="shared" si="7"/>
        <v>5.508799906231908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8.9064874586830314</v>
      </c>
    </row>
    <row r="32" spans="1:18">
      <c r="A32" s="385" t="s">
        <v>553</v>
      </c>
      <c r="B32" s="955">
        <f t="shared" si="17"/>
        <v>154.3914222624102</v>
      </c>
      <c r="C32" s="955" t="str">
        <f t="shared" si="2"/>
        <v>NE</v>
      </c>
      <c r="D32" s="955">
        <f t="shared" si="3"/>
        <v>185.49571322000003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339.88713548241026</v>
      </c>
    </row>
    <row r="33" spans="1:18" s="393" customFormat="1">
      <c r="A33" s="391" t="s">
        <v>451</v>
      </c>
      <c r="B33" s="962">
        <f>SUM(B22:B32)</f>
        <v>12981.114891342979</v>
      </c>
      <c r="C33" s="962">
        <f t="shared" ref="C33:R33" si="22">SUM(C22:C32)</f>
        <v>5.1444397646604019</v>
      </c>
      <c r="D33" s="962">
        <f t="shared" si="22"/>
        <v>29063.77386795331</v>
      </c>
      <c r="E33" s="962">
        <f t="shared" si="22"/>
        <v>560.40053945366355</v>
      </c>
      <c r="F33" s="962">
        <f t="shared" si="22"/>
        <v>13352.211823408677</v>
      </c>
      <c r="G33" s="962">
        <f t="shared" si="22"/>
        <v>20894.954235900055</v>
      </c>
      <c r="H33" s="962">
        <f t="shared" si="22"/>
        <v>7836.351168838687</v>
      </c>
      <c r="I33" s="962">
        <f t="shared" si="22"/>
        <v>0</v>
      </c>
      <c r="J33" s="962">
        <f t="shared" si="22"/>
        <v>237.34249121142753</v>
      </c>
      <c r="K33" s="392">
        <f t="shared" si="22"/>
        <v>0</v>
      </c>
      <c r="L33" s="392">
        <f t="shared" si="22"/>
        <v>0</v>
      </c>
      <c r="M33" s="392">
        <f t="shared" si="22"/>
        <v>0</v>
      </c>
      <c r="N33" s="392">
        <f t="shared" si="22"/>
        <v>0</v>
      </c>
      <c r="O33" s="392">
        <f t="shared" si="22"/>
        <v>0</v>
      </c>
      <c r="P33" s="392">
        <f t="shared" si="22"/>
        <v>0</v>
      </c>
      <c r="Q33" s="392">
        <f t="shared" si="22"/>
        <v>0</v>
      </c>
      <c r="R33" s="392">
        <f t="shared" si="22"/>
        <v>84931.293457873457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16067.591910392934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107.47670409513518</v>
      </c>
      <c r="C8" s="791">
        <f>'SECAP template'!C103</f>
        <v>7.5317739140655275</v>
      </c>
      <c r="D8" s="791">
        <f>'SECAP template'!D103</f>
        <v>8.1162532009729826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115.81709084670457</v>
      </c>
      <c r="M8" s="791">
        <f>'SECAP template'!M103</f>
        <v>0</v>
      </c>
      <c r="N8" s="791">
        <f>'SECAP template'!N103</f>
        <v>0</v>
      </c>
      <c r="O8" s="792">
        <f>'SECAP template'!O103</f>
        <v>1.6394831465965427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16175.068614488069</v>
      </c>
      <c r="C10" s="793">
        <f>SUM(C4:C9)</f>
        <v>7.5317739140655275</v>
      </c>
      <c r="D10" s="793">
        <f t="shared" ref="D10:H10" si="0">SUM(D8:D9)</f>
        <v>8.1162532009729826</v>
      </c>
      <c r="E10" s="793">
        <f t="shared" si="0"/>
        <v>0</v>
      </c>
      <c r="F10" s="793">
        <f t="shared" si="0"/>
        <v>0</v>
      </c>
      <c r="G10" s="793">
        <f t="shared" si="0"/>
        <v>0</v>
      </c>
      <c r="H10" s="793">
        <f t="shared" si="0"/>
        <v>0</v>
      </c>
      <c r="I10" s="793">
        <f t="shared" ref="I10:O10" si="1">SUM(I8:I9)</f>
        <v>0</v>
      </c>
      <c r="J10" s="793">
        <f t="shared" si="1"/>
        <v>0</v>
      </c>
      <c r="K10" s="793">
        <f t="shared" si="1"/>
        <v>0</v>
      </c>
      <c r="L10" s="793">
        <f t="shared" si="1"/>
        <v>115.81709084670457</v>
      </c>
      <c r="M10" s="793">
        <f t="shared" si="1"/>
        <v>0</v>
      </c>
      <c r="N10" s="793">
        <f t="shared" si="1"/>
        <v>0</v>
      </c>
      <c r="O10" s="793">
        <f t="shared" si="1"/>
        <v>1.6394831465965427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0.17328194205259015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337.2449612973769</v>
      </c>
      <c r="C17" s="794">
        <f>'SECAP template'!C114</f>
        <v>23.633519687217454</v>
      </c>
      <c r="D17" s="792">
        <f>'SECAP template'!D114</f>
        <v>25.467523587427724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363.41578064766526</v>
      </c>
      <c r="M17" s="792">
        <f>'SECAP template'!M114</f>
        <v>0</v>
      </c>
      <c r="N17" s="792">
        <f>'SECAP template'!N114</f>
        <v>0</v>
      </c>
      <c r="O17" s="792">
        <f>'SECAP template'!O114</f>
        <v>5.144439764660401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337.2449612973769</v>
      </c>
      <c r="C20" s="793">
        <f>SUM(C17:C19)</f>
        <v>23.633519687217454</v>
      </c>
      <c r="D20" s="793">
        <f t="shared" ref="D20:H20" si="2">SUM(D17:D19)</f>
        <v>25.467523587427724</v>
      </c>
      <c r="E20" s="793">
        <f t="shared" si="2"/>
        <v>0</v>
      </c>
      <c r="F20" s="793">
        <f t="shared" si="2"/>
        <v>0</v>
      </c>
      <c r="G20" s="793">
        <f t="shared" si="2"/>
        <v>0</v>
      </c>
      <c r="H20" s="793">
        <f t="shared" si="2"/>
        <v>0</v>
      </c>
      <c r="I20" s="793">
        <f t="shared" ref="I20:O20" si="3">SUM(I17:I19)</f>
        <v>0</v>
      </c>
      <c r="J20" s="793">
        <f t="shared" si="3"/>
        <v>0</v>
      </c>
      <c r="K20" s="793">
        <f t="shared" si="3"/>
        <v>0</v>
      </c>
      <c r="L20" s="793">
        <f t="shared" si="3"/>
        <v>363.41578064766526</v>
      </c>
      <c r="M20" s="793">
        <f t="shared" si="3"/>
        <v>0</v>
      </c>
      <c r="N20" s="793">
        <f t="shared" si="3"/>
        <v>0</v>
      </c>
      <c r="O20" s="793">
        <f t="shared" si="3"/>
        <v>5.144439764660401</v>
      </c>
    </row>
    <row r="21" spans="1:15">
      <c r="B21" s="705"/>
    </row>
    <row r="22" spans="1:15">
      <c r="A22" s="394" t="s">
        <v>572</v>
      </c>
      <c r="B22" s="617" t="s">
        <v>570</v>
      </c>
      <c r="C22" s="617">
        <f>'EF ele_warmte'!B23</f>
        <v>1.2341980131859949E-2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8.2393044053106106</v>
      </c>
      <c r="E4" s="396">
        <f>MWh_eigenvloot_vloeibaargas</f>
        <v>0</v>
      </c>
      <c r="F4" s="403"/>
      <c r="G4" s="396">
        <f>MWh_eigenvloot_diesel</f>
        <v>7.269122895199799</v>
      </c>
      <c r="H4" s="396">
        <f>MWh_eigenvloot_benzine</f>
        <v>23.902278115658177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8.2393044053106106</v>
      </c>
      <c r="E26" s="399">
        <f t="shared" si="0"/>
        <v>0</v>
      </c>
      <c r="F26" s="399" t="s">
        <v>667</v>
      </c>
      <c r="G26" s="399">
        <f t="shared" si="0"/>
        <v>7.269122895199799</v>
      </c>
      <c r="H26" s="399">
        <f t="shared" si="0"/>
        <v>23.902278115658177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8.2393044053106106</v>
      </c>
      <c r="E27" s="399">
        <f>E26</f>
        <v>0</v>
      </c>
      <c r="F27" s="399" t="s">
        <v>667</v>
      </c>
      <c r="G27" s="399">
        <f>(1-transport!C35)*'Eigen vloot'!G26</f>
        <v>6.491940309282322</v>
      </c>
      <c r="H27" s="399">
        <f>(1-transport!C42)*'Eigen vloot'!H26</f>
        <v>22.123694402537783</v>
      </c>
      <c r="I27" s="399" t="s">
        <v>667</v>
      </c>
      <c r="J27" s="399" t="s">
        <v>667</v>
      </c>
      <c r="K27" s="399" t="s">
        <v>667</v>
      </c>
      <c r="L27" s="913" t="s">
        <v>667</v>
      </c>
      <c r="M27" s="399" t="s">
        <v>667</v>
      </c>
      <c r="N27" s="529">
        <f>G26*transport!C35+'Eigen vloot'!H26*transport!C42</f>
        <v>2.5557662990378738</v>
      </c>
      <c r="O27" s="399" t="s">
        <v>667</v>
      </c>
      <c r="P27" s="399" t="s">
        <v>667</v>
      </c>
      <c r="Q27" s="399" t="s">
        <v>667</v>
      </c>
    </row>
    <row r="29" spans="1:17">
      <c r="A29" s="401" t="s">
        <v>477</v>
      </c>
      <c r="B29" s="405">
        <f>'EF ele_warmte'!B13</f>
        <v>0.17328194205259015</v>
      </c>
      <c r="C29" s="405">
        <f>'EF ele_warmte'!B23</f>
        <v>1.2341980131859949E-2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1.6643394898727435</v>
      </c>
      <c r="E31" s="530">
        <f>E27*E29</f>
        <v>0</v>
      </c>
      <c r="F31" s="530" t="s">
        <v>667</v>
      </c>
      <c r="G31" s="530">
        <f>G27*G29</f>
        <v>1.7333480625783801</v>
      </c>
      <c r="H31" s="530">
        <f>H27*H29</f>
        <v>5.508799906231908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9088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2725.7200000000003</v>
      </c>
      <c r="C14" s="286"/>
      <c r="D14" s="286"/>
      <c r="E14" s="286"/>
      <c r="F14" s="286"/>
      <c r="G14" s="286"/>
    </row>
    <row r="15" spans="1:7">
      <c r="A15" s="979" t="s">
        <v>164</v>
      </c>
      <c r="B15" s="980">
        <v>52</v>
      </c>
      <c r="C15" s="286"/>
      <c r="D15" s="286"/>
      <c r="E15" s="286"/>
      <c r="F15" s="286"/>
      <c r="G15" s="286"/>
    </row>
    <row r="16" spans="1:7">
      <c r="A16" s="979" t="s">
        <v>6</v>
      </c>
      <c r="B16" s="980">
        <v>1437</v>
      </c>
      <c r="C16" s="286"/>
      <c r="D16" s="286"/>
      <c r="E16" s="286"/>
      <c r="F16" s="286"/>
      <c r="G16" s="286"/>
    </row>
    <row r="17" spans="1:7">
      <c r="A17" s="979" t="s">
        <v>7</v>
      </c>
      <c r="B17" s="980">
        <v>1136</v>
      </c>
      <c r="C17" s="286"/>
      <c r="D17" s="286"/>
      <c r="E17" s="286"/>
      <c r="F17" s="286"/>
      <c r="G17" s="286"/>
    </row>
    <row r="18" spans="1:7">
      <c r="A18" s="979" t="s">
        <v>8</v>
      </c>
      <c r="B18" s="980">
        <v>1547</v>
      </c>
      <c r="C18" s="286"/>
      <c r="D18" s="286"/>
      <c r="E18" s="286"/>
      <c r="F18" s="286"/>
      <c r="G18" s="286"/>
    </row>
    <row r="19" spans="1:7">
      <c r="A19" s="979" t="s">
        <v>9</v>
      </c>
      <c r="B19" s="980">
        <v>1576</v>
      </c>
      <c r="C19" s="286"/>
      <c r="D19" s="286"/>
      <c r="E19" s="286"/>
      <c r="F19" s="286"/>
      <c r="G19" s="286"/>
    </row>
    <row r="20" spans="1:7">
      <c r="A20" s="979" t="s">
        <v>10</v>
      </c>
      <c r="B20" s="980">
        <v>826</v>
      </c>
      <c r="C20" s="286"/>
      <c r="D20" s="286"/>
      <c r="E20" s="286"/>
      <c r="F20" s="286"/>
      <c r="G20" s="286"/>
    </row>
    <row r="21" spans="1:7">
      <c r="A21" s="979" t="s">
        <v>11</v>
      </c>
      <c r="B21" s="980">
        <v>14650</v>
      </c>
      <c r="C21" s="286"/>
      <c r="D21" s="286"/>
      <c r="E21" s="286"/>
      <c r="F21" s="286"/>
      <c r="G21" s="286"/>
    </row>
    <row r="22" spans="1:7">
      <c r="A22" s="979" t="s">
        <v>12</v>
      </c>
      <c r="B22" s="980">
        <v>62925</v>
      </c>
      <c r="C22" s="286"/>
      <c r="D22" s="286"/>
      <c r="E22" s="286"/>
      <c r="F22" s="286"/>
      <c r="G22" s="286"/>
    </row>
    <row r="23" spans="1:7">
      <c r="A23" s="979" t="s">
        <v>13</v>
      </c>
      <c r="B23" s="980">
        <v>611</v>
      </c>
      <c r="C23" s="286"/>
      <c r="D23" s="286"/>
      <c r="E23" s="286"/>
      <c r="F23" s="286"/>
      <c r="G23" s="286"/>
    </row>
    <row r="24" spans="1:7">
      <c r="A24" s="979" t="s">
        <v>14</v>
      </c>
      <c r="B24" s="980">
        <v>19</v>
      </c>
      <c r="C24" s="286"/>
      <c r="D24" s="286"/>
      <c r="E24" s="286"/>
      <c r="F24" s="286"/>
      <c r="G24" s="286"/>
    </row>
    <row r="25" spans="1:7">
      <c r="A25" s="979" t="s">
        <v>15</v>
      </c>
      <c r="B25" s="980">
        <v>3040</v>
      </c>
      <c r="C25" s="286"/>
      <c r="D25" s="286"/>
      <c r="E25" s="286"/>
      <c r="F25" s="286"/>
      <c r="G25" s="286"/>
    </row>
    <row r="26" spans="1:7">
      <c r="A26" s="979" t="s">
        <v>16</v>
      </c>
      <c r="B26" s="980">
        <v>432</v>
      </c>
      <c r="C26" s="286"/>
      <c r="D26" s="286"/>
      <c r="E26" s="286"/>
      <c r="F26" s="286"/>
      <c r="G26" s="286"/>
    </row>
    <row r="27" spans="1:7">
      <c r="A27" s="979" t="s">
        <v>17</v>
      </c>
      <c r="B27" s="980">
        <v>7</v>
      </c>
      <c r="C27" s="286"/>
      <c r="D27" s="286"/>
      <c r="E27" s="286"/>
      <c r="F27" s="286"/>
      <c r="G27" s="286"/>
    </row>
    <row r="28" spans="1:7">
      <c r="A28" s="983" t="s">
        <v>18</v>
      </c>
      <c r="B28" s="1240">
        <v>53086</v>
      </c>
      <c r="C28" s="286"/>
      <c r="D28" s="286"/>
      <c r="E28" s="286"/>
      <c r="F28" s="286"/>
      <c r="G28" s="286"/>
    </row>
    <row r="29" spans="1:7">
      <c r="A29" s="983" t="s">
        <v>534</v>
      </c>
      <c r="B29" s="1240">
        <v>289</v>
      </c>
      <c r="C29" s="286"/>
      <c r="D29" s="286"/>
      <c r="E29" s="286"/>
      <c r="F29" s="286"/>
      <c r="G29" s="286"/>
    </row>
    <row r="30" spans="1:7">
      <c r="A30" s="981" t="s">
        <v>535</v>
      </c>
      <c r="B30" s="982">
        <v>72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26</v>
      </c>
      <c r="F36" s="980">
        <v>2751331.95</v>
      </c>
      <c r="G36" s="286"/>
    </row>
    <row r="37" spans="1:7">
      <c r="A37" s="979" t="s">
        <v>24</v>
      </c>
      <c r="B37" s="979" t="s">
        <v>27</v>
      </c>
      <c r="C37" s="980">
        <v>0</v>
      </c>
      <c r="D37" s="980">
        <v>0</v>
      </c>
      <c r="E37" s="980">
        <v>0</v>
      </c>
      <c r="F37" s="980">
        <v>0</v>
      </c>
      <c r="G37" s="286"/>
    </row>
    <row r="38" spans="1:7">
      <c r="A38" s="979" t="s">
        <v>24</v>
      </c>
      <c r="B38" s="979" t="s">
        <v>28</v>
      </c>
      <c r="C38" s="980">
        <v>2</v>
      </c>
      <c r="D38" s="980">
        <v>517369.39</v>
      </c>
      <c r="E38" s="980">
        <v>0</v>
      </c>
      <c r="F38" s="980">
        <v>0</v>
      </c>
      <c r="G38" s="286"/>
    </row>
    <row r="39" spans="1:7">
      <c r="A39" s="979" t="s">
        <v>29</v>
      </c>
      <c r="B39" s="979" t="s">
        <v>30</v>
      </c>
      <c r="C39" s="980">
        <v>6092</v>
      </c>
      <c r="D39" s="980">
        <v>70922468.41856809</v>
      </c>
      <c r="E39" s="980">
        <v>9063</v>
      </c>
      <c r="F39" s="980">
        <v>25348347.232264444</v>
      </c>
      <c r="G39" s="286"/>
    </row>
    <row r="40" spans="1:7">
      <c r="A40" s="979" t="s">
        <v>29</v>
      </c>
      <c r="B40" s="979" t="s">
        <v>28</v>
      </c>
      <c r="C40" s="980">
        <v>0</v>
      </c>
      <c r="D40" s="980">
        <v>0</v>
      </c>
      <c r="E40" s="980">
        <v>0</v>
      </c>
      <c r="F40" s="980">
        <v>0</v>
      </c>
      <c r="G40" s="286"/>
    </row>
    <row r="41" spans="1:7">
      <c r="A41" s="979" t="s">
        <v>31</v>
      </c>
      <c r="B41" s="979" t="s">
        <v>32</v>
      </c>
      <c r="C41" s="980">
        <v>107</v>
      </c>
      <c r="D41" s="980">
        <v>1326535.58</v>
      </c>
      <c r="E41" s="980">
        <v>280</v>
      </c>
      <c r="F41" s="980">
        <v>1393221.9300000002</v>
      </c>
      <c r="G41" s="286"/>
    </row>
    <row r="42" spans="1:7">
      <c r="A42" s="979" t="s">
        <v>31</v>
      </c>
      <c r="B42" s="979" t="s">
        <v>33</v>
      </c>
      <c r="C42" s="980">
        <v>0</v>
      </c>
      <c r="D42" s="980">
        <v>0</v>
      </c>
      <c r="E42" s="980">
        <v>4</v>
      </c>
      <c r="F42" s="980">
        <v>50908.639999999999</v>
      </c>
      <c r="G42" s="286"/>
    </row>
    <row r="43" spans="1:7">
      <c r="A43" s="979" t="s">
        <v>31</v>
      </c>
      <c r="B43" s="979" t="s">
        <v>34</v>
      </c>
      <c r="C43" s="980">
        <v>0</v>
      </c>
      <c r="D43" s="980">
        <v>0</v>
      </c>
      <c r="E43" s="980">
        <v>0</v>
      </c>
      <c r="F43" s="980">
        <v>0</v>
      </c>
      <c r="G43" s="286"/>
    </row>
    <row r="44" spans="1:7">
      <c r="A44" s="979" t="s">
        <v>31</v>
      </c>
      <c r="B44" s="979" t="s">
        <v>35</v>
      </c>
      <c r="C44" s="980">
        <v>19</v>
      </c>
      <c r="D44" s="980">
        <v>386933.09</v>
      </c>
      <c r="E44" s="980">
        <v>43</v>
      </c>
      <c r="F44" s="980">
        <v>1474800.63</v>
      </c>
      <c r="G44" s="286"/>
    </row>
    <row r="45" spans="1:7">
      <c r="A45" s="979" t="s">
        <v>31</v>
      </c>
      <c r="B45" s="979" t="s">
        <v>36</v>
      </c>
      <c r="C45" s="980">
        <v>4</v>
      </c>
      <c r="D45" s="980">
        <v>288726.05</v>
      </c>
      <c r="E45" s="980">
        <v>7</v>
      </c>
      <c r="F45" s="980">
        <v>531522.73</v>
      </c>
      <c r="G45" s="286"/>
    </row>
    <row r="46" spans="1:7">
      <c r="A46" s="979" t="s">
        <v>31</v>
      </c>
      <c r="B46" s="979" t="s">
        <v>37</v>
      </c>
      <c r="C46" s="980">
        <v>0</v>
      </c>
      <c r="D46" s="980">
        <v>0</v>
      </c>
      <c r="E46" s="980">
        <v>0</v>
      </c>
      <c r="F46" s="980">
        <v>0</v>
      </c>
      <c r="G46" s="286"/>
    </row>
    <row r="47" spans="1:7">
      <c r="A47" s="979" t="s">
        <v>31</v>
      </c>
      <c r="B47" s="979" t="s">
        <v>38</v>
      </c>
      <c r="C47" s="980">
        <v>3</v>
      </c>
      <c r="D47" s="980">
        <v>180427.7</v>
      </c>
      <c r="E47" s="980">
        <v>5</v>
      </c>
      <c r="F47" s="980">
        <v>79236.259999999995</v>
      </c>
      <c r="G47" s="286"/>
    </row>
    <row r="48" spans="1:7">
      <c r="A48" s="979" t="s">
        <v>31</v>
      </c>
      <c r="B48" s="979" t="s">
        <v>28</v>
      </c>
      <c r="C48" s="980">
        <v>1</v>
      </c>
      <c r="D48" s="980">
        <v>2176.23</v>
      </c>
      <c r="E48" s="980">
        <v>2</v>
      </c>
      <c r="F48" s="980">
        <v>11428.98</v>
      </c>
      <c r="G48" s="286"/>
    </row>
    <row r="49" spans="1:7">
      <c r="A49" s="979" t="s">
        <v>31</v>
      </c>
      <c r="B49" s="979" t="s">
        <v>39</v>
      </c>
      <c r="C49" s="980">
        <v>3</v>
      </c>
      <c r="D49" s="980">
        <v>94981.24</v>
      </c>
      <c r="E49" s="980">
        <v>6</v>
      </c>
      <c r="F49" s="980">
        <v>29602.84</v>
      </c>
      <c r="G49" s="286"/>
    </row>
    <row r="50" spans="1:7">
      <c r="A50" s="979" t="s">
        <v>31</v>
      </c>
      <c r="B50" s="979" t="s">
        <v>40</v>
      </c>
      <c r="C50" s="980">
        <v>22</v>
      </c>
      <c r="D50" s="980">
        <v>49606920.909999996</v>
      </c>
      <c r="E50" s="980">
        <v>30</v>
      </c>
      <c r="F50" s="980">
        <v>11776280.76</v>
      </c>
      <c r="G50" s="286"/>
    </row>
    <row r="51" spans="1:7">
      <c r="A51" s="979" t="s">
        <v>41</v>
      </c>
      <c r="B51" s="979" t="s">
        <v>42</v>
      </c>
      <c r="C51" s="980">
        <v>26</v>
      </c>
      <c r="D51" s="980">
        <v>639892.22</v>
      </c>
      <c r="E51" s="980">
        <v>157</v>
      </c>
      <c r="F51" s="980">
        <v>3117062.26</v>
      </c>
      <c r="G51" s="286"/>
    </row>
    <row r="52" spans="1:7">
      <c r="A52" s="979" t="s">
        <v>41</v>
      </c>
      <c r="B52" s="979" t="s">
        <v>28</v>
      </c>
      <c r="C52" s="980">
        <v>0</v>
      </c>
      <c r="D52" s="980">
        <v>0</v>
      </c>
      <c r="E52" s="980">
        <v>0</v>
      </c>
      <c r="F52" s="980">
        <v>0</v>
      </c>
      <c r="G52" s="286"/>
    </row>
    <row r="53" spans="1:7">
      <c r="A53" s="979" t="s">
        <v>43</v>
      </c>
      <c r="B53" s="979" t="s">
        <v>44</v>
      </c>
      <c r="C53" s="980">
        <v>91</v>
      </c>
      <c r="D53" s="980">
        <v>918295.61</v>
      </c>
      <c r="E53" s="980">
        <v>261</v>
      </c>
      <c r="F53" s="980">
        <v>890983.91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817743.04</v>
      </c>
      <c r="G55" s="286"/>
    </row>
    <row r="56" spans="1:7">
      <c r="A56" s="979" t="s">
        <v>47</v>
      </c>
      <c r="B56" s="979" t="s">
        <v>28</v>
      </c>
      <c r="C56" s="980">
        <v>0</v>
      </c>
      <c r="D56" s="980">
        <v>0</v>
      </c>
      <c r="E56" s="980">
        <v>0</v>
      </c>
      <c r="F56" s="980">
        <v>0</v>
      </c>
      <c r="G56" s="286"/>
    </row>
    <row r="57" spans="1:7">
      <c r="A57" s="979" t="s">
        <v>48</v>
      </c>
      <c r="B57" s="979" t="s">
        <v>49</v>
      </c>
      <c r="C57" s="980">
        <v>64</v>
      </c>
      <c r="D57" s="980">
        <v>2148056.5099999998</v>
      </c>
      <c r="E57" s="980">
        <v>120</v>
      </c>
      <c r="F57" s="980">
        <v>1838557.87</v>
      </c>
      <c r="G57" s="286"/>
    </row>
    <row r="58" spans="1:7">
      <c r="A58" s="979" t="s">
        <v>48</v>
      </c>
      <c r="B58" s="979" t="s">
        <v>50</v>
      </c>
      <c r="C58" s="980">
        <v>69</v>
      </c>
      <c r="D58" s="980">
        <v>8908111.1600000001</v>
      </c>
      <c r="E58" s="980">
        <v>93</v>
      </c>
      <c r="F58" s="980">
        <v>5494054.1400000006</v>
      </c>
      <c r="G58" s="286"/>
    </row>
    <row r="59" spans="1:7">
      <c r="A59" s="979" t="s">
        <v>48</v>
      </c>
      <c r="B59" s="979" t="s">
        <v>51</v>
      </c>
      <c r="C59" s="980">
        <v>152</v>
      </c>
      <c r="D59" s="980">
        <v>5409040.0300000003</v>
      </c>
      <c r="E59" s="980">
        <v>313</v>
      </c>
      <c r="F59" s="980">
        <v>5724367.8799999999</v>
      </c>
      <c r="G59" s="286"/>
    </row>
    <row r="60" spans="1:7">
      <c r="A60" s="979" t="s">
        <v>48</v>
      </c>
      <c r="B60" s="979" t="s">
        <v>52</v>
      </c>
      <c r="C60" s="980">
        <v>88</v>
      </c>
      <c r="D60" s="980">
        <v>1972951.8</v>
      </c>
      <c r="E60" s="980">
        <v>117</v>
      </c>
      <c r="F60" s="980">
        <v>1614830.22</v>
      </c>
      <c r="G60" s="286"/>
    </row>
    <row r="61" spans="1:7">
      <c r="A61" s="979" t="s">
        <v>48</v>
      </c>
      <c r="B61" s="979" t="s">
        <v>53</v>
      </c>
      <c r="C61" s="980">
        <v>213</v>
      </c>
      <c r="D61" s="980">
        <v>8291098.4614319</v>
      </c>
      <c r="E61" s="980">
        <v>483</v>
      </c>
      <c r="F61" s="980">
        <v>5794532.1577355545</v>
      </c>
      <c r="G61" s="286"/>
    </row>
    <row r="62" spans="1:7">
      <c r="A62" s="979" t="s">
        <v>48</v>
      </c>
      <c r="B62" s="979" t="s">
        <v>54</v>
      </c>
      <c r="C62" s="980">
        <v>30</v>
      </c>
      <c r="D62" s="980">
        <v>7687996.25</v>
      </c>
      <c r="E62" s="980">
        <v>36</v>
      </c>
      <c r="F62" s="980">
        <v>1803769.94</v>
      </c>
      <c r="G62" s="286"/>
    </row>
    <row r="63" spans="1:7">
      <c r="A63" s="979" t="s">
        <v>48</v>
      </c>
      <c r="B63" s="979" t="s">
        <v>28</v>
      </c>
      <c r="C63" s="980">
        <v>0</v>
      </c>
      <c r="D63" s="980">
        <v>0</v>
      </c>
      <c r="E63" s="980">
        <v>1</v>
      </c>
      <c r="F63" s="980">
        <v>32474.93</v>
      </c>
      <c r="G63" s="286"/>
    </row>
    <row r="64" spans="1:7">
      <c r="A64" s="979" t="s">
        <v>55</v>
      </c>
      <c r="B64" s="979" t="s">
        <v>56</v>
      </c>
      <c r="C64" s="980">
        <v>0</v>
      </c>
      <c r="D64" s="980">
        <v>0</v>
      </c>
      <c r="E64" s="980">
        <v>0</v>
      </c>
      <c r="F64" s="980">
        <v>0</v>
      </c>
      <c r="G64" s="286"/>
    </row>
    <row r="65" spans="1:7">
      <c r="A65" s="979" t="s">
        <v>55</v>
      </c>
      <c r="B65" s="979" t="s">
        <v>28</v>
      </c>
      <c r="C65" s="980">
        <v>2</v>
      </c>
      <c r="D65" s="980">
        <v>37594.589999999997</v>
      </c>
      <c r="E65" s="980">
        <v>1</v>
      </c>
      <c r="F65" s="980">
        <v>1179.26</v>
      </c>
      <c r="G65" s="286"/>
    </row>
    <row r="66" spans="1:7">
      <c r="A66" s="979" t="s">
        <v>55</v>
      </c>
      <c r="B66" s="979" t="s">
        <v>57</v>
      </c>
      <c r="C66" s="980">
        <v>0</v>
      </c>
      <c r="D66" s="980">
        <v>0</v>
      </c>
      <c r="E66" s="980">
        <v>0</v>
      </c>
      <c r="F66" s="980">
        <v>0</v>
      </c>
      <c r="G66" s="286"/>
    </row>
    <row r="67" spans="1:7">
      <c r="A67" s="983" t="s">
        <v>55</v>
      </c>
      <c r="B67" s="983" t="s">
        <v>58</v>
      </c>
      <c r="C67" s="980">
        <v>0</v>
      </c>
      <c r="D67" s="980">
        <v>0</v>
      </c>
      <c r="E67" s="980">
        <v>3</v>
      </c>
      <c r="F67" s="980">
        <v>32759.13</v>
      </c>
      <c r="G67" s="286"/>
    </row>
    <row r="68" spans="1:7">
      <c r="A68" s="981" t="s">
        <v>55</v>
      </c>
      <c r="B68" s="981" t="s">
        <v>59</v>
      </c>
      <c r="C68" s="982">
        <v>3</v>
      </c>
      <c r="D68" s="982">
        <v>28637.57</v>
      </c>
      <c r="E68" s="982">
        <v>17</v>
      </c>
      <c r="F68" s="982">
        <v>97419.95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67368187</v>
      </c>
      <c r="E73" s="384"/>
      <c r="F73" s="286"/>
      <c r="G73" s="286"/>
    </row>
    <row r="74" spans="1:7">
      <c r="A74" s="979" t="s">
        <v>63</v>
      </c>
      <c r="B74" s="979" t="s">
        <v>505</v>
      </c>
      <c r="C74" s="1250" t="s">
        <v>507</v>
      </c>
      <c r="D74" s="1251">
        <v>9086768.898649659</v>
      </c>
      <c r="E74" s="384"/>
      <c r="F74" s="286"/>
      <c r="G74" s="286"/>
    </row>
    <row r="75" spans="1:7">
      <c r="A75" s="979" t="s">
        <v>64</v>
      </c>
      <c r="B75" s="979" t="s">
        <v>504</v>
      </c>
      <c r="C75" s="1250" t="s">
        <v>508</v>
      </c>
      <c r="D75" s="1251">
        <v>32834765</v>
      </c>
      <c r="E75" s="384"/>
      <c r="F75" s="286"/>
      <c r="G75" s="286"/>
    </row>
    <row r="76" spans="1:7">
      <c r="A76" s="979" t="s">
        <v>64</v>
      </c>
      <c r="B76" s="979" t="s">
        <v>505</v>
      </c>
      <c r="C76" s="1250" t="s">
        <v>509</v>
      </c>
      <c r="D76" s="1251">
        <v>1600894.898649659</v>
      </c>
      <c r="E76" s="384"/>
      <c r="F76" s="286"/>
      <c r="G76" s="286"/>
    </row>
    <row r="77" spans="1:7">
      <c r="A77" s="979" t="s">
        <v>65</v>
      </c>
      <c r="B77" s="979" t="s">
        <v>504</v>
      </c>
      <c r="C77" s="1250" t="s">
        <v>510</v>
      </c>
      <c r="D77" s="1251">
        <v>18223055</v>
      </c>
      <c r="E77" s="384"/>
      <c r="F77" s="286"/>
      <c r="G77" s="286"/>
    </row>
    <row r="78" spans="1:7">
      <c r="A78" s="981" t="s">
        <v>65</v>
      </c>
      <c r="B78" s="981" t="s">
        <v>505</v>
      </c>
      <c r="C78" s="981" t="s">
        <v>511</v>
      </c>
      <c r="D78" s="1252">
        <v>2411926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316432.20270068193</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13689.435754562306</v>
      </c>
      <c r="C91" s="286" t="s">
        <v>629</v>
      </c>
      <c r="D91" s="286"/>
      <c r="E91" s="286"/>
      <c r="F91" s="286"/>
      <c r="G91" s="286"/>
    </row>
    <row r="92" spans="1:7">
      <c r="A92" s="981" t="s">
        <v>68</v>
      </c>
      <c r="B92" s="986">
        <v>2378.1561558306275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1864045.0520687525</v>
      </c>
      <c r="C97" s="286"/>
      <c r="D97" s="286"/>
      <c r="E97" s="286"/>
      <c r="F97" s="286"/>
      <c r="G97" s="286"/>
    </row>
    <row r="98" spans="1:7">
      <c r="A98" s="286" t="s">
        <v>176</v>
      </c>
      <c r="B98" s="980">
        <v>62957.089749999999</v>
      </c>
      <c r="C98" s="286"/>
      <c r="D98" s="286"/>
      <c r="E98" s="286"/>
      <c r="F98" s="286"/>
      <c r="G98" s="286"/>
    </row>
    <row r="99" spans="1:7">
      <c r="A99" s="286" t="s">
        <v>179</v>
      </c>
      <c r="B99" s="980">
        <v>4123831.9402382006</v>
      </c>
      <c r="C99" s="286"/>
      <c r="D99" s="286"/>
      <c r="E99" s="286"/>
      <c r="F99" s="286"/>
      <c r="G99" s="286"/>
    </row>
    <row r="100" spans="1:7">
      <c r="A100" s="286" t="s">
        <v>180</v>
      </c>
      <c r="B100" s="980">
        <v>0</v>
      </c>
      <c r="C100" s="286"/>
      <c r="D100" s="286"/>
      <c r="E100" s="286"/>
      <c r="F100" s="286"/>
      <c r="G100" s="286"/>
    </row>
    <row r="101" spans="1:7">
      <c r="A101" s="286" t="s">
        <v>181</v>
      </c>
      <c r="B101" s="980">
        <v>6046.8702502011165</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817743.04107994854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8.2393044053106106</v>
      </c>
      <c r="C113" s="286"/>
      <c r="D113" s="286"/>
      <c r="E113" s="286"/>
      <c r="F113" s="286"/>
      <c r="G113" s="286"/>
    </row>
    <row r="114" spans="1:7">
      <c r="A114" s="286" t="s">
        <v>727</v>
      </c>
      <c r="B114" s="980">
        <v>23.902278115658177</v>
      </c>
      <c r="C114" s="286"/>
      <c r="D114" s="286"/>
      <c r="E114" s="286"/>
      <c r="F114" s="286"/>
      <c r="G114" s="286"/>
    </row>
    <row r="115" spans="1:7">
      <c r="A115" s="286" t="s">
        <v>728</v>
      </c>
      <c r="B115" s="980">
        <v>7.269122895199799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3942.1103233310869</v>
      </c>
      <c r="C121" s="286"/>
      <c r="D121" s="286"/>
      <c r="E121" s="286"/>
      <c r="F121" s="286"/>
      <c r="G121" s="286"/>
    </row>
    <row r="122" spans="1:7">
      <c r="A122" s="286" t="s">
        <v>731</v>
      </c>
      <c r="B122" s="980">
        <v>323.409317804073</v>
      </c>
      <c r="C122" s="286"/>
      <c r="D122" s="286"/>
      <c r="E122" s="286"/>
      <c r="F122" s="286"/>
      <c r="G122" s="286"/>
    </row>
    <row r="123" spans="1:7">
      <c r="A123" s="286" t="s">
        <v>3</v>
      </c>
      <c r="B123" s="980">
        <v>263.58136994250037</v>
      </c>
      <c r="C123" s="286"/>
      <c r="D123" s="286"/>
      <c r="E123" s="286"/>
      <c r="F123" s="286"/>
      <c r="G123" s="286"/>
    </row>
    <row r="124" spans="1:7">
      <c r="A124" s="981" t="s">
        <v>732</v>
      </c>
      <c r="B124" s="986">
        <v>847.3797356809938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74913.258344041897</v>
      </c>
      <c r="C3" s="43" t="s">
        <v>150</v>
      </c>
      <c r="D3" s="43"/>
      <c r="E3" s="151"/>
      <c r="F3" s="43"/>
      <c r="G3" s="43"/>
      <c r="H3" s="43"/>
      <c r="I3" s="43"/>
      <c r="J3" s="43"/>
      <c r="K3" s="95"/>
    </row>
    <row r="4" spans="1:11">
      <c r="A4" s="304" t="s">
        <v>151</v>
      </c>
      <c r="B4" s="49">
        <f>IF(ISERROR('SECAP template'!B105+'SECAP template'!C105),0,'SECAP template'!B105+'SECAP template'!C105)</f>
        <v>16182.600388402136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1.6394831465965427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0.17328194205259015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5.144439764660401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416.82450544385449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1.2341980131859949E-2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1864.0450520687525</v>
      </c>
      <c r="C4" s="30">
        <f>kWh_eigengeb_warmtekoude/1000</f>
        <v>62.957089750000002</v>
      </c>
      <c r="D4" s="30">
        <f>kWh_eigengeb_aardgas/1000*0.903</f>
        <v>3723.8202420350949</v>
      </c>
      <c r="E4" s="30">
        <f>kWh_eigengeb_vloeibaargas/1000</f>
        <v>0</v>
      </c>
      <c r="F4" s="30">
        <f>kWh_eigengeb_stookolie/1000</f>
        <v>6.0468702502011169</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1864.0450520687525</v>
      </c>
      <c r="C6" s="21">
        <f>SUM(C4:C4)</f>
        <v>62.957089750000002</v>
      </c>
      <c r="D6" s="21">
        <f>SUM(D4:D4)</f>
        <v>3723.8202420350949</v>
      </c>
      <c r="E6" s="21">
        <f>SUM(E4:E4)</f>
        <v>0</v>
      </c>
      <c r="F6" s="21">
        <f>SUM(F4:F4)</f>
        <v>6.0468702502011169</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0.17328194205259015</v>
      </c>
      <c r="C8" s="917">
        <f>'EF ele_warmte'!B23</f>
        <v>1.2341980131859949E-2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323.00534669599494</v>
      </c>
      <c r="C10" s="23">
        <f>C6*C8</f>
        <v>0.77701515085422368</v>
      </c>
      <c r="D10" s="23">
        <f>D6*D8</f>
        <v>752.21168889108924</v>
      </c>
      <c r="E10" s="23">
        <f>E6*E8</f>
        <v>0</v>
      </c>
      <c r="F10" s="23">
        <f>F6*F8</f>
        <v>1.6145143568036984</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817.74304107994851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817.74304107994851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0.17328194205259015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141.70010225832448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817.74304000000006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-817.74304107994851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0.17328194205259015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25348.347232264445</v>
      </c>
      <c r="C5" s="17">
        <f>IF(ISERROR('Eigen informatie GS &amp; warmtenet'!B61),0,'Eigen informatie GS &amp; warmtenet'!B61)</f>
        <v>0</v>
      </c>
      <c r="D5" s="30">
        <f>(SUM(HH_hh_gas_kWh,HH_rest_gas_kWh)/1000)*0.903</f>
        <v>64042.988981966992</v>
      </c>
      <c r="E5" s="17">
        <f>B33*B42</f>
        <v>2039.7671455465404</v>
      </c>
      <c r="F5" s="17">
        <f>B37*B46</f>
        <v>33144.882305543695</v>
      </c>
      <c r="G5" s="18" t="s">
        <v>637</v>
      </c>
      <c r="H5" s="17" t="s">
        <v>637</v>
      </c>
      <c r="I5" s="17" t="s">
        <v>637</v>
      </c>
      <c r="J5" s="17">
        <f>B36*B45+C36*C45</f>
        <v>265.70165042975702</v>
      </c>
      <c r="K5" s="17" t="s">
        <v>637</v>
      </c>
      <c r="L5" s="884" t="s">
        <v>637</v>
      </c>
      <c r="M5" s="17" t="s">
        <v>637</v>
      </c>
      <c r="N5" s="17" t="s">
        <v>670</v>
      </c>
      <c r="O5" s="17">
        <f>B35*B44+C35*C44</f>
        <v>11023.890909548592</v>
      </c>
      <c r="P5" s="17" t="s">
        <v>637</v>
      </c>
      <c r="Q5" s="17" t="s">
        <v>637</v>
      </c>
    </row>
    <row r="6" spans="1:17" s="810" customFormat="1">
      <c r="A6" s="16" t="s">
        <v>633</v>
      </c>
      <c r="B6" s="17">
        <f>'lokale energieproductie'!N32</f>
        <v>4.0861780003268944</v>
      </c>
      <c r="C6" s="17">
        <f>'lokale energieproductie'!O32</f>
        <v>6.1237000004898965</v>
      </c>
      <c r="D6" s="17">
        <f>('lokale energieproductie'!P32)*(-1)</f>
        <v>-11.134000000890721</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3942.1103233310869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29294.543733595856</v>
      </c>
      <c r="C9" s="21">
        <f>MAX((C5+C6+C7),0)</f>
        <v>6.1237000004898965</v>
      </c>
      <c r="D9" s="21">
        <f t="shared" ref="D9:O9" si="0">MAX((D5+D6+D7),0)</f>
        <v>64031.854981966098</v>
      </c>
      <c r="E9" s="21">
        <f t="shared" si="0"/>
        <v>2039.7671455465404</v>
      </c>
      <c r="F9" s="21">
        <f t="shared" si="0"/>
        <v>33144.882305543695</v>
      </c>
      <c r="G9" s="21" t="s">
        <v>637</v>
      </c>
      <c r="H9" s="21" t="s">
        <v>637</v>
      </c>
      <c r="I9" s="21" t="s">
        <v>670</v>
      </c>
      <c r="J9" s="21">
        <f t="shared" si="0"/>
        <v>265.70165042975702</v>
      </c>
      <c r="K9" s="21" t="s">
        <v>637</v>
      </c>
      <c r="L9" s="21">
        <f>MAX((L6),0)</f>
        <v>0</v>
      </c>
      <c r="M9" s="21">
        <f>MAX((M6),0)</f>
        <v>0</v>
      </c>
      <c r="N9" s="21" t="s">
        <v>637</v>
      </c>
      <c r="O9" s="21">
        <f t="shared" si="0"/>
        <v>11023.890909548592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0.17328194205259015</v>
      </c>
      <c r="C11" s="25">
        <f>'EF ele_warmte'!B23</f>
        <v>1.2341980131859949E-2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5076.2154297020252</v>
      </c>
      <c r="C13" s="23">
        <f>C11*C9</f>
        <v>7.5578583739517063E-2</v>
      </c>
      <c r="D13" s="23">
        <f>D9*D11</f>
        <v>12934.434706357153</v>
      </c>
      <c r="E13" s="23">
        <f>E11*E9</f>
        <v>463.0271420390647</v>
      </c>
      <c r="F13" s="23">
        <f>F11*F9</f>
        <v>8849.6835755801676</v>
      </c>
      <c r="G13" s="23" t="s">
        <v>637</v>
      </c>
      <c r="H13" s="23" t="s">
        <v>637</v>
      </c>
      <c r="I13" s="23" t="s">
        <v>637</v>
      </c>
      <c r="J13" s="23">
        <f>J11*J9</f>
        <v>94.058384252133976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9088</v>
      </c>
      <c r="C27" s="36"/>
      <c r="D27" s="208"/>
      <c r="E27" s="1168"/>
      <c r="L27" s="812"/>
    </row>
    <row r="28" spans="1:12" s="15" customFormat="1" hidden="1">
      <c r="A28" s="210" t="s">
        <v>722</v>
      </c>
      <c r="B28" s="37">
        <f>SUM(HH_hh_gas_aantal,HH_rest_gas_aantal)</f>
        <v>6092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5787.4</v>
      </c>
      <c r="C32" s="34" t="s">
        <v>91</v>
      </c>
      <c r="D32" s="167"/>
      <c r="E32" s="1168"/>
    </row>
    <row r="33" spans="1:6" hidden="1">
      <c r="A33" s="164" t="s">
        <v>70</v>
      </c>
      <c r="B33" s="33">
        <f>IF((B22*($B$27-($B$28-0.05*$B$28)))&lt;0,0,(B22*($B$27-($B$28-0.05*$B$28))))</f>
        <v>53.22576052947521</v>
      </c>
      <c r="C33" s="34" t="s">
        <v>91</v>
      </c>
      <c r="D33" s="167"/>
      <c r="E33" s="1168"/>
    </row>
    <row r="34" spans="1:6" hidden="1">
      <c r="A34" s="164" t="s">
        <v>71</v>
      </c>
      <c r="B34" s="33">
        <f>IF((B23*($B$27-($B$28-0.05*$B$28)))&lt;0,0,B23*($B$27-($B$28-0.05*$B$28)))</f>
        <v>864.2809362229267</v>
      </c>
      <c r="C34" s="34" t="s">
        <v>91</v>
      </c>
      <c r="D34" s="167"/>
      <c r="E34" s="1168"/>
    </row>
    <row r="35" spans="1:6" hidden="1">
      <c r="A35" s="164" t="s">
        <v>72</v>
      </c>
      <c r="B35" s="33">
        <f>IF((B25*($B$27-($B$28-0.05*$B$28)))&lt;0,0,B25*($B$27-($B$28-0.05*$B$28)))</f>
        <v>377.91210473005049</v>
      </c>
      <c r="C35" s="33">
        <f>B27*C25</f>
        <v>1526.7839999999997</v>
      </c>
      <c r="D35" s="213"/>
      <c r="E35" s="1168"/>
    </row>
    <row r="36" spans="1:6" hidden="1">
      <c r="A36" s="164" t="s">
        <v>73</v>
      </c>
      <c r="B36" s="33">
        <f>IF((B20*($B$27-($B$28-0.05*$B$28)))&lt;0,0,B20*($B$27-($B$28-0.05*$B$28)))</f>
        <v>23.13711120847665</v>
      </c>
      <c r="C36" s="33">
        <f>B36/2</f>
        <v>11.568555604238325</v>
      </c>
      <c r="D36" s="213"/>
      <c r="E36" s="1168"/>
    </row>
    <row r="37" spans="1:6" hidden="1">
      <c r="A37" s="164" t="s">
        <v>74</v>
      </c>
      <c r="B37" s="33">
        <f>IF((B19*($B$27-($B$28-0.05*$B$28)))&lt;0,0,B19*($B$27-($B$28-0.05*$B$28)))</f>
        <v>1749.0219770848469</v>
      </c>
      <c r="C37" s="34" t="s">
        <v>91</v>
      </c>
      <c r="D37" s="167"/>
      <c r="E37" s="1168"/>
    </row>
    <row r="38" spans="1:6" hidden="1">
      <c r="A38" s="164" t="s">
        <v>75</v>
      </c>
      <c r="B38" s="33">
        <f>IF((B24*($B$27-($B$28-0.05*$B$28)))&lt;0,0,B24*($B$27-($B$28-0.05*$B$28)))</f>
        <v>217.51562212515333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22302.587137735554</v>
      </c>
      <c r="C5" s="17">
        <f>IF(ISERROR('Eigen informatie GS &amp; warmtenet'!B62),0,'Eigen informatie GS &amp; warmtenet'!B62)</f>
        <v>0</v>
      </c>
      <c r="D5" s="30">
        <f>SUM(D6:D12)</f>
        <v>31078.78055292301</v>
      </c>
      <c r="E5" s="17">
        <f>SUM(E6:E12)</f>
        <v>36.705146986349504</v>
      </c>
      <c r="F5" s="17">
        <f>SUM(F6:F12)</f>
        <v>2461.4793717032048</v>
      </c>
      <c r="G5" s="17" t="s">
        <v>637</v>
      </c>
      <c r="H5" s="17">
        <f t="shared" ref="H5" si="0">SUM(H6:H12)</f>
        <v>0.36252457948451594</v>
      </c>
      <c r="I5" s="17" t="s">
        <v>637</v>
      </c>
      <c r="J5" s="17">
        <f>SUM(J6:J12)</f>
        <v>1.7273113479334877E-2</v>
      </c>
      <c r="K5" s="17" t="s">
        <v>637</v>
      </c>
      <c r="L5" s="884" t="s">
        <v>668</v>
      </c>
      <c r="M5" s="17" t="s">
        <v>668</v>
      </c>
      <c r="N5" s="17" t="s">
        <v>668</v>
      </c>
      <c r="O5" s="17">
        <f>SUM(O6:O12)</f>
        <v>692.55053635240063</v>
      </c>
      <c r="P5" s="17" t="s">
        <v>637</v>
      </c>
      <c r="Q5" s="17" t="s">
        <v>637</v>
      </c>
      <c r="S5" s="32"/>
    </row>
    <row r="6" spans="1:19">
      <c r="A6" s="32" t="s">
        <v>53</v>
      </c>
      <c r="B6" s="37">
        <f>B27</f>
        <v>5794.5321577355544</v>
      </c>
      <c r="C6" s="33"/>
      <c r="D6" s="37">
        <f>IF(ISERROR(TER_kantoor_gas_kWh/1000),0,TER_kantoor_gas_kWh/1000)*0.903</f>
        <v>7486.8619106730066</v>
      </c>
      <c r="E6" s="33">
        <f>$C$27*'E Balans VL '!I12/100/3.6*1000000</f>
        <v>4.3078623058279174E-4</v>
      </c>
      <c r="F6" s="33">
        <f>$C$27*('E Balans VL '!L12+'E Balans VL '!N12)/100/3.6*1000000</f>
        <v>478.63634439452778</v>
      </c>
      <c r="G6" s="33"/>
      <c r="H6" s="33">
        <f>$C$27*('E Balans VL '!J12)/100/3.6*1000000</f>
        <v>0</v>
      </c>
      <c r="I6" s="33"/>
      <c r="J6" s="33">
        <f>$C$27*('E Balans VL '!D12+'E Balans VL '!E12)/100/3.6*1000000</f>
        <v>0</v>
      </c>
      <c r="K6" s="33"/>
      <c r="L6" s="33"/>
      <c r="M6" s="33"/>
      <c r="N6" s="33"/>
      <c r="O6" s="33">
        <f>$C$27*'E Balans VL '!Y12/100/3.6*1000000</f>
        <v>7.1120732615146611</v>
      </c>
      <c r="P6" s="33"/>
      <c r="Q6" s="33"/>
      <c r="S6" s="32"/>
    </row>
    <row r="7" spans="1:19">
      <c r="A7" s="32" t="s">
        <v>52</v>
      </c>
      <c r="B7" s="37">
        <f t="shared" ref="B7:B12" si="1">B28</f>
        <v>1614.8302200000001</v>
      </c>
      <c r="C7" s="33"/>
      <c r="D7" s="37">
        <f>IF(ISERROR(TER_horeca_gas_kWh/1000),0,TER_horeca_gas_kWh/1000)*0.903</f>
        <v>1781.5754754000002</v>
      </c>
      <c r="E7" s="33">
        <f>$C$28*'E Balans VL '!I9/100/3.6*1000000</f>
        <v>0</v>
      </c>
      <c r="F7" s="33">
        <f>$C$28*('E Balans VL '!L9+'E Balans VL '!N9)/100/3.6*1000000</f>
        <v>198.92437794355112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5724.3678799999998</v>
      </c>
      <c r="C8" s="33"/>
      <c r="D8" s="37">
        <f>IF(ISERROR(TER_handel_gas_kWh/1000),0,TER_handel_gas_kWh/1000)*0.903</f>
        <v>4884.36314709</v>
      </c>
      <c r="E8" s="33">
        <f>$C$29*'E Balans VL '!I13/100/3.6*1000000</f>
        <v>0.15714338562789149</v>
      </c>
      <c r="F8" s="33">
        <f>$C$29*('E Balans VL '!L13+'E Balans VL '!N13)/100/3.6*1000000</f>
        <v>434.57131353360143</v>
      </c>
      <c r="G8" s="33"/>
      <c r="H8" s="33">
        <f>$C$29*('E Balans VL '!J13)/100/3.6*1000000</f>
        <v>0</v>
      </c>
      <c r="I8" s="33"/>
      <c r="J8" s="33">
        <f>$C$29*('E Balans VL '!D13+'E Balans VL '!E13)/100/3.6*1000000</f>
        <v>0</v>
      </c>
      <c r="K8" s="33"/>
      <c r="L8" s="33"/>
      <c r="M8" s="33"/>
      <c r="N8" s="33"/>
      <c r="O8" s="33">
        <f>$C$29*'E Balans VL '!Y13/100/3.6*1000000</f>
        <v>3.8954003795616385</v>
      </c>
      <c r="P8" s="33"/>
      <c r="Q8" s="33"/>
      <c r="S8" s="32"/>
    </row>
    <row r="9" spans="1:19">
      <c r="A9" s="32" t="s">
        <v>50</v>
      </c>
      <c r="B9" s="37">
        <f t="shared" si="1"/>
        <v>5494.0541400000002</v>
      </c>
      <c r="C9" s="33"/>
      <c r="D9" s="37">
        <f>IF(ISERROR(TER_gezond_gas_kWh/1000),0,TER_gezond_gas_kWh/1000)*0.903</f>
        <v>8044.0243774800001</v>
      </c>
      <c r="E9" s="33">
        <f>$C$30*'E Balans VL '!I10/100/3.6*1000000</f>
        <v>0</v>
      </c>
      <c r="F9" s="33">
        <f>$C$30*('E Balans VL '!L10+'E Balans VL '!N10)/100/3.6*1000000</f>
        <v>96.491262683346889</v>
      </c>
      <c r="G9" s="33"/>
      <c r="H9" s="33">
        <f>$C$30*('E Balans VL '!J10)/100/3.6*1000000</f>
        <v>0</v>
      </c>
      <c r="I9" s="33"/>
      <c r="J9" s="33">
        <f>$C$30*('E Balans VL '!D10+'E Balans VL '!E10)/100/3.6*1000000</f>
        <v>0</v>
      </c>
      <c r="K9" s="33"/>
      <c r="L9" s="33"/>
      <c r="M9" s="33"/>
      <c r="N9" s="33"/>
      <c r="O9" s="33">
        <f>$C$30*'E Balans VL '!Y10/100/3.6*1000000</f>
        <v>26.769008634764202</v>
      </c>
      <c r="P9" s="33"/>
      <c r="Q9" s="33"/>
      <c r="S9" s="32"/>
    </row>
    <row r="10" spans="1:19">
      <c r="A10" s="32" t="s">
        <v>49</v>
      </c>
      <c r="B10" s="37">
        <f t="shared" si="1"/>
        <v>1838.5578700000001</v>
      </c>
      <c r="C10" s="33"/>
      <c r="D10" s="37">
        <f>IF(ISERROR(TER_ander_gas_kWh/1000),0,TER_ander_gas_kWh/1000)*0.903</f>
        <v>1939.6950285299999</v>
      </c>
      <c r="E10" s="33">
        <f>$C$31*'E Balans VL '!I14/100/3.6*1000000</f>
        <v>36.397320927907082</v>
      </c>
      <c r="F10" s="33">
        <f>$C$31*('E Balans VL '!L14+'E Balans VL '!N14)/100/3.6*1000000</f>
        <v>1114.1842657572099</v>
      </c>
      <c r="G10" s="33"/>
      <c r="H10" s="33">
        <f>$C$31*('E Balans VL '!J14)/100/3.6*1000000</f>
        <v>0.36103649168206836</v>
      </c>
      <c r="I10" s="33"/>
      <c r="J10" s="33">
        <f>$C$31*('E Balans VL '!D14+'E Balans VL '!E14)/100/3.6*1000000</f>
        <v>1.7202210950421001E-2</v>
      </c>
      <c r="K10" s="33"/>
      <c r="L10" s="33"/>
      <c r="M10" s="33"/>
      <c r="N10" s="33"/>
      <c r="O10" s="33">
        <f>$C$31*'E Balans VL '!Y14/100/3.6*1000000</f>
        <v>650.39627788648318</v>
      </c>
      <c r="P10" s="33"/>
      <c r="Q10" s="33"/>
      <c r="S10" s="32"/>
    </row>
    <row r="11" spans="1:19">
      <c r="A11" s="32" t="s">
        <v>54</v>
      </c>
      <c r="B11" s="37">
        <f t="shared" si="1"/>
        <v>1803.7699399999999</v>
      </c>
      <c r="C11" s="33"/>
      <c r="D11" s="37">
        <f>IF(ISERROR(TER_onderwijs_gas_kWh/1000),0,TER_onderwijs_gas_kWh/1000)*0.903</f>
        <v>6942.2606137500006</v>
      </c>
      <c r="E11" s="33">
        <f>$C$32*'E Balans VL '!I11/100/3.6*1000000</f>
        <v>0</v>
      </c>
      <c r="F11" s="33">
        <f>$C$32*('E Balans VL '!L11+'E Balans VL '!N11)/100/3.6*1000000</f>
        <v>132.19079362925942</v>
      </c>
      <c r="G11" s="33"/>
      <c r="H11" s="33">
        <f>$C$32*('E Balans VL '!J11)/100/3.6*1000000</f>
        <v>0</v>
      </c>
      <c r="I11" s="33"/>
      <c r="J11" s="33">
        <f>$C$32*('E Balans VL '!D11+'E Balans VL '!E11)/100/3.6*1000000</f>
        <v>0</v>
      </c>
      <c r="K11" s="33"/>
      <c r="L11" s="33"/>
      <c r="M11" s="33"/>
      <c r="N11" s="33"/>
      <c r="O11" s="33">
        <f>$C$32*'E Balans VL '!Y11/100/3.6*1000000</f>
        <v>1.6635003294553889</v>
      </c>
      <c r="P11" s="33"/>
      <c r="Q11" s="33"/>
      <c r="S11" s="32"/>
    </row>
    <row r="12" spans="1:19">
      <c r="A12" s="32" t="s">
        <v>229</v>
      </c>
      <c r="B12" s="37">
        <f t="shared" si="1"/>
        <v>32.474930000000001</v>
      </c>
      <c r="C12" s="33"/>
      <c r="D12" s="37">
        <f>IF(ISERROR(TER_rest_gas_kWh/1000),0,TER_rest_gas_kWh/1000)*0.903</f>
        <v>0</v>
      </c>
      <c r="E12" s="33">
        <f>$C$33*'E Balans VL '!I8/100/3.6*1000000</f>
        <v>0.15025188658395308</v>
      </c>
      <c r="F12" s="33">
        <f>$C$33*('E Balans VL '!L8+'E Balans VL '!N8)/100/3.6*1000000</f>
        <v>6.4810137617084793</v>
      </c>
      <c r="G12" s="33"/>
      <c r="H12" s="33">
        <f>$C$33*('E Balans VL '!J8)/100/3.6*1000000</f>
        <v>1.4880878024475823E-3</v>
      </c>
      <c r="I12" s="33"/>
      <c r="J12" s="33">
        <f>$C$33*('E Balans VL '!D8+'E Balans VL '!E8)/100/3.6*1000000</f>
        <v>7.0902528913874686E-5</v>
      </c>
      <c r="K12" s="33"/>
      <c r="L12" s="33"/>
      <c r="M12" s="33"/>
      <c r="N12" s="33"/>
      <c r="O12" s="33">
        <f>$C$33*'E Balans VL '!Y8/100/3.6*1000000</f>
        <v>2.7142758606215796</v>
      </c>
      <c r="P12" s="33"/>
      <c r="Q12" s="33"/>
      <c r="S12" s="32"/>
    </row>
    <row r="13" spans="1:19">
      <c r="A13" s="16" t="s">
        <v>625</v>
      </c>
      <c r="B13" s="17">
        <f>'lokale energieproductie'!N34</f>
        <v>12.06900000096552</v>
      </c>
      <c r="C13" s="17">
        <f>'lokale energieproductie'!O34</f>
        <v>7.0110652907398858</v>
      </c>
      <c r="D13" s="920">
        <f>('lokale energieproductie'!P34)*(-1)</f>
        <v>-22.449776787509983</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847.3797356809938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-1864.0450520687525</v>
      </c>
      <c r="C15" s="17">
        <f>('Eigen gebouwen'!C4)*(-1)</f>
        <v>-62.957089750000002</v>
      </c>
      <c r="D15" s="17">
        <f>('Eigen gebouwen'!D4)*(-1)</f>
        <v>-3723.8202420350949</v>
      </c>
      <c r="E15" s="17">
        <f>('Eigen gebouwen'!E4)*(-1)</f>
        <v>0</v>
      </c>
      <c r="F15" s="17">
        <f>('Eigen gebouwen'!F4)*(-1)</f>
        <v>-6.0468702502011169</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21297.990821348765</v>
      </c>
      <c r="C17" s="21">
        <f t="shared" ref="C17:O17" si="2">MAX((C5+C13+C15),0)</f>
        <v>0</v>
      </c>
      <c r="D17" s="21">
        <f t="shared" si="2"/>
        <v>27332.510534100405</v>
      </c>
      <c r="E17" s="21">
        <f t="shared" si="2"/>
        <v>36.705146986349504</v>
      </c>
      <c r="F17" s="21">
        <f>MAX((F5+F13+F15),0)</f>
        <v>2455.4325014530036</v>
      </c>
      <c r="G17" s="21" t="s">
        <v>637</v>
      </c>
      <c r="H17" s="21">
        <f t="shared" ref="H17" si="3">MAX((H5+H13+H15),0)</f>
        <v>0.36252457948451594</v>
      </c>
      <c r="I17" s="21" t="s">
        <v>637</v>
      </c>
      <c r="J17" s="21">
        <f t="shared" si="2"/>
        <v>1.7273113479334877E-2</v>
      </c>
      <c r="K17" s="21" t="s">
        <v>637</v>
      </c>
      <c r="L17" s="21" t="s">
        <v>668</v>
      </c>
      <c r="M17" s="21" t="s">
        <v>668</v>
      </c>
      <c r="N17" s="21" t="s">
        <v>668</v>
      </c>
      <c r="O17" s="21">
        <f t="shared" si="2"/>
        <v>692.55053635240063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0.17328194205259015</v>
      </c>
      <c r="C19" s="25">
        <f>'EF ele_warmte'!B23</f>
        <v>1.2341980131859949E-2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3690.5572113415537</v>
      </c>
      <c r="C21" s="23">
        <f t="shared" ref="C21:O21" si="4">C17*C19</f>
        <v>0</v>
      </c>
      <c r="D21" s="23">
        <f t="shared" si="4"/>
        <v>5521.1671278882823</v>
      </c>
      <c r="E21" s="23">
        <f t="shared" si="4"/>
        <v>8.3320683659013373</v>
      </c>
      <c r="F21" s="23">
        <f t="shared" si="4"/>
        <v>655.60047788795202</v>
      </c>
      <c r="G21" s="23" t="s">
        <v>637</v>
      </c>
      <c r="H21" s="23">
        <f t="shared" si="4"/>
        <v>9.0268620291644466E-2</v>
      </c>
      <c r="I21" s="23" t="s">
        <v>637</v>
      </c>
      <c r="J21" s="23">
        <f t="shared" si="4"/>
        <v>6.1146821716845465E-3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5794.5321577355544</v>
      </c>
      <c r="C27" s="39">
        <f>IF(ISERROR(B27*3.6/1000000/'E Balans VL '!Z12*100),0,B27*3.6/1000000/'E Balans VL '!Z12*100)</f>
        <v>0.17650892161943549</v>
      </c>
      <c r="D27" s="216" t="s">
        <v>734</v>
      </c>
      <c r="F27" s="6"/>
    </row>
    <row r="28" spans="1:19">
      <c r="A28" s="211" t="s">
        <v>52</v>
      </c>
      <c r="B28" s="33">
        <f>IF(ISERROR(TER_horeca_ele_kWh/1000),0,TER_horeca_ele_kWh/1000)</f>
        <v>1614.8302200000001</v>
      </c>
      <c r="C28" s="39">
        <f>IF(ISERROR(B28*3.6/1000000/'E Balans VL '!Z9*100),0,B28*3.6/1000000/'E Balans VL '!Z9*100)</f>
        <v>0.192345717604785</v>
      </c>
      <c r="D28" s="216" t="s">
        <v>734</v>
      </c>
      <c r="F28" s="6"/>
    </row>
    <row r="29" spans="1:19">
      <c r="A29" s="164" t="s">
        <v>51</v>
      </c>
      <c r="B29" s="33">
        <f>IF(ISERROR(TER_handel_ele_kWh/1000),0,TER_handel_ele_kWh/1000)</f>
        <v>5724.3678799999998</v>
      </c>
      <c r="C29" s="39">
        <f>IF(ISERROR(B29*3.6/1000000/'E Balans VL '!Z13*100),0,B29*3.6/1000000/'E Balans VL '!Z13*100)</f>
        <v>0.19671790326303393</v>
      </c>
      <c r="D29" s="216" t="s">
        <v>734</v>
      </c>
      <c r="F29" s="6"/>
    </row>
    <row r="30" spans="1:19">
      <c r="A30" s="211" t="s">
        <v>50</v>
      </c>
      <c r="B30" s="33">
        <f>IF(ISERROR(TER_gezond_ele_kWh/1000),0,TER_gezond_ele_kWh/1000)</f>
        <v>5494.0541400000002</v>
      </c>
      <c r="C30" s="39">
        <f>IF(ISERROR(B30*3.6/1000000/'E Balans VL '!Z10*100),0,B30*3.6/1000000/'E Balans VL '!Z10*100)</f>
        <v>0.52726757750590325</v>
      </c>
      <c r="D30" s="216" t="s">
        <v>734</v>
      </c>
      <c r="F30" s="6"/>
    </row>
    <row r="31" spans="1:19">
      <c r="A31" s="211" t="s">
        <v>49</v>
      </c>
      <c r="B31" s="33">
        <f>IF(ISERROR(TER_ander_ele_kWh/1000),0,TER_ander_ele_kWh/1000)</f>
        <v>1838.5578700000001</v>
      </c>
      <c r="C31" s="39">
        <f>IF(ISERROR(B31*3.6/1000000/'E Balans VL '!Z14*100),0,B31*3.6/1000000/'E Balans VL '!Z14*100)</f>
        <v>7.0452741093874408E-2</v>
      </c>
      <c r="D31" s="216" t="s">
        <v>734</v>
      </c>
      <c r="F31" s="6"/>
    </row>
    <row r="32" spans="1:19">
      <c r="A32" s="211" t="s">
        <v>54</v>
      </c>
      <c r="B32" s="33">
        <f>IF(ISERROR(TER_onderwijs_ele_kWh/1000),0,TER_onderwijs_ele_kWh/1000)</f>
        <v>1803.7699399999999</v>
      </c>
      <c r="C32" s="39">
        <f>IF(ISERROR(B32*3.6/1000000/'E Balans VL '!Z11*100),0,B32*3.6/1000000/'E Balans VL '!Z11*100)</f>
        <v>0.36117471961044578</v>
      </c>
      <c r="D32" s="216" t="s">
        <v>734</v>
      </c>
    </row>
    <row r="33" spans="1:4">
      <c r="A33" s="211" t="s">
        <v>229</v>
      </c>
      <c r="B33" s="33">
        <f>IF(ISERROR(TER_rest_ele_kWh/1000),0,TER_rest_ele_kWh/1000)</f>
        <v>32.474930000000001</v>
      </c>
      <c r="C33" s="39">
        <f>IF(ISERROR(B33*3.6/1000000/'E Balans VL '!Z8*100),0,B33*3.6/1000000/'E Balans VL '!Z8*100)</f>
        <v>2.9038578394760957E-4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15347.002769999999</v>
      </c>
      <c r="C5" s="17">
        <f>IF(ISERROR('Eigen informatie GS &amp; warmtenet'!B63),0,'Eigen informatie GS &amp; warmtenet'!B63)</f>
        <v>0</v>
      </c>
      <c r="D5" s="30">
        <f>SUM(D6:D15)</f>
        <v>46853.690822399993</v>
      </c>
      <c r="E5" s="17">
        <f>SUM(E6:E15)</f>
        <v>66.582859224678856</v>
      </c>
      <c r="F5" s="17">
        <f>SUM(F6:F15)</f>
        <v>2051.3982355311036</v>
      </c>
      <c r="G5" s="17" t="s">
        <v>637</v>
      </c>
      <c r="H5" s="17">
        <f t="shared" ref="H5" si="0">SUM(H6:H15)</f>
        <v>0</v>
      </c>
      <c r="I5" s="17" t="s">
        <v>637</v>
      </c>
      <c r="J5" s="17">
        <f>SUM(J6:J15)</f>
        <v>11.941427296985621</v>
      </c>
      <c r="K5" s="17" t="s">
        <v>637</v>
      </c>
      <c r="L5" s="884" t="s">
        <v>668</v>
      </c>
      <c r="M5" s="17" t="s">
        <v>668</v>
      </c>
      <c r="N5" s="17" t="s">
        <v>668</v>
      </c>
      <c r="O5" s="17">
        <f>SUM(O6:O15)</f>
        <v>1118.2562007215192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1474.80063</v>
      </c>
      <c r="C8" s="33"/>
      <c r="D8" s="37">
        <f>IF( ISERROR(IND_metaal_Gas_kWH/1000),0,IND_metaal_Gas_kWH/1000)*0.903</f>
        <v>349.40058027000003</v>
      </c>
      <c r="E8" s="33">
        <f>C31*'E Balans VL '!I18/100/3.6*1000000</f>
        <v>8.1792585143700443</v>
      </c>
      <c r="F8" s="33">
        <f>C31*'E Balans VL '!L18/100/3.6*1000000+C31*'E Balans VL '!N18/100/3.6*1000000</f>
        <v>87.160452278813281</v>
      </c>
      <c r="G8" s="33"/>
      <c r="H8" s="33">
        <f>E31*'E Balans VL '!J18/100/3.6*1000000</f>
        <v>0</v>
      </c>
      <c r="I8" s="33"/>
      <c r="J8" s="40">
        <f>C31*'E Balans VL '!D18/100/3.6*1000000+C31*'E Balans VL '!E18/100/3.6*1000000</f>
        <v>0</v>
      </c>
      <c r="K8" s="33"/>
      <c r="L8" s="33"/>
      <c r="M8" s="33"/>
      <c r="N8" s="33"/>
      <c r="O8" s="33">
        <f>C31*'E Balans VL '!Y18/100/3.6*1000000</f>
        <v>23.587143162100368</v>
      </c>
      <c r="P8" s="33"/>
      <c r="Q8" s="33"/>
      <c r="S8" s="32"/>
    </row>
    <row r="9" spans="1:19">
      <c r="A9" s="6" t="s">
        <v>32</v>
      </c>
      <c r="B9" s="37">
        <f t="shared" si="1"/>
        <v>1393.2219300000002</v>
      </c>
      <c r="C9" s="33"/>
      <c r="D9" s="37">
        <f>IF( ISERROR(IND_andere_gas_kWh/1000),0,IND_andere_gas_kWh/1000)*0.903</f>
        <v>1197.86162874</v>
      </c>
      <c r="E9" s="33">
        <f>C32*'E Balans VL '!I19/100/3.6*1000000</f>
        <v>8.7722331082562732</v>
      </c>
      <c r="F9" s="33">
        <f>C32*'E Balans VL '!L19/100/3.6*1000000+C32*'E Balans VL '!N19/100/3.6*1000000</f>
        <v>1411.2145166613836</v>
      </c>
      <c r="G9" s="33"/>
      <c r="H9" s="33">
        <f>E32*'E Balans VL '!J19/100/3.6*1000000</f>
        <v>0</v>
      </c>
      <c r="I9" s="33"/>
      <c r="J9" s="40">
        <f>C32*'E Balans VL '!D19/100/3.6*1000000+C32*'E Balans VL '!E19/100/3.6*1000000</f>
        <v>0</v>
      </c>
      <c r="K9" s="33"/>
      <c r="L9" s="33"/>
      <c r="M9" s="33"/>
      <c r="N9" s="33"/>
      <c r="O9" s="33">
        <f>C32*'E Balans VL '!Y19/100/3.6*1000000</f>
        <v>89.763915749836542</v>
      </c>
      <c r="P9" s="33"/>
      <c r="Q9" s="33"/>
      <c r="S9" s="32"/>
    </row>
    <row r="10" spans="1:19">
      <c r="A10" s="6" t="s">
        <v>40</v>
      </c>
      <c r="B10" s="37">
        <f t="shared" si="1"/>
        <v>11776.28076</v>
      </c>
      <c r="C10" s="33"/>
      <c r="D10" s="37">
        <f>IF( ISERROR(IND_voed_gas_kWh/1000),0,IND_voed_gas_kWh/1000)*0.903</f>
        <v>44795.049581729996</v>
      </c>
      <c r="E10" s="33">
        <f>C33*'E Balans VL '!I20/100/3.6*1000000</f>
        <v>31.202562866943399</v>
      </c>
      <c r="F10" s="33">
        <f>C33*'E Balans VL '!L20/100/3.6*1000000+C33*'E Balans VL '!N20/100/3.6*1000000</f>
        <v>478.21410023385255</v>
      </c>
      <c r="G10" s="33"/>
      <c r="H10" s="33">
        <f>E33*'E Balans VL '!J20/100/3.6*1000000</f>
        <v>0</v>
      </c>
      <c r="I10" s="33"/>
      <c r="J10" s="40">
        <f>C33*'E Balans VL '!D20/100/3.6*1000000+C33*'E Balans VL '!E20/100/3.6*1000000</f>
        <v>0</v>
      </c>
      <c r="K10" s="33"/>
      <c r="L10" s="33"/>
      <c r="M10" s="33"/>
      <c r="N10" s="33"/>
      <c r="O10" s="33">
        <f>C33*'E Balans VL '!Y20/100/3.6*1000000</f>
        <v>774.08198903029836</v>
      </c>
      <c r="P10" s="33"/>
      <c r="Q10" s="33"/>
      <c r="S10" s="32"/>
    </row>
    <row r="11" spans="1:19">
      <c r="A11" s="6" t="s">
        <v>39</v>
      </c>
      <c r="B11" s="37">
        <f t="shared" si="1"/>
        <v>29.60284</v>
      </c>
      <c r="C11" s="33"/>
      <c r="D11" s="37">
        <f>IF( ISERROR(IND_textiel_gas_kWh/1000),0,IND_textiel_gas_kWh/1000)*0.903</f>
        <v>85.768059719999997</v>
      </c>
      <c r="E11" s="33">
        <f>C34*'E Balans VL '!I21/100/3.6*1000000</f>
        <v>0.39260957249655887</v>
      </c>
      <c r="F11" s="33">
        <f>C34*'E Balans VL '!L21/100/3.6*1000000+C34*'E Balans VL '!N21/100/3.6*1000000</f>
        <v>1.1792671005783544</v>
      </c>
      <c r="G11" s="33"/>
      <c r="H11" s="33">
        <f>E34*'E Balans VL '!J21/100/3.6*1000000</f>
        <v>0</v>
      </c>
      <c r="I11" s="33"/>
      <c r="J11" s="40">
        <f>C34*'E Balans VL '!D21/100/3.6*1000000+C34*'E Balans VL '!E21/100/3.6*1000000</f>
        <v>0</v>
      </c>
      <c r="K11" s="33"/>
      <c r="L11" s="33"/>
      <c r="M11" s="33"/>
      <c r="N11" s="33"/>
      <c r="O11" s="33">
        <f>C34*'E Balans VL '!Y21/100/3.6*1000000</f>
        <v>3.6869885306465475E-3</v>
      </c>
      <c r="P11" s="33"/>
      <c r="Q11" s="33"/>
      <c r="S11" s="32"/>
    </row>
    <row r="12" spans="1:19">
      <c r="A12" s="6" t="s">
        <v>36</v>
      </c>
      <c r="B12" s="37">
        <f t="shared" si="1"/>
        <v>531.52273000000002</v>
      </c>
      <c r="C12" s="33"/>
      <c r="D12" s="37">
        <f>IF( ISERROR(IND_min_gas_kWh/1000),0,IND_min_gas_kWh/1000)*0.903</f>
        <v>260.71962315000002</v>
      </c>
      <c r="E12" s="33">
        <f>C35*'E Balans VL '!I22/100/3.6*1000000</f>
        <v>4.4857722019814954</v>
      </c>
      <c r="F12" s="33">
        <f>C35*'E Balans VL '!L22/100/3.6*1000000+C35*'E Balans VL '!N22/100/3.6*1000000</f>
        <v>68.395834831140434</v>
      </c>
      <c r="G12" s="33"/>
      <c r="H12" s="33">
        <f>E35*'E Balans VL '!J22/100/3.6*1000000</f>
        <v>0</v>
      </c>
      <c r="I12" s="33"/>
      <c r="J12" s="40">
        <f>C35*'E Balans VL '!D22/100/3.6*1000000+C35*'E Balans VL '!E22/100/3.6*1000000</f>
        <v>11.87946988896673</v>
      </c>
      <c r="K12" s="33"/>
      <c r="L12" s="33"/>
      <c r="M12" s="33"/>
      <c r="N12" s="33"/>
      <c r="O12" s="33">
        <f>C35*'E Balans VL '!Y22/100/3.6*1000000</f>
        <v>230.2417993708147</v>
      </c>
      <c r="P12" s="33"/>
      <c r="Q12" s="33"/>
      <c r="S12" s="32"/>
    </row>
    <row r="13" spans="1:19">
      <c r="A13" s="6" t="s">
        <v>38</v>
      </c>
      <c r="B13" s="37">
        <f t="shared" si="1"/>
        <v>79.236260000000001</v>
      </c>
      <c r="C13" s="33"/>
      <c r="D13" s="37">
        <f>IF( ISERROR(IND_papier_gas_kWh/1000),0,IND_papier_gas_kWh/1000)*0.903</f>
        <v>162.92621310000001</v>
      </c>
      <c r="E13" s="33">
        <f>C36*'E Balans VL '!I23/100/3.6*1000000</f>
        <v>0</v>
      </c>
      <c r="F13" s="33">
        <f>C36*'E Balans VL '!L23/100/3.6*1000000+C36*'E Balans VL '!N23/100/3.6*1000000</f>
        <v>0.33015530096327278</v>
      </c>
      <c r="G13" s="33"/>
      <c r="H13" s="33">
        <f>E36*'E Balans VL '!J23/100/3.6*1000000</f>
        <v>0</v>
      </c>
      <c r="I13" s="33"/>
      <c r="J13" s="40">
        <f>C36*'E Balans VL '!D23/100/3.6*1000000+C36*'E Balans VL '!E23/100/3.6*1000000</f>
        <v>0</v>
      </c>
      <c r="K13" s="33"/>
      <c r="L13" s="33"/>
      <c r="M13" s="33"/>
      <c r="N13" s="33"/>
      <c r="O13" s="33">
        <f>C36*'E Balans VL '!Y23/100/3.6*1000000</f>
        <v>-8.6335313700066533E-8</v>
      </c>
      <c r="P13" s="33"/>
      <c r="Q13" s="33"/>
      <c r="S13" s="32"/>
    </row>
    <row r="14" spans="1:19">
      <c r="A14" s="6" t="s">
        <v>33</v>
      </c>
      <c r="B14" s="37">
        <f t="shared" si="1"/>
        <v>50.908639999999998</v>
      </c>
      <c r="C14" s="33"/>
      <c r="D14" s="37">
        <f>IF( ISERROR(IND_chemie_gas_kWh/1000),0,IND_chemie_gas_kWh/1000)*0.903</f>
        <v>0</v>
      </c>
      <c r="E14" s="33">
        <f>C37*'E Balans VL '!I24/100/3.6*1000000</f>
        <v>12.695230391482704</v>
      </c>
      <c r="F14" s="33">
        <f>C37*'E Balans VL '!L24/100/3.6*1000000+C37*'E Balans VL '!N24/100/3.6*1000000</f>
        <v>2.3572997845372696</v>
      </c>
      <c r="G14" s="33"/>
      <c r="H14" s="33">
        <f>E37*'E Balans VL '!J24/100/3.6*1000000</f>
        <v>0</v>
      </c>
      <c r="I14" s="33"/>
      <c r="J14" s="40">
        <f>C37*'E Balans VL '!D24/100/3.6*1000000+C37*'E Balans VL '!E24/100/3.6*1000000</f>
        <v>0</v>
      </c>
      <c r="K14" s="33"/>
      <c r="L14" s="33"/>
      <c r="M14" s="33"/>
      <c r="N14" s="33"/>
      <c r="O14" s="33">
        <f>C37*'E Balans VL '!Y24/100/3.6*1000000</f>
        <v>3.4798784494683668E-2</v>
      </c>
      <c r="P14" s="33"/>
      <c r="Q14" s="33"/>
      <c r="S14" s="32"/>
    </row>
    <row r="15" spans="1:19">
      <c r="A15" s="6" t="s">
        <v>234</v>
      </c>
      <c r="B15" s="37">
        <f t="shared" si="1"/>
        <v>11.428979999999999</v>
      </c>
      <c r="C15" s="33"/>
      <c r="D15" s="37">
        <f>IF( ISERROR(IND_rest_gas_kWh/1000),0,IND_rest_gas_kWh/1000)*0.903</f>
        <v>1.9651356899999999</v>
      </c>
      <c r="E15" s="33">
        <f>C38*'E Balans VL '!I15/100/3.6*1000000</f>
        <v>0.85519256914837327</v>
      </c>
      <c r="F15" s="33">
        <f>C38*'E Balans VL '!L15/100/3.6*1000000+C38*'E Balans VL '!N15/100/3.6*1000000</f>
        <v>2.5466093398347729</v>
      </c>
      <c r="G15" s="33"/>
      <c r="H15" s="33">
        <f>E38*'E Balans VL '!J15/100/3.6*1000000</f>
        <v>0</v>
      </c>
      <c r="I15" s="33"/>
      <c r="J15" s="40">
        <f>C38*'E Balans VL '!D15/100/3.6*1000000+C38*'E Balans VL '!E15/100/3.6*1000000</f>
        <v>6.1957408018890561E-2</v>
      </c>
      <c r="K15" s="33"/>
      <c r="L15" s="33"/>
      <c r="M15" s="33"/>
      <c r="N15" s="33"/>
      <c r="O15" s="33">
        <f>C38*'E Balans VL '!Y15/100/3.6*1000000</f>
        <v>0.54286772177921316</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323.409317804073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15670.412087804072</v>
      </c>
      <c r="C19" s="21">
        <f>C5+C16</f>
        <v>0</v>
      </c>
      <c r="D19" s="21">
        <f>MAX((D5+D16),0)</f>
        <v>46853.690822399993</v>
      </c>
      <c r="E19" s="21">
        <f>MAX((E5+E16),0)</f>
        <v>66.582859224678856</v>
      </c>
      <c r="F19" s="21">
        <f>MAX((F5+F16),0)</f>
        <v>2051.3982355311036</v>
      </c>
      <c r="G19" s="21" t="s">
        <v>637</v>
      </c>
      <c r="H19" s="21">
        <f t="shared" ref="H19" si="2">MAX((H5+H16),0)</f>
        <v>0</v>
      </c>
      <c r="I19" s="21" t="s">
        <v>637</v>
      </c>
      <c r="J19" s="21">
        <f>MAX((J5+J16),0)</f>
        <v>11.941427296985621</v>
      </c>
      <c r="K19" s="21" t="s">
        <v>637</v>
      </c>
      <c r="L19" s="882" t="s">
        <v>668</v>
      </c>
      <c r="M19" s="21" t="s">
        <v>668</v>
      </c>
      <c r="N19" s="21" t="s">
        <v>668</v>
      </c>
      <c r="O19" s="21">
        <f>MAX((O5+O16),0)</f>
        <v>1118.2562007215192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0.17328194205259015</v>
      </c>
      <c r="C21" s="25">
        <f>'EF ele_warmte'!B23</f>
        <v>1.2341980131859949E-2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2715.3994393390735</v>
      </c>
      <c r="C23" s="23">
        <f>C19*C21</f>
        <v>0</v>
      </c>
      <c r="D23" s="23">
        <f>D19*D21</f>
        <v>9464.4455461247999</v>
      </c>
      <c r="E23" s="23">
        <f>E19*E21</f>
        <v>15.1143090440021</v>
      </c>
      <c r="F23" s="23">
        <f>F19*F21</f>
        <v>547.72332888680467</v>
      </c>
      <c r="G23" s="23" t="s">
        <v>637</v>
      </c>
      <c r="H23" s="23">
        <f t="shared" ref="H23" si="3">H19*H21</f>
        <v>0</v>
      </c>
      <c r="I23" s="23" t="s">
        <v>637</v>
      </c>
      <c r="J23" s="23">
        <f>J19*J21</f>
        <v>4.2272652631329093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1474.80063</v>
      </c>
      <c r="C31" s="39">
        <f>IF(ISERROR(B31*3.6/1000000/'E Balans VL '!Z18*100),0,B31*3.6/1000000/'E Balans VL '!Z18*100)</f>
        <v>0.10353109996984602</v>
      </c>
      <c r="D31" s="216" t="s">
        <v>735</v>
      </c>
    </row>
    <row r="32" spans="1:19" ht="30">
      <c r="A32" s="6" t="s">
        <v>32</v>
      </c>
      <c r="B32" s="37">
        <f>IF( ISERROR(IND_ander_ele_kWh/1000),0,IND_ander_ele_kWh/1000)</f>
        <v>1393.2219300000002</v>
      </c>
      <c r="C32" s="39">
        <f>IF(ISERROR(B32*3.6/1000000/'E Balans VL '!Z19*100),0,B32*3.6/1000000/'E Balans VL '!Z19*100)</f>
        <v>7.4201719263300492E-2</v>
      </c>
      <c r="D32" s="216" t="s">
        <v>735</v>
      </c>
    </row>
    <row r="33" spans="1:5" ht="30">
      <c r="A33" s="164" t="s">
        <v>40</v>
      </c>
      <c r="B33" s="37">
        <f>IF( ISERROR(IND_voed_ele_kWh/1000),0,IND_voed_ele_kWh/1000)</f>
        <v>11776.28076</v>
      </c>
      <c r="C33" s="39">
        <f>IF(ISERROR(B33*3.6/1000000/'E Balans VL '!Z20*100),0,B33*3.6/1000000/'E Balans VL '!Z20*100)</f>
        <v>0.42673025391031427</v>
      </c>
      <c r="D33" s="216" t="s">
        <v>735</v>
      </c>
    </row>
    <row r="34" spans="1:5" ht="30">
      <c r="A34" s="164" t="s">
        <v>39</v>
      </c>
      <c r="B34" s="37">
        <f>IF( ISERROR(IND_textiel_ele_kWh/1000),0,IND_textiel_ele_kWh/1000)</f>
        <v>29.60284</v>
      </c>
      <c r="C34" s="39">
        <f>IF(ISERROR(B34*3.6/1000000/'E Balans VL '!Z21*100),0,B34*3.6/1000000/'E Balans VL '!Z21*100)</f>
        <v>5.32224977357856E-3</v>
      </c>
      <c r="D34" s="216" t="s">
        <v>735</v>
      </c>
    </row>
    <row r="35" spans="1:5" ht="30">
      <c r="A35" s="164" t="s">
        <v>36</v>
      </c>
      <c r="B35" s="37">
        <f>IF( ISERROR(IND_min_ele_kWh/1000),0,IND_min_ele_kWh/1000)</f>
        <v>531.52273000000002</v>
      </c>
      <c r="C35" s="39">
        <f>IF(ISERROR(B35*3.6/1000000/'E Balans VL '!Z22*100),0,B35*3.6/1000000/'E Balans VL '!Z22*100)</f>
        <v>0.13808876848653587</v>
      </c>
      <c r="D35" s="216" t="s">
        <v>735</v>
      </c>
    </row>
    <row r="36" spans="1:5" ht="30">
      <c r="A36" s="164" t="s">
        <v>38</v>
      </c>
      <c r="B36" s="37">
        <f>IF( ISERROR(IND_papier_ele_kWh/1000),0,IND_papier_ele_kWh/1000)</f>
        <v>79.236260000000001</v>
      </c>
      <c r="C36" s="39">
        <f>IF(ISERROR(B36*3.6/1000000/'E Balans VL '!Z22*100),0,B36*3.6/1000000/'E Balans VL '!Z22*100)</f>
        <v>2.0585455607663217E-2</v>
      </c>
      <c r="D36" s="216" t="s">
        <v>735</v>
      </c>
    </row>
    <row r="37" spans="1:5">
      <c r="A37" s="164" t="s">
        <v>33</v>
      </c>
      <c r="B37" s="37">
        <f>IF( ISERROR(IND_chemie_ele_kWh/1000),0,IND_chemie_ele_kWh/1000)</f>
        <v>50.908639999999998</v>
      </c>
      <c r="C37" s="39">
        <f>IF(ISERROR(B37*3.6/1000000/'E Balans VL '!Z24*100),0,B37*3.6/1000000/'E Balans VL '!Z24*100)</f>
        <v>1.7177515546480749E-3</v>
      </c>
      <c r="D37" s="216" t="s">
        <v>734</v>
      </c>
    </row>
    <row r="38" spans="1:5" ht="30">
      <c r="A38" s="164" t="s">
        <v>234</v>
      </c>
      <c r="B38" s="37">
        <f>IF( ISERROR(IND_rest_ele_kWh/1000),0,IND_rest_ele_kWh/1000)</f>
        <v>11.428979999999999</v>
      </c>
      <c r="C38" s="39">
        <f>IF(ISERROR(B38*3.6/1000000/'E Balans VL '!Z15*100),0,B38*3.6/1000000/'E Balans VL '!Z15*100)</f>
        <v>1.0989588625446054E-4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3117.0622599999997</v>
      </c>
      <c r="C5" s="17">
        <f>'Eigen informatie GS &amp; warmtenet'!B64</f>
        <v>0</v>
      </c>
      <c r="D5" s="30">
        <f>IF(ISERROR(SUM(LB_lb_gas_kWh,LB_rest_gas_kWh)/1000),0,SUM(LB_lb_gas_kWh,LB_rest_gas_kWh)/1000)*0.903</f>
        <v>577.82267465999996</v>
      </c>
      <c r="E5" s="17">
        <f>B18*'E Balans VL '!I25/3.6*1000000/100</f>
        <v>121.99895813257059</v>
      </c>
      <c r="F5" s="17">
        <f>B18*('E Balans VL '!L25/3.6*1000000+'E Balans VL '!N25/3.6*1000000)/100</f>
        <v>12350.524070026031</v>
      </c>
      <c r="G5" s="17" t="s">
        <v>637</v>
      </c>
      <c r="H5" s="17">
        <f>D18*('E Balans VL '!J25/3.6*1000000)/100</f>
        <v>0</v>
      </c>
      <c r="I5" s="17" t="s">
        <v>637</v>
      </c>
      <c r="J5" s="17">
        <f>('E Balans VL '!D25+'E Balans VL '!E25)/3.6*1000000*landbouw!B18/100</f>
        <v>392.79866388132473</v>
      </c>
      <c r="K5" s="17" t="s">
        <v>637</v>
      </c>
      <c r="L5" s="17" t="s">
        <v>668</v>
      </c>
      <c r="M5" s="17" t="s">
        <v>668</v>
      </c>
      <c r="N5" s="17" t="s">
        <v>671</v>
      </c>
      <c r="O5" s="17">
        <f>O6*(-1)</f>
        <v>479.23287149436982</v>
      </c>
      <c r="P5" s="17" t="s">
        <v>637</v>
      </c>
      <c r="Q5" s="17" t="s">
        <v>637</v>
      </c>
      <c r="S5" s="32"/>
    </row>
    <row r="6" spans="1:19">
      <c r="A6" s="16" t="s">
        <v>626</v>
      </c>
      <c r="B6" s="17" t="s">
        <v>191</v>
      </c>
      <c r="C6" s="17">
        <f>'lokale energieproductie'!O35</f>
        <v>347.74371569336461</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-479.23287149436982</v>
      </c>
      <c r="P6" s="223"/>
      <c r="Q6" s="223"/>
      <c r="S6" s="32"/>
    </row>
    <row r="7" spans="1:19" s="812" customFormat="1">
      <c r="A7" s="16" t="s">
        <v>484</v>
      </c>
      <c r="B7" s="17">
        <f>MWh_eigenverbruikPV_landbouw</f>
        <v>263.58136994250037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3380.6436299425</v>
      </c>
      <c r="C9" s="21">
        <f>C5+C6</f>
        <v>347.74371569336461</v>
      </c>
      <c r="D9" s="21">
        <f>MAX((D5+D6),0)</f>
        <v>577.82267465999996</v>
      </c>
      <c r="E9" s="21">
        <f>MAX((E5+E6),0)</f>
        <v>121.99895813257059</v>
      </c>
      <c r="F9" s="21">
        <f>MAX((F5+F6),0)</f>
        <v>12350.524070026031</v>
      </c>
      <c r="G9" s="21" t="s">
        <v>637</v>
      </c>
      <c r="H9" s="21" t="s">
        <v>637</v>
      </c>
      <c r="I9" s="21" t="s">
        <v>637</v>
      </c>
      <c r="J9" s="21">
        <f>MAX((J5+J6),0)</f>
        <v>392.79866388132473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0.17328194205259015</v>
      </c>
      <c r="C11" s="31">
        <f>'EF ele_warmte'!B23</f>
        <v>1.2341980131859949E-2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585.80449358415433</v>
      </c>
      <c r="C13" s="23">
        <f>C9*C11</f>
        <v>4.2918460300666608</v>
      </c>
      <c r="D13" s="23">
        <f>D9*D11</f>
        <v>116.72018028132</v>
      </c>
      <c r="E13" s="23">
        <f>E9*E11</f>
        <v>27.693763496093524</v>
      </c>
      <c r="F13" s="23">
        <f>F9*F11</f>
        <v>3297.5899266969504</v>
      </c>
      <c r="G13" s="23" t="s">
        <v>637</v>
      </c>
      <c r="H13" s="23" t="s">
        <v>637</v>
      </c>
      <c r="I13" s="23" t="s">
        <v>637</v>
      </c>
      <c r="J13" s="23">
        <f>J9*J11</f>
        <v>139.05072701398893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0.53876028618160443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562.53632546439587</v>
      </c>
      <c r="C26" s="222">
        <f>B26*'GWP N2O_CH4'!B5</f>
        <v>15751.017113003085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433.54814659096144</v>
      </c>
      <c r="C27" s="222">
        <f>B27*'GWP N2O_CH4'!B5</f>
        <v>12139.34810454692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8.407271651497453</v>
      </c>
      <c r="C28" s="222">
        <f>B28*'GWP N2O_CH4'!B4</f>
        <v>2227.9269876468252</v>
      </c>
      <c r="D28" s="50"/>
    </row>
    <row r="29" spans="1:4">
      <c r="A29" s="41" t="s">
        <v>241</v>
      </c>
      <c r="B29" s="222">
        <f>B34*'ha_N2O bodem landbouw'!B4</f>
        <v>16.745781613390978</v>
      </c>
      <c r="C29" s="222">
        <f>B29*'GWP N2O_CH4'!B4</f>
        <v>4437.6321275486089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4.0725682499428428E-3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6.019748714249604E-3</v>
      </c>
      <c r="C5" s="922" t="s">
        <v>667</v>
      </c>
      <c r="D5" s="924">
        <f>SUM(D6:D11)</f>
        <v>1.5914656370613952E-3</v>
      </c>
      <c r="E5" s="924">
        <f>SUM(E6:E11)</f>
        <v>7.33214640665051E-4</v>
      </c>
      <c r="F5" s="923" t="s">
        <v>667</v>
      </c>
      <c r="G5" s="924">
        <f>SUM(G6:G11)</f>
        <v>0.27815149463187316</v>
      </c>
      <c r="H5" s="924">
        <f>SUM(H6:H11)</f>
        <v>0.11329533831641055</v>
      </c>
      <c r="I5" s="922" t="s">
        <v>667</v>
      </c>
      <c r="J5" s="922" t="s">
        <v>667</v>
      </c>
      <c r="K5" s="922" t="s">
        <v>667</v>
      </c>
      <c r="L5" s="922" t="s">
        <v>667</v>
      </c>
      <c r="M5" s="922" t="s">
        <v>667</v>
      </c>
      <c r="N5" s="924">
        <f>SUM(N6:N11)</f>
        <v>4.2407023212157481E-2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2.9431425343048479E-3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7.6564165952454756E-4</v>
      </c>
      <c r="E6" s="926">
        <f>vkm_GW_PW*SUMIFS(TableVerdeelsleutelVkm[LPG],TableVerdeelsleutelVkm[Voertuigtype],"Lichte voertuigen")*SUMIFS(TableECFTransport[EnergieConsumptieFactor (PJ per km)],TableECFTransport[Index],CONCATENATE($A6,"_LPG_LPG"))</f>
        <v>3.5713171946179744E-4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7.7601055668462482E-2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5.5850215347330041E-2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1.3779959880313494E-2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8.7065593898347931E-6</v>
      </c>
      <c r="C7" s="926"/>
      <c r="D7" s="926">
        <f>vkm_GW_ZV*SUMIFS(TableVerdeelsleutelVkm[CNG],TableVerdeelsleutelVkm[Voertuigtype],"Zware voertuigen")*SUMIFS(TableECFTransport[EnergieConsumptieFactor (PJ per km)],TableECFTransport[Index],CONCATENATE($A7,"_CNG_CNG"))</f>
        <v>1.1827689915609443E-7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8.4502544864541909E-2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2.729261515841963E-7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1.0116243472226883E-2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1.7769652832889072E-3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6.3841305106858068E-4</v>
      </c>
      <c r="E8" s="927">
        <f>vkm_NGW_PW*SUMIFS(TableVerdeelsleutelVkm[LPG],TableVerdeelsleutelVkm[Voertuigtype],"Lichte voertuigen")*SUMIFS(TableECFTransport[EnergieConsumptieFactor (PJ per km)],TableECFTransport[Index],CONCATENATE($A8,"_LPG_LPG"))</f>
        <v>2.6376304391742219E-4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5.3636442357187758E-2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4.2095533419628482E-2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9.8052602421856028E-3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1.5339100914130333E-6</v>
      </c>
      <c r="C9" s="926"/>
      <c r="D9" s="927">
        <f>vkm_NGW_ZV*SUMIFS(TableVerdeelsleutelVkm[CNG],TableVerdeelsleutelVkm[Voertuigtype],"Zware voertuigen")*SUMIFS(TableECFTransport[EnergieConsumptieFactor (PJ per km)],TableECFTransport[Index],CONCATENATE($A9,"_CNG_CNG"))</f>
        <v>2.7053395893611608E-8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1.9328210466704084E-2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5.8038333739145656E-8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2.3138812383516885E-3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1.2870894212277011E-3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1.8723639607056523E-4</v>
      </c>
      <c r="E10" s="927">
        <f>vkm_SW_PW*SUMIFS(TableVerdeelsleutelVkm[LPG],TableVerdeelsleutelVkm[Voertuigtype],"Lichte voertuigen")*SUMIFS(TableECFTransport[EnergieConsumptieFactor (PJ per km)],TableECFTransport[Index],CONCATENATE($A10,"_LPG_LPG"))</f>
        <v>1.123198772858314E-4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2.2221323165848419E-2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1.5349184020814029E-2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3.894188013149042E-3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2.3110059469001484E-6</v>
      </c>
      <c r="C11" s="929"/>
      <c r="D11" s="930">
        <f>vkm_SW_ZV*SUMIFS(TableVerdeelsleutelVkm[CNG],TableVerdeelsleutelVkm[Voertuigtype],"Zware voertuigen")*SUMIFS(TableECFTransport[EnergieConsumptieFactor (PJ per km)],TableECFTransport[Index],CONCATENATE($A11,"_CNG_CNG"))</f>
        <v>2.9200102651955472E-8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2.0861918109128536E-2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7.4564152676649227E-8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2.4974903659307729E-3</v>
      </c>
      <c r="O11" s="929"/>
      <c r="P11" s="929"/>
      <c r="Q11" s="931"/>
      <c r="S11" s="705"/>
    </row>
    <row r="12" spans="1:19">
      <c r="A12" s="285" t="s">
        <v>442</v>
      </c>
      <c r="B12" s="369">
        <f>('Eigen vloot'!B27)*(-1)</f>
        <v>0</v>
      </c>
      <c r="C12" s="369"/>
      <c r="D12" s="369">
        <f>('Eigen vloot'!D27)*(-1)</f>
        <v>-8.2393044053106106</v>
      </c>
      <c r="E12" s="369">
        <f>('Eigen vloot'!E27)*(-1)</f>
        <v>0</v>
      </c>
      <c r="F12" s="369"/>
      <c r="G12" s="369">
        <f>('Eigen vloot'!G27)*(-1)</f>
        <v>-6.491940309282322</v>
      </c>
      <c r="H12" s="369">
        <f>('Eigen vloot'!H27)*(-1)</f>
        <v>-22.123694402537783</v>
      </c>
      <c r="I12" s="369"/>
      <c r="J12" s="369"/>
      <c r="K12" s="369"/>
      <c r="L12" s="932"/>
      <c r="M12" s="369"/>
      <c r="N12" s="369">
        <f>('Eigen vloot'!N27)*(-1)</f>
        <v>-2.5557662990378738</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1672.1524206248901</v>
      </c>
      <c r="C14" s="21" t="s">
        <v>667</v>
      </c>
      <c r="D14" s="21">
        <f>MAX(((D5)*10^9/3600)+D12,0)</f>
        <v>433.83448366729914</v>
      </c>
      <c r="E14" s="21">
        <f>MAX(((E5)*10^9/3600)+E12,0)</f>
        <v>203.67073351806971</v>
      </c>
      <c r="F14" s="21" t="s">
        <v>667</v>
      </c>
      <c r="G14" s="21">
        <f>MAX(((G5)*10^9/3600)+G12,0)</f>
        <v>77257.812124099946</v>
      </c>
      <c r="H14" s="21">
        <f>MAX(((H5)*10^9/3600)+H12,0)</f>
        <v>31448.803615711502</v>
      </c>
      <c r="I14" s="21" t="s">
        <v>667</v>
      </c>
      <c r="J14" s="21" t="s">
        <v>667</v>
      </c>
      <c r="K14" s="21" t="s">
        <v>667</v>
      </c>
      <c r="L14" s="882" t="s">
        <v>667</v>
      </c>
      <c r="M14" s="21" t="s">
        <v>667</v>
      </c>
      <c r="N14" s="21">
        <f>MAX(((N5)*10^9/3600)+N12,0)</f>
        <v>11777.172903744708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0.17328194205259015</v>
      </c>
      <c r="C16" s="55">
        <f>'EF ele_warmte'!B23</f>
        <v>1.2341980131859949E-2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289.75381885382052</v>
      </c>
      <c r="C18" s="23" t="s">
        <v>667</v>
      </c>
      <c r="D18" s="23">
        <f t="shared" ref="D18:N18" si="0">D14*D16</f>
        <v>87.634565700794425</v>
      </c>
      <c r="E18" s="23">
        <f>E14*E16</f>
        <v>46.233256508601826</v>
      </c>
      <c r="F18" s="23" t="s">
        <v>667</v>
      </c>
      <c r="G18" s="23">
        <f t="shared" si="0"/>
        <v>20627.835837134688</v>
      </c>
      <c r="H18" s="23">
        <f t="shared" si="0"/>
        <v>7830.7521003121637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8.9077131277570074E-5</v>
      </c>
      <c r="C50" s="937" t="s">
        <v>667</v>
      </c>
      <c r="D50" s="937" t="s">
        <v>667</v>
      </c>
      <c r="E50" s="937" t="s">
        <v>667</v>
      </c>
      <c r="F50" s="937" t="s">
        <v>667</v>
      </c>
      <c r="G50" s="937">
        <f t="shared" ref="G50:N50" si="1">SUM(G51:G52)</f>
        <v>3.5782254027342578E-3</v>
      </c>
      <c r="H50" s="937" t="s">
        <v>667</v>
      </c>
      <c r="I50" s="937" t="s">
        <v>667</v>
      </c>
      <c r="J50" s="937" t="s">
        <v>667</v>
      </c>
      <c r="K50" s="937" t="s">
        <v>667</v>
      </c>
      <c r="L50" s="937" t="s">
        <v>667</v>
      </c>
      <c r="M50" s="937" t="s">
        <v>667</v>
      </c>
      <c r="N50" s="937">
        <f t="shared" si="1"/>
        <v>4.2836722751692205E-4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8.9077131277570074E-5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3.5782254027342578E-3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4.2836722751692205E-4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24.743647577102799</v>
      </c>
      <c r="C54" s="21" t="s">
        <v>667</v>
      </c>
      <c r="D54" s="21" t="s">
        <v>667</v>
      </c>
      <c r="E54" s="21" t="s">
        <v>667</v>
      </c>
      <c r="F54" s="21" t="s">
        <v>667</v>
      </c>
      <c r="G54" s="21">
        <f t="shared" ref="G54:N54" si="2">(G50)*10^9/3600</f>
        <v>993.95150075951608</v>
      </c>
      <c r="H54" s="21" t="s">
        <v>667</v>
      </c>
      <c r="I54" s="21" t="s">
        <v>667</v>
      </c>
      <c r="J54" s="21" t="s">
        <v>667</v>
      </c>
      <c r="K54" s="21" t="s">
        <v>667</v>
      </c>
      <c r="L54" s="21" t="s">
        <v>667</v>
      </c>
      <c r="M54" s="21" t="s">
        <v>667</v>
      </c>
      <c r="N54" s="21">
        <f t="shared" si="2"/>
        <v>118.99089653247835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0.17328194205259015</v>
      </c>
      <c r="C56" s="55">
        <f>'EF ele_warmte'!B23</f>
        <v>1.2341980131859949E-2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4.2876273056252394</v>
      </c>
      <c r="C58" s="23" t="s">
        <v>667</v>
      </c>
      <c r="D58" s="23" t="s">
        <v>667</v>
      </c>
      <c r="E58" s="23" t="s">
        <v>667</v>
      </c>
      <c r="F58" s="23" t="s">
        <v>667</v>
      </c>
      <c r="G58" s="23">
        <f t="shared" ref="G58:N58" si="3">G54*G56</f>
        <v>265.38505070279081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16067.591910392934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115.0084780092007</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8.1162532009729826</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115.81709084670457</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1.6394831465965427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16182.600388402134</v>
      </c>
      <c r="C10" s="456">
        <f t="shared" ref="C10:M10" si="0">SUM(C8:C9)</f>
        <v>8.1162532009729826</v>
      </c>
      <c r="D10" s="456">
        <f t="shared" si="0"/>
        <v>0</v>
      </c>
      <c r="E10" s="456">
        <f t="shared" si="0"/>
        <v>0</v>
      </c>
      <c r="F10" s="456">
        <f t="shared" si="0"/>
        <v>0</v>
      </c>
      <c r="G10" s="456">
        <f t="shared" si="0"/>
        <v>0</v>
      </c>
      <c r="H10" s="456">
        <f t="shared" si="0"/>
        <v>0</v>
      </c>
      <c r="I10" s="456">
        <f t="shared" si="0"/>
        <v>0</v>
      </c>
      <c r="J10" s="456">
        <f t="shared" si="0"/>
        <v>0</v>
      </c>
      <c r="K10" s="456">
        <f t="shared" si="0"/>
        <v>115.81709084670457</v>
      </c>
      <c r="L10" s="456">
        <f t="shared" si="0"/>
        <v>0</v>
      </c>
      <c r="M10" s="456">
        <f t="shared" si="0"/>
        <v>0</v>
      </c>
      <c r="N10" s="457">
        <f>SUM(N4:N9)</f>
        <v>1.6394831465965427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360.87848098459438</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25.467523587427724</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363.41578064766526</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5.144439764660401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360.87848098459438</v>
      </c>
      <c r="C20" s="455">
        <f>SUM(C17:C19)</f>
        <v>25.467523587427724</v>
      </c>
      <c r="D20" s="455">
        <f t="shared" ref="D20:K20" si="2">SUM(D17:D19)</f>
        <v>0</v>
      </c>
      <c r="E20" s="455">
        <f t="shared" si="2"/>
        <v>0</v>
      </c>
      <c r="F20" s="455">
        <f t="shared" si="2"/>
        <v>0</v>
      </c>
      <c r="G20" s="455">
        <f t="shared" si="2"/>
        <v>0</v>
      </c>
      <c r="H20" s="455">
        <f t="shared" si="2"/>
        <v>0</v>
      </c>
      <c r="I20" s="455">
        <f t="shared" si="2"/>
        <v>0</v>
      </c>
      <c r="J20" s="455">
        <f t="shared" si="2"/>
        <v>0</v>
      </c>
      <c r="K20" s="455">
        <f t="shared" si="2"/>
        <v>363.41578064766526</v>
      </c>
      <c r="L20" s="455"/>
      <c r="M20" s="455">
        <f>SUM(M17:M19)</f>
        <v>0</v>
      </c>
      <c r="N20" s="479">
        <f>SUM(N17:N19)</f>
        <v>5.144439764660401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31033</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31033</v>
      </c>
      <c r="C29" s="619"/>
      <c r="D29" s="526"/>
      <c r="E29" s="525"/>
      <c r="F29" s="525"/>
      <c r="G29" s="525"/>
      <c r="H29" s="525"/>
      <c r="I29" s="525"/>
      <c r="J29" s="618"/>
      <c r="K29" s="618"/>
      <c r="L29" s="525"/>
      <c r="M29" s="525">
        <v>1.5</v>
      </c>
      <c r="N29" s="525">
        <v>12.06900000096552</v>
      </c>
      <c r="O29" s="525">
        <v>7.0110652907398858</v>
      </c>
      <c r="P29" s="525">
        <v>22.449776787509983</v>
      </c>
      <c r="Q29" s="525">
        <v>0</v>
      </c>
      <c r="R29" s="525">
        <v>0</v>
      </c>
      <c r="S29" s="525">
        <v>0</v>
      </c>
      <c r="T29" s="525">
        <v>0</v>
      </c>
      <c r="U29" s="525">
        <v>0</v>
      </c>
      <c r="V29" s="525">
        <v>0</v>
      </c>
      <c r="W29" s="525">
        <v>0</v>
      </c>
      <c r="X29" s="525">
        <v>0</v>
      </c>
      <c r="Y29" s="525">
        <v>0</v>
      </c>
      <c r="Z29" s="525"/>
      <c r="AA29" s="527" t="s">
        <v>136</v>
      </c>
    </row>
    <row r="30" spans="1:27" s="484" customFormat="1" ht="12.75">
      <c r="A30" s="483"/>
      <c r="B30" s="619">
        <v>31033</v>
      </c>
      <c r="C30" s="619"/>
      <c r="D30" s="526"/>
      <c r="E30" s="525"/>
      <c r="F30" s="525"/>
      <c r="G30" s="525"/>
      <c r="H30" s="525"/>
      <c r="I30" s="525"/>
      <c r="J30" s="618"/>
      <c r="K30" s="618"/>
      <c r="L30" s="525"/>
      <c r="M30" s="525">
        <v>18.46</v>
      </c>
      <c r="N30" s="525">
        <v>98.853300007908288</v>
      </c>
      <c r="O30" s="525">
        <v>347.74371569336461</v>
      </c>
      <c r="P30" s="525">
        <v>0</v>
      </c>
      <c r="Q30" s="525">
        <v>479.23287149436982</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20.694000000000003</v>
      </c>
      <c r="N31" s="487">
        <f>SUM(N28:N30)</f>
        <v>115.0084780092007</v>
      </c>
      <c r="O31" s="487">
        <f>SUM(O28:O30)</f>
        <v>360.87848098459438</v>
      </c>
      <c r="P31" s="487">
        <f>SUM(P28:P30)</f>
        <v>33.583776788400705</v>
      </c>
      <c r="Q31" s="487">
        <f>SUM(Q28:Q30)</f>
        <v>479.23287149436982</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0.73399999999999999</v>
      </c>
      <c r="N32" s="487">
        <f>SUMIF($AA$28:$AA$30,"huishoudens",N28:N30)</f>
        <v>4.0861780003268944</v>
      </c>
      <c r="O32" s="487">
        <f>SUMIF($AA$28:$AA$30,"huishoudens",O28:O30)</f>
        <v>6.1237000004898965</v>
      </c>
      <c r="P32" s="487">
        <f>SUMIF($AA$28:$AA$30,"huishoudens",P28:P30)</f>
        <v>11.134000000890721</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1.5</v>
      </c>
      <c r="N34" s="487">
        <f>SUMIF($AA$28:$AA$30,"tertiair",N28:N30)</f>
        <v>12.06900000096552</v>
      </c>
      <c r="O34" s="487">
        <f>SUMIF($AA$28:$AA$30,"tertiair",O28:O30)</f>
        <v>7.0110652907398858</v>
      </c>
      <c r="P34" s="487">
        <f>SUMIF($AA$28:$AA$30,"tertiair",P28:P30)</f>
        <v>22.449776787509983</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18.46</v>
      </c>
      <c r="N35" s="492">
        <f>SUMIF($AA$28:$AA$30,"landbouw",N28:N30)</f>
        <v>98.853300007908288</v>
      </c>
      <c r="O35" s="492">
        <f>SUMIF($AA$28:$AA$30,"landbouw",O28:O30)</f>
        <v>347.74371569336461</v>
      </c>
      <c r="P35" s="492">
        <f>SUMIF($AA$28:$AA$30,"landbouw",P28:P30)</f>
        <v>0</v>
      </c>
      <c r="Q35" s="492">
        <f>SUMIF($AA$28:$AA$30,"landbouw",Q28:Q30)</f>
        <v>479.23287149436982</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0.7583281579046165</v>
      </c>
      <c r="C42" s="510">
        <f>IF(ISERROR(N31/(O31+N31)),0,N31/(N31+O31))</f>
        <v>0.24167184209538353</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8.1162532009729826</v>
      </c>
      <c r="C45" s="519">
        <f t="shared" si="3"/>
        <v>115.81709084670457</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25.467523587427724</v>
      </c>
      <c r="C46" s="521">
        <f t="shared" si="4"/>
        <v>363.41578064766526</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2024-08-06T13:17:49Z</dcterms:modified>
</cp:coreProperties>
</file>