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ADD7A0F2-B0EE-4964-A49E-9A10B0204CCD}"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2" i="18"/>
  <c r="E6" i="13" s="1"/>
  <c r="W32" i="18"/>
  <c r="X34" i="18"/>
  <c r="E13" i="15" s="1"/>
  <c r="W34" i="18"/>
  <c r="V34" i="18"/>
  <c r="U34" i="18"/>
  <c r="T34" i="18"/>
  <c r="S34" i="18"/>
  <c r="F13" i="15" s="1"/>
  <c r="R34" i="18"/>
  <c r="Q34" i="18"/>
  <c r="P34" i="18"/>
  <c r="D13" i="15" s="1"/>
  <c r="O34" i="18"/>
  <c r="C13" i="15" s="1"/>
  <c r="N34" i="18"/>
  <c r="B13" i="15" s="1"/>
  <c r="M34" i="18"/>
  <c r="V32" i="18"/>
  <c r="U32" i="18"/>
  <c r="T32" i="18"/>
  <c r="S32" i="18"/>
  <c r="F6" i="13" s="1"/>
  <c r="R32" i="18"/>
  <c r="O6" i="13" s="1"/>
  <c r="Q32" i="18"/>
  <c r="L6" i="13" s="1"/>
  <c r="L9" i="13" s="1"/>
  <c r="P32" i="18"/>
  <c r="D6" i="13" s="1"/>
  <c r="O32" i="18"/>
  <c r="C6" i="13" s="1"/>
  <c r="N32" i="18"/>
  <c r="M32" i="18"/>
  <c r="AC25" i="5"/>
  <c r="Z25" i="5"/>
  <c r="Y25" i="5"/>
  <c r="X31" i="18"/>
  <c r="X35" i="18"/>
  <c r="E6" i="17" s="1"/>
  <c r="X33"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3"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5" i="18"/>
  <c r="V35" i="18"/>
  <c r="U35" i="18"/>
  <c r="T35" i="18"/>
  <c r="S35" i="18"/>
  <c r="F6" i="17" s="1"/>
  <c r="R35" i="18"/>
  <c r="Q35" i="18"/>
  <c r="P35" i="18"/>
  <c r="D6" i="17" s="1"/>
  <c r="O35" i="18"/>
  <c r="C6" i="17" s="1"/>
  <c r="N35" i="18"/>
  <c r="M35" i="18"/>
  <c r="W33" i="18"/>
  <c r="V33" i="18"/>
  <c r="U33" i="18"/>
  <c r="T33" i="18"/>
  <c r="S33" i="18"/>
  <c r="F16" i="16" s="1"/>
  <c r="R33" i="18"/>
  <c r="Q33" i="18"/>
  <c r="P33" i="18"/>
  <c r="O33" i="18"/>
  <c r="C16" i="16" s="1"/>
  <c r="N33" i="18"/>
  <c r="B16" i="16" s="1"/>
  <c r="W31" i="18"/>
  <c r="V31" i="18"/>
  <c r="U31" i="18"/>
  <c r="T31" i="18"/>
  <c r="S31" i="18"/>
  <c r="R31" i="18"/>
  <c r="Q31" i="18"/>
  <c r="P31" i="18"/>
  <c r="O31" i="18"/>
  <c r="N31" i="18"/>
  <c r="B8" i="18" s="1"/>
  <c r="M31"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Q19" i="16"/>
  <c r="B38" i="16"/>
  <c r="C38" i="16"/>
  <c r="F15" i="16" s="1"/>
  <c r="B37" i="16"/>
  <c r="C37" i="16" s="1"/>
  <c r="B36" i="16"/>
  <c r="B13" i="16" s="1"/>
  <c r="B35" i="16"/>
  <c r="C35" i="16" s="1"/>
  <c r="O12" i="16" s="1"/>
  <c r="B12" i="16"/>
  <c r="B34" i="16"/>
  <c r="C34" i="16" s="1"/>
  <c r="J11" i="16" s="1"/>
  <c r="B33" i="16"/>
  <c r="C33" i="16" s="1"/>
  <c r="B32" i="16"/>
  <c r="C32" i="16" s="1"/>
  <c r="B31" i="16"/>
  <c r="C31" i="16" s="1"/>
  <c r="O8" i="16" s="1"/>
  <c r="B30" i="16"/>
  <c r="B7" i="16" s="1"/>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7" i="15"/>
  <c r="P19" i="16"/>
  <c r="B11" i="15"/>
  <c r="H104" i="14"/>
  <c r="H9" i="59" s="1"/>
  <c r="O11" i="48"/>
  <c r="C78" i="22"/>
  <c r="P17" i="15"/>
  <c r="B101" i="14"/>
  <c r="B6" i="59" s="1"/>
  <c r="B100" i="14"/>
  <c r="B5" i="59" s="1"/>
  <c r="B15" i="16"/>
  <c r="B9" i="15"/>
  <c r="P11" i="48"/>
  <c r="Q10" i="14"/>
  <c r="Q9" i="14" s="1"/>
  <c r="C36" i="16" l="1"/>
  <c r="E13" i="16" s="1"/>
  <c r="O115" i="14"/>
  <c r="C42" i="18"/>
  <c r="C45" i="18" s="1"/>
  <c r="K8" i="18" s="1"/>
  <c r="B42" i="18"/>
  <c r="E10" i="15"/>
  <c r="H10" i="15"/>
  <c r="O13" i="15"/>
  <c r="F8" i="15"/>
  <c r="H8" i="15"/>
  <c r="H5" i="15" s="1"/>
  <c r="H17" i="15" s="1"/>
  <c r="C39" i="14"/>
  <c r="C41" i="14" s="1"/>
  <c r="M6" i="13"/>
  <c r="M9" i="13" s="1"/>
  <c r="M13" i="13" s="1"/>
  <c r="N62" i="14" s="1"/>
  <c r="L13" i="13"/>
  <c r="M62" i="14" s="1"/>
  <c r="M66" i="14" s="1"/>
  <c r="L4" i="48"/>
  <c r="L22" i="48" s="1"/>
  <c r="M16" i="14"/>
  <c r="M20" i="14" s="1"/>
  <c r="B9" i="13"/>
  <c r="B4" i="48" s="1"/>
  <c r="B6" i="13"/>
  <c r="B8" i="16"/>
  <c r="J9" i="15"/>
  <c r="H9" i="15"/>
  <c r="D16" i="16"/>
  <c r="O16" i="16"/>
  <c r="O6" i="17"/>
  <c r="O5" i="17" s="1"/>
  <c r="O9" i="17" s="1"/>
  <c r="P39" i="14" s="1"/>
  <c r="P41" i="14" s="1"/>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29" i="48"/>
  <c r="N30" i="48"/>
  <c r="N32" i="48"/>
  <c r="N24" i="48"/>
  <c r="N25" i="48"/>
  <c r="K31" i="48"/>
  <c r="G22" i="48"/>
  <c r="I27" i="48"/>
  <c r="F32" i="48"/>
  <c r="F24" i="48"/>
  <c r="F28" i="48"/>
  <c r="F30" i="48"/>
  <c r="O32" i="48"/>
  <c r="O30" i="48"/>
  <c r="O28" i="48"/>
  <c r="O24" i="48"/>
  <c r="O31" i="48"/>
  <c r="N22" i="48"/>
  <c r="D45" i="18"/>
  <c r="E45" i="18"/>
  <c r="E8" i="18" s="1"/>
  <c r="F103" i="14" s="1"/>
  <c r="N18" i="18"/>
  <c r="B17" i="18"/>
  <c r="B20" i="18" s="1"/>
  <c r="H46"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D17" i="15"/>
  <c r="F45"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C17" i="15"/>
  <c r="C5" i="48" s="1"/>
  <c r="E10" i="19"/>
  <c r="F56" i="14" s="1"/>
  <c r="F55" i="14" s="1"/>
  <c r="K11" i="48"/>
  <c r="K29" i="48" s="1"/>
  <c r="K56" i="14"/>
  <c r="K55" i="14" s="1"/>
  <c r="N10" i="19"/>
  <c r="O56" i="14" s="1"/>
  <c r="O55" i="14" s="1"/>
  <c r="F10" i="14"/>
  <c r="F9" i="14" s="1"/>
  <c r="H16" i="14"/>
  <c r="N16" i="14"/>
  <c r="K4" i="48"/>
  <c r="K22" i="48" s="1"/>
  <c r="L16" i="14"/>
  <c r="R62" i="14"/>
  <c r="R16" i="14"/>
  <c r="Q4" i="48"/>
  <c r="Q22" i="48" s="1"/>
  <c r="I16" i="14"/>
  <c r="H4" i="48"/>
  <c r="H22" i="48" s="1"/>
  <c r="O16" i="14"/>
  <c r="O62" i="14"/>
  <c r="E9" i="17"/>
  <c r="F39" i="14" s="1"/>
  <c r="F41" i="14" s="1"/>
  <c r="D9" i="17"/>
  <c r="D7" i="48" s="1"/>
  <c r="D25" i="48" s="1"/>
  <c r="M7" i="48"/>
  <c r="M25" i="48" s="1"/>
  <c r="M8" i="48"/>
  <c r="M26" i="48" s="1"/>
  <c r="C9" i="17"/>
  <c r="C7" i="48" s="1"/>
  <c r="H10" i="59"/>
  <c r="J45" i="18"/>
  <c r="D8" i="18" s="1"/>
  <c r="E103" i="14"/>
  <c r="B4" i="59"/>
  <c r="G19" i="59"/>
  <c r="G20" i="59" s="1"/>
  <c r="G117" i="14"/>
  <c r="H19" i="59"/>
  <c r="H20" i="59" s="1"/>
  <c r="H117" i="14"/>
  <c r="B46" i="18"/>
  <c r="C17" i="18" s="1"/>
  <c r="E46" i="18"/>
  <c r="E17" i="18" s="1"/>
  <c r="D46" i="18"/>
  <c r="F46" i="18"/>
  <c r="C46" i="18"/>
  <c r="J18" i="59"/>
  <c r="M18" i="59"/>
  <c r="J5" i="17"/>
  <c r="J9" i="17" s="1"/>
  <c r="K39" i="14" s="1"/>
  <c r="K41" i="14" s="1"/>
  <c r="E11" i="16"/>
  <c r="E12" i="16"/>
  <c r="F8" i="16"/>
  <c r="F12" i="16"/>
  <c r="J8" i="16"/>
  <c r="E8" i="16"/>
  <c r="J12" i="16"/>
  <c r="J8" i="15"/>
  <c r="E8" i="15"/>
  <c r="M5" i="48"/>
  <c r="M23" i="48" s="1"/>
  <c r="H21" i="15" l="1"/>
  <c r="I61" i="14" s="1"/>
  <c r="I59" i="14" s="1"/>
  <c r="I66" i="14" s="1"/>
  <c r="H5" i="48"/>
  <c r="H23" i="48" s="1"/>
  <c r="I15" i="14"/>
  <c r="I13" i="14" s="1"/>
  <c r="I20" i="14" s="1"/>
  <c r="B45" i="18"/>
  <c r="I45" i="18"/>
  <c r="H8" i="18" s="1"/>
  <c r="H45" i="18"/>
  <c r="J8" i="18" s="1"/>
  <c r="M4" i="48"/>
  <c r="M22" i="48" s="1"/>
  <c r="G45" i="18"/>
  <c r="I8" i="18" s="1"/>
  <c r="J103" i="14" s="1"/>
  <c r="J8" i="59" s="1"/>
  <c r="G5" i="22"/>
  <c r="G14" i="22" s="1"/>
  <c r="E5" i="22"/>
  <c r="H5" i="22"/>
  <c r="H14" i="22" s="1"/>
  <c r="I31" i="14" s="1"/>
  <c r="I30" i="14" s="1"/>
  <c r="I37" i="14" s="1"/>
  <c r="D5" i="22"/>
  <c r="D14" i="22" s="1"/>
  <c r="N5" i="22"/>
  <c r="B50" i="22"/>
  <c r="B54" i="22" s="1"/>
  <c r="B10" i="48" s="1"/>
  <c r="N23" i="14"/>
  <c r="N22" i="14" s="1"/>
  <c r="N37" i="14" s="1"/>
  <c r="O26" i="14"/>
  <c r="O25" i="14" s="1"/>
  <c r="O72" i="14"/>
  <c r="O71" i="14" s="1"/>
  <c r="H26" i="14"/>
  <c r="H72" i="14"/>
  <c r="H71" i="14" s="1"/>
  <c r="N31" i="20"/>
  <c r="N69" i="14" s="1"/>
  <c r="N68" i="14" s="1"/>
  <c r="N83" i="14" s="1"/>
  <c r="F9" i="17"/>
  <c r="G39" i="14" s="1"/>
  <c r="G41" i="14" s="1"/>
  <c r="D17" i="14"/>
  <c r="E31" i="14"/>
  <c r="E30" i="14" s="1"/>
  <c r="E37" i="14" s="1"/>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6" i="18"/>
  <c r="D17" i="18" s="1"/>
  <c r="E114" i="14" s="1"/>
  <c r="I46" i="18"/>
  <c r="J10" i="18"/>
  <c r="K103" i="14"/>
  <c r="K8" i="59" s="1"/>
  <c r="K10" i="18"/>
  <c r="L103" i="14"/>
  <c r="G46" i="18"/>
  <c r="I17" i="18" s="1"/>
  <c r="J114" i="14" s="1"/>
  <c r="K17" i="18"/>
  <c r="K20" i="18" s="1"/>
  <c r="C8" i="18"/>
  <c r="N8" i="18" s="1"/>
  <c r="N50" i="22"/>
  <c r="N54" i="22" s="1"/>
  <c r="N58" i="22" s="1"/>
  <c r="C25" i="14"/>
  <c r="G50" i="22"/>
  <c r="G54" i="22" s="1"/>
  <c r="G10" i="48" s="1"/>
  <c r="G28" i="48"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N14" i="22" l="1"/>
  <c r="N18" i="22" s="1"/>
  <c r="O77" i="14" s="1"/>
  <c r="O76" i="14" s="1"/>
  <c r="O83" i="14" s="1"/>
  <c r="O88" i="14" s="1"/>
  <c r="B17" i="15"/>
  <c r="B5" i="48" s="1"/>
  <c r="F17" i="15"/>
  <c r="F21" i="15" s="1"/>
  <c r="G61" i="14" s="1"/>
  <c r="G59" i="14" s="1"/>
  <c r="O13" i="13"/>
  <c r="P62" i="14" s="1"/>
  <c r="D103" i="14"/>
  <c r="D8" i="59" s="1"/>
  <c r="E9" i="48"/>
  <c r="E27" i="48" s="1"/>
  <c r="E14" i="22"/>
  <c r="E18" i="22" s="1"/>
  <c r="F77" i="14"/>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L8" i="59"/>
  <c r="L10" i="59" s="1"/>
  <c r="L105" i="14"/>
  <c r="E20" i="14"/>
  <c r="E42" i="14" s="1"/>
  <c r="H25" i="14"/>
  <c r="H37" i="14" s="1"/>
  <c r="H42" i="14" s="1"/>
  <c r="S26" i="14"/>
  <c r="G15" i="48"/>
  <c r="G27" i="48"/>
  <c r="G33" i="48" s="1"/>
  <c r="I8" i="59"/>
  <c r="I104" i="14"/>
  <c r="I9" i="59" s="1"/>
  <c r="H10" i="18"/>
  <c r="I10" i="18"/>
  <c r="J104" i="14"/>
  <c r="N10" i="18"/>
  <c r="C20" i="18"/>
  <c r="J88" i="14"/>
  <c r="J90" i="14" s="1"/>
  <c r="N20" i="14"/>
  <c r="N42" i="14" s="1"/>
  <c r="I19" i="59"/>
  <c r="O8" i="48"/>
  <c r="O26" i="48" s="1"/>
  <c r="G15" i="14"/>
  <c r="G13"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N9" i="48" l="1"/>
  <c r="N27" i="48" s="1"/>
  <c r="N33" i="48" s="1"/>
  <c r="O31" i="14"/>
  <c r="O30" i="14" s="1"/>
  <c r="O37" i="14" s="1"/>
  <c r="O42" i="14" s="1"/>
  <c r="C103" i="14"/>
  <c r="P66" i="14"/>
  <c r="F5" i="48"/>
  <c r="F23" i="48" s="1"/>
  <c r="B103" i="14"/>
  <c r="B8" i="59" s="1"/>
  <c r="E33" i="48"/>
  <c r="S25" i="14"/>
  <c r="D15" i="48"/>
  <c r="R10" i="48"/>
  <c r="H15"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R9" i="48" l="1"/>
  <c r="N15" i="48"/>
  <c r="O105" i="14"/>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16" i="22"/>
  <c r="C11" i="13"/>
  <c r="C19" i="15"/>
  <c r="C21" i="15" s="1"/>
  <c r="D61" i="14" s="1"/>
  <c r="D59" i="14" s="1"/>
  <c r="C8" i="19"/>
  <c r="C10" i="19" s="1"/>
  <c r="D56" i="14" s="1"/>
  <c r="D55" i="14" s="1"/>
  <c r="C29" i="20"/>
  <c r="C22" i="59"/>
  <c r="C11" i="17"/>
  <c r="C13" i="17" s="1"/>
  <c r="D85" i="14" s="1"/>
  <c r="D87" i="14" s="1"/>
  <c r="C56" i="22"/>
  <c r="B4" i="6"/>
  <c r="C17" i="48" l="1"/>
  <c r="C13" i="13"/>
  <c r="D62" i="14" s="1"/>
  <c r="D66" i="14" s="1"/>
  <c r="D72" i="14"/>
  <c r="D73" i="14"/>
  <c r="B13" i="6"/>
  <c r="B56" i="22" s="1"/>
  <c r="D71" i="14" l="1"/>
  <c r="D83" i="14" s="1"/>
  <c r="D88" i="14" s="1"/>
  <c r="D90" i="14" s="1"/>
  <c r="C25" i="48"/>
  <c r="C28" i="48"/>
  <c r="C30" i="48"/>
  <c r="C24" i="48"/>
  <c r="C26" i="48"/>
  <c r="C31" i="48"/>
  <c r="C23" i="48"/>
  <c r="C22" i="48"/>
  <c r="C29" i="48"/>
  <c r="C27" i="48"/>
  <c r="C32" i="48"/>
  <c r="C73" i="14"/>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<sst xmlns="http://schemas.openxmlformats.org/spreadsheetml/2006/main" count="3029" uniqueCount="783">
  <si>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</si>
  <si>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</si>
  <si>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</si>
  <si>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</si>
  <si>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</si>
  <si>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</si>
  <si>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</si>
  <si>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</si>
  <si>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</si>
  <si>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</si>
  <si>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</si>
  <si>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</si>
  <si>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</si>
  <si>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</si>
  <si>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</si>
  <si>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</si>
  <si>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</si>
  <si>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</si>
  <si>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</si>
  <si>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</si>
  <si>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</si>
  <si>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</si>
  <si>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</si>
  <si>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</si>
  <si>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</si>
  <si>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</si>
  <si>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</si>
  <si>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</si>
  <si>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</si>
  <si>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</si>
  <si>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</si>
  <si>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</si>
  <si>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</si>
  <si>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</si>
  <si>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</si>
  <si>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</si>
  <si>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</si>
  <si>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</si>
  <si>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</si>
  <si>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</si>
  <si>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</si>
  <si>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</si>
  <si>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</si>
  <si>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</si>
  <si>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</si>
  <si>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</si>
  <si>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</si>
  <si>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</si>
  <si>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</si>
  <si>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</si>
  <si>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</si>
  <si>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</si>
  <si>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</si>
  <si>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</si>
  <si>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</si>
  <si>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</si>
  <si>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</si>
  <si>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</si>
  <si>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</si>
  <si>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</si>
  <si>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</si>
  <si>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</si>
  <si>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</si>
  <si>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</si>
  <si>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</si>
  <si>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</si>
  <si>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</si>
  <si>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</si>
  <si>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</si>
  <si>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</si>
  <si>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</si>
  <si>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</si>
  <si>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</si>
  <si>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</si>
  <si>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</si>
  <si>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</si>
  <si>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</si>
  <si>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</si>
  <si>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</si>
  <si>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</si>
  <si>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</si>
  <si>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</si>
  <si>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</si>
  <si>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</si>
  <si>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</si>
  <si>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</si>
  <si>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</si>
  <si>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</si>
  <si>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</si>
  <si>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</si>
  <si>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</si>
  <si>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</si>
  <si>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</si>
  <si>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</si>
  <si>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</si>
  <si>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</si>
  <si>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</si>
  <si>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</si>
  <si>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</si>
  <si>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</si>
  <si>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</si>
  <si>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</si>
  <si>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</si>
  <si>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</si>
  <si>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</si>
  <si>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</si>
  <si>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</si>
  <si>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</si>
  <si>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</si>
  <si>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</si>
  <si>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</si>
  <si>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</si>
  <si>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</si>
  <si>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</si>
  <si>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</si>
  <si>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</si>
  <si>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</si>
  <si>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</si>
  <si>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</si>
  <si>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</si>
  <si>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</si>
  <si>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</si>
  <si>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</si>
  <si>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</si>
  <si>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</si>
  <si>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</si>
  <si>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</si>
  <si>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</si>
  <si>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</si>
  <si>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</si>
  <si>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</si>
  <si>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</si>
  <si>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</si>
  <si>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</si>
  <si>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</si>
  <si>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</si>
  <si>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</si>
  <si>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</si>
  <si>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</si>
  <si>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</si>
  <si>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</si>
  <si>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</si>
  <si>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</si>
  <si>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</si>
  <si>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</si>
  <si>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</si>
  <si>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</si>
  <si>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</si>
  <si>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</si>
  <si>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</si>
  <si>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</si>
  <si>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</si>
  <si>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</si>
  <si>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</si>
  <si>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</si>
  <si>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</si>
  <si>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</si>
  <si>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</si>
  <si>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</si>
  <si>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</si>
  <si>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</si>
  <si>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</si>
  <si>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</si>
  <si>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</si>
  <si>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</si>
  <si>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</si>
  <si>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</si>
  <si>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</si>
  <si>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</si>
  <si>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</si>
  <si>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</si>
  <si>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</si>
  <si>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</si>
  <si>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</si>
  <si>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</si>
  <si>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</si>
  <si>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</si>
  <si>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</si>
  <si>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</si>
  <si>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</si>
  <si>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</si>
  <si>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</si>
  <si>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</si>
  <si>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</si>
  <si>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</si>
  <si>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</si>
  <si>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</si>
  <si>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</si>
  <si>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</si>
  <si>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</si>
  <si>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</si>
  <si>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</si>
  <si>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</si>
  <si>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</si>
  <si>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</si>
  <si>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</si>
  <si>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</si>
  <si>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</si>
  <si>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</si>
  <si>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</si>
  <si>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</si>
  <si>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</si>
  <si>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</si>
  <si>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</si>
  <si>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</si>
  <si>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</si>
  <si>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</si>
  <si>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</si>
  <si>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</si>
  <si>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</si>
  <si>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</si>
  <si>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</si>
  <si>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</si>
  <si>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</si>
  <si>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</si>
  <si>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</si>
  <si>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</si>
  <si>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</si>
  <si>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</si>
  <si>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</si>
  <si>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</si>
  <si>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</si>
  <si>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</si>
  <si>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</si>
  <si>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</si>
  <si>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</si>
  <si>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</si>
  <si>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</si>
  <si>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</si>
  <si>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</si>
  <si>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</si>
  <si>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</si>
  <si>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</si>
  <si>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</si>
  <si>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</si>
  <si>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</si>
  <si>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</si>
  <si>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</si>
  <si>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</si>
  <si>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</si>
  <si>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</si>
  <si>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</si>
  <si>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</si>
  <si>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</si>
  <si>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</si>
  <si>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</si>
  <si>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</si>
  <si>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</si>
  <si>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</si>
  <si>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</si>
  <si>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</si>
  <si>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</si>
  <si>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</si>
  <si>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</si>
  <si>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</si>
  <si>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</si>
  <si>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</si>
  <si>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</si>
  <si>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</si>
  <si>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</si>
  <si>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</si>
  <si>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</si>
  <si>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</si>
  <si>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</si>
  <si>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</si>
  <si>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</si>
  <si>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</si>
  <si>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</si>
  <si>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</si>
  <si>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</si>
  <si>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</si>
  <si>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</si>
  <si>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</si>
  <si>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</si>
  <si>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</si>
  <si>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</si>
  <si>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</si>
  <si>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</si>
  <si>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</si>
  <si>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</si>
  <si>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</si>
  <si>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</si>
  <si>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</si>
  <si>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</si>
  <si>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</si>
  <si>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</si>
  <si>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</si>
  <si>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</si>
  <si>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</si>
  <si>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</si>
  <si>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</si>
  <si>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</si>
  <si>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</si>
  <si>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</si>
  <si>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</si>
  <si>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</si>
  <si>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</si>
  <si>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</si>
  <si>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</si>
  <si>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</si>
  <si>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</si>
  <si>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</si>
  <si>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</si>
  <si>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</si>
  <si>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</si>
  <si>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</si>
  <si>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</si>
  <si>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</si>
  <si>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</si>
  <si>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</si>
  <si>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</si>
  <si>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</si>
  <si>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</si>
  <si>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</si>
  <si>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</si>
  <si>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</si>
  <si>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</si>
  <si>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</si>
  <si>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</si>
  <si>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</si>
  <si>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</si>
  <si>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</si>
  <si>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</si>
  <si>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</si>
  <si>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</si>
  <si>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</si>
  <si>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</si>
  <si>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</si>
  <si>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</si>
  <si>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</si>
  <si>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</si>
  <si>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</si>
  <si>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</si>
  <si>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</si>
  <si>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</si>
  <si>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</si>
  <si>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</si>
  <si>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</si>
  <si>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</si>
  <si>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</si>
  <si>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</si>
  <si>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</si>
  <si>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</si>
  <si>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</si>
  <si>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</si>
  <si>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</si>
  <si>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</si>
  <si>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</si>
  <si>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</si>
  <si>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</si>
  <si>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</si>
  <si>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</si>
  <si>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</si>
  <si>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</si>
  <si>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</si>
  <si>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</si>
  <si>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</si>
  <si>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</si>
  <si>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</si>
  <si>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</si>
  <si>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</si>
  <si>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</si>
  <si>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</si>
  <si>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</si>
  <si>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</si>
  <si>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</si>
  <si>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</si>
  <si>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</si>
  <si>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</si>
  <si>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</si>
  <si>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</si>
  <si>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</si>
  <si>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</si>
  <si>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</si>
  <si>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</si>
  <si>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</si>
  <si>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</si>
  <si>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</si>
  <si>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</si>
  <si>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</si>
  <si>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</si>
  <si>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</si>
  <si>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</si>
  <si>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</si>
  <si>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</si>
  <si>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</si>
  <si>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</si>
  <si>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</si>
  <si>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</si>
  <si>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</si>
  <si>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</si>
  <si>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</si>
  <si>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</si>
  <si>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</si>
  <si>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</si>
  <si>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</si>
  <si>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</si>
  <si>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</si>
  <si>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</si>
  <si>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</si>
  <si>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</si>
  <si>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</si>
  <si>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</si>
  <si>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</si>
  <si>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</si>
  <si>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</si>
  <si>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</si>
  <si>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</si>
  <si>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</si>
  <si>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</si>
  <si>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</si>
  <si>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</si>
  <si>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</si>
  <si>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</si>
  <si>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</si>
  <si>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</si>
  <si>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</si>
  <si>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</si>
  <si>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</si>
  <si>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</si>
  <si>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</si>
  <si>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</si>
  <si>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</si>
  <si>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</si>
  <si>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</si>
  <si>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</si>
  <si>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</si>
  <si>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</si>
  <si>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</si>
  <si>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</si>
  <si>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</si>
  <si>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</si>
  <si>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</si>
  <si>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</si>
  <si>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</si>
  <si>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</si>
  <si>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</si>
  <si>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</si>
  <si>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</si>
  <si>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</si>
  <si>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</si>
  <si>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</si>
  <si>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</si>
  <si>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</si>
  <si>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</si>
  <si>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</si>
  <si>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</si>
  <si>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</si>
  <si>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</si>
  <si>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</si>
  <si>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</si>
  <si>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</si>
  <si>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</si>
  <si>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</si>
  <si>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</si>
  <si>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</si>
  <si>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</si>
  <si>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</si>
  <si>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</si>
  <si>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</si>
  <si>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</si>
  <si>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</si>
  <si>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</si>
  <si>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</si>
  <si>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</si>
  <si>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</si>
  <si>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</si>
  <si>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</si>
  <si>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</si>
  <si>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</si>
  <si>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</si>
  <si>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</si>
  <si>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</si>
  <si>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</si>
  <si>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</si>
  <si>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</si>
  <si>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</si>
  <si>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</si>
  <si>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</si>
  <si>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</si>
  <si>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</si>
  <si>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</si>
  <si>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</si>
  <si>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</si>
  <si>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</si>
  <si>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</si>
  <si>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</si>
  <si>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</si>
  <si>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</si>
  <si>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</si>
  <si>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</si>
  <si>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</si>
  <si>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</si>
  <si>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</si>
  <si>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</si>
  <si>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</si>
  <si>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</si>
  <si>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</si>
  <si>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</si>
  <si>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</si>
  <si>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</si>
  <si>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</si>
  <si>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</si>
  <si>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</si>
  <si>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</si>
  <si>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</si>
  <si>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</si>
  <si>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</si>
  <si>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</si>
  <si>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</si>
  <si>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</si>
  <si>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</si>
  <si>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</si>
  <si>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</si>
  <si>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</si>
  <si>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</si>
  <si>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</si>
  <si>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</si>
  <si>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</si>
  <si>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</si>
  <si>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</si>
  <si>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</si>
  <si>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</si>
  <si>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</si>
  <si>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</si>
  <si>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</si>
  <si>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</si>
  <si>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</si>
  <si>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</si>
  <si>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</si>
  <si>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</si>
  <si>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</si>
  <si>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</si>
  <si>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</si>
  <si>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</si>
  <si>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</si>
  <si>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</si>
  <si>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</si>
  <si>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</si>
  <si>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</si>
  <si>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</si>
  <si>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</si>
  <si>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</si>
  <si>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</si>
  <si>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</si>
  <si>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</si>
  <si>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</si>
  <si>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</si>
  <si>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</si>
  <si>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</si>
  <si>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</si>
  <si>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</si>
  <si>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</si>
  <si>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</si>
  <si>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</si>
  <si>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</si>
  <si>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</si>
  <si>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</si>
  <si>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</si>
  <si>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</si>
  <si>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</si>
  <si>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</si>
  <si>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</si>
  <si>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</si>
  <si>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</si>
  <si>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</si>
  <si>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</si>
  <si>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</si>
  <si>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</si>
  <si>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</si>
  <si>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</si>
  <si>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</si>
  <si>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</si>
  <si>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</si>
  <si>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</si>
  <si>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</si>
  <si>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</si>
  <si>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</si>
  <si>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</si>
  <si>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</si>
  <si>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</si>
  <si>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</si>
  <si>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</si>
  <si>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</si>
  <si>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</si>
  <si>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</si>
  <si>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</si>
  <si>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</si>
  <si>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</si>
  <si>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</si>
  <si>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</si>
  <si>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</si>
  <si>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</si>
  <si>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</si>
  <si>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</si>
  <si>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</si>
  <si>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</si>
  <si>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</si>
  <si>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</si>
  <si>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</si>
  <si>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</si>
  <si>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</si>
  <si>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</si>
  <si>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</si>
  <si>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</si>
  <si>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</si>
  <si>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</si>
  <si>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</si>
  <si>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</si>
  <si>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</si>
  <si>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</si>
  <si>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</si>
  <si>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</si>
  <si>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</si>
  <si>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</si>
  <si>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</si>
  <si>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</si>
  <si>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</si>
  <si>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</si>
  <si>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</si>
  <si>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</si>
  <si>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</si>
  <si>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</si>
  <si>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</si>
  <si>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</si>
  <si>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</si>
  <si>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</si>
  <si>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</si>
  <si>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</si>
  <si>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</si>
  <si>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</si>
  <si>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</si>
  <si>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</si>
  <si>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</si>
  <si>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</si>
  <si>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</si>
  <si>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</si>
  <si>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</si>
  <si>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</si>
  <si>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</si>
  <si>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</si>
  <si>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</si>
  <si>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</si>
  <si>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</si>
  <si>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</si>
  <si>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</si>
  <si>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</si>
  <si>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</si>
  <si>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</si>
  <si>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</si>
  <si>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</si>
  <si>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</si>
  <si>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</si>
  <si>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</si>
  <si>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</si>
  <si>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</si>
  <si>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</si>
  <si>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</si>
  <si>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</si>
  <si>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</si>
  <si>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</si>
  <si>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</si>
  <si>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</si>
  <si>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</si>
  <si>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</si>
  <si>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</si>
  <si>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</si>
  <si>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</si>
  <si>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</si>
  <si>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</si>
  <si>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</si>
  <si>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</si>
  <si>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</si>
  <si>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</si>
  <si>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</si>
  <si>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</si>
  <si>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</si>
  <si>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</si>
  <si>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</si>
  <si>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</si>
  <si>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</si>
  <si>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</si>
  <si>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</si>
  <si>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</si>
  <si>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</si>
  <si>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</si>
  <si>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</si>
  <si>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</si>
  <si>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</si>
  <si>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</si>
  <si>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</si>
  <si>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</si>
  <si>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</si>
  <si>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</si>
  <si>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</si>
  <si>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</si>
  <si>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</si>
  <si>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</si>
  <si>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</si>
  <si>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</si>
  <si>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</si>
  <si>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</si>
  <si>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</si>
  <si>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</si>
  <si>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</si>
  <si>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</si>
  <si>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</si>
  <si>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</si>
  <si>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</si>
  <si>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</si>
  <si>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</si>
  <si>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</si>
  <si>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</si>
  <si>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</si>
  <si>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</si>
  <si>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</si>
  <si>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</si>
  <si>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</si>
  <si>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</si>
  <si>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</si>
  <si>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</si>
  <si>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</si>
  <si>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</si>
  <si>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</si>
  <si>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</si>
  <si>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</si>
  <si>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</si>
  <si>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</si>
  <si>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</si>
  <si>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</si>
  <si>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</si>
  <si>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</si>
  <si>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</si>
  <si>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</si>
  <si>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</si>
  <si>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</si>
  <si>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</si>
  <si>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</si>
  <si>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</si>
  <si>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</si>
  <si>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</si>
  <si>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</si>
  <si>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</si>
  <si>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</si>
  <si>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</si>
  <si>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</si>
  <si>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</si>
  <si>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</si>
  <si>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</si>
  <si>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</si>
  <si>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</si>
  <si>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</si>
  <si>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</si>
  <si>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</si>
  <si>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</si>
  <si>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</si>
  <si>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</si>
  <si>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</si>
  <si>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</si>
  <si>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</si>
  <si>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</si>
  <si>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</si>
  <si>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</si>
  <si>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</si>
  <si>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</si>
  <si>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</si>
  <si>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</si>
  <si>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</si>
  <si>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</si>
  <si>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</si>
  <si>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</si>
  <si>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</si>
  <si>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</si>
  <si>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</si>
  <si>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</si>
  <si>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</si>
  <si>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</si>
  <si>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</si>
  <si>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</si>
  <si>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</si>
  <si>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46003</t>
  </si>
  <si>
    <t>BEVEREN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</si>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</sst>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3F36FBBB-2DFC-4BD2-A4BE-6A5FD7427D7F}"/>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6FC39479-392A-49B3-B899-C6924B422037}"/>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316823.6368036255</c:v>
                </c:pt>
                <c:pt idx="1">
                  <c:v>444764.03057045117</c:v>
                </c:pt>
                <c:pt idx="2">
                  <c:v>239.43570000000022</c:v>
                </c:pt>
                <c:pt idx="3">
                  <c:v>143553.12903530942</c:v>
                </c:pt>
                <c:pt idx="4">
                  <c:v>191209.0641722006</c:v>
                </c:pt>
                <c:pt idx="5">
                  <c:v>1086897.0914421813</c:v>
                </c:pt>
                <c:pt idx="6">
                  <c:v>3882.123973716496</c:v>
                </c:pt>
                <c:pt idx="7">
                  <c:v>13199.25578046259</c:v>
                </c:pt>
                <c:pt idx="8">
                  <c:v>2016.5649999999998</c:v>
                </c:pt>
                <c:pt idx="9">
                  <c:v>605.36638410096953</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316823.6368036255</c:v>
                </c:pt>
                <c:pt idx="1">
                  <c:v>444764.03057045117</c:v>
                </c:pt>
                <c:pt idx="2">
                  <c:v>239.43570000000022</c:v>
                </c:pt>
                <c:pt idx="3">
                  <c:v>143553.12903530942</c:v>
                </c:pt>
                <c:pt idx="4">
                  <c:v>191209.0641722006</c:v>
                </c:pt>
                <c:pt idx="5">
                  <c:v>1086897.0914421813</c:v>
                </c:pt>
                <c:pt idx="6">
                  <c:v>3882.123973716496</c:v>
                </c:pt>
                <c:pt idx="7">
                  <c:v>13199.25578046259</c:v>
                </c:pt>
                <c:pt idx="8">
                  <c:v>2016.5649999999998</c:v>
                </c:pt>
                <c:pt idx="9">
                  <c:v>605.36638410096953</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51568.53853560592</c:v>
                </c:pt>
                <c:pt idx="1">
                  <c:v>40191.592394296233</c:v>
                </c:pt>
                <c:pt idx="2">
                  <c:v>0</c:v>
                </c:pt>
                <c:pt idx="3">
                  <c:v>24647.970752792866</c:v>
                </c:pt>
                <c:pt idx="4">
                  <c:v>15657.130857870137</c:v>
                </c:pt>
                <c:pt idx="5">
                  <c:v>254858.25495877632</c:v>
                </c:pt>
                <c:pt idx="6">
                  <c:v>913.86303547601472</c:v>
                </c:pt>
                <c:pt idx="7">
                  <c:v>1864.2635687297841</c:v>
                </c:pt>
                <c:pt idx="8">
                  <c:v>86.957864589354756</c:v>
                </c:pt>
                <c:pt idx="9">
                  <c:v>139.40828310729222</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51568.53853560592</c:v>
                </c:pt>
                <c:pt idx="1">
                  <c:v>40191.592394296233</c:v>
                </c:pt>
                <c:pt idx="2">
                  <c:v>0</c:v>
                </c:pt>
                <c:pt idx="3">
                  <c:v>24647.970752792866</c:v>
                </c:pt>
                <c:pt idx="4">
                  <c:v>15657.130857870137</c:v>
                </c:pt>
                <c:pt idx="5">
                  <c:v>254858.25495877632</c:v>
                </c:pt>
                <c:pt idx="6">
                  <c:v>913.86303547601472</c:v>
                </c:pt>
                <c:pt idx="7">
                  <c:v>1864.2635687297841</c:v>
                </c:pt>
                <c:pt idx="8">
                  <c:v>86.957864589354756</c:v>
                </c:pt>
                <c:pt idx="9">
                  <c:v>139.40828310729222</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46003</v>
      </c>
      <c r="B6" s="336"/>
      <c r="C6" s="337"/>
    </row>
    <row r="7" spans="1:7" s="334" customFormat="1" ht="15.75" customHeight="1">
      <c r="A7" s="338" t="str">
        <f>txtMunicipality</f>
        <v>BEVEREN</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7064.3687811501386</v>
      </c>
      <c r="D9" s="531">
        <f t="shared" ref="D9:R9" si="0">SUM(D10:D11)</f>
        <v>0</v>
      </c>
      <c r="E9" s="531">
        <f t="shared" si="0"/>
        <v>8151.4519993124513</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15215.820780462589</v>
      </c>
      <c r="T9" s="66"/>
    </row>
    <row r="10" spans="1:20" s="382" customFormat="1">
      <c r="A10" s="870" t="s">
        <v>197</v>
      </c>
      <c r="B10" s="639"/>
      <c r="C10" s="531">
        <f>'Eigen gebouwen'!B6</f>
        <v>5047.803781150139</v>
      </c>
      <c r="D10" s="531">
        <f>'Eigen gebouwen'!C6</f>
        <v>0</v>
      </c>
      <c r="E10" s="531">
        <f>'Eigen gebouwen'!D6</f>
        <v>8151.4519993124513</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13199.25578046259</v>
      </c>
      <c r="T10" s="66"/>
    </row>
    <row r="11" spans="1:20" s="382" customFormat="1">
      <c r="A11" s="870" t="s">
        <v>410</v>
      </c>
      <c r="B11" s="639"/>
      <c r="C11" s="531">
        <f>'Eigen openbare verlichting'!B6</f>
        <v>2016.5649999999998</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2016.5649999999998</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263219.72927308275</v>
      </c>
      <c r="D13" s="868">
        <f t="shared" ref="D13:P13" si="1">SUM(D14:D15)</f>
        <v>107800.11643707892</v>
      </c>
      <c r="E13" s="868">
        <f t="shared" si="1"/>
        <v>52589.316118774717</v>
      </c>
      <c r="F13" s="868">
        <f t="shared" si="1"/>
        <v>292.25508742092455</v>
      </c>
      <c r="G13" s="868">
        <f t="shared" si="1"/>
        <v>21099.017261477249</v>
      </c>
      <c r="H13" s="868">
        <f t="shared" si="1"/>
        <v>0</v>
      </c>
      <c r="I13" s="868">
        <f t="shared" si="1"/>
        <v>2.8941937277615244</v>
      </c>
      <c r="J13" s="868">
        <f t="shared" si="1"/>
        <v>0</v>
      </c>
      <c r="K13" s="868">
        <f t="shared" si="1"/>
        <v>0.13789888884745063</v>
      </c>
      <c r="L13" s="868">
        <f t="shared" si="1"/>
        <v>0</v>
      </c>
      <c r="M13" s="868">
        <f t="shared" si="1"/>
        <v>0</v>
      </c>
      <c r="N13" s="868">
        <f t="shared" si="1"/>
        <v>0</v>
      </c>
      <c r="O13" s="868">
        <f t="shared" si="1"/>
        <v>0</v>
      </c>
      <c r="P13" s="868">
        <f t="shared" si="1"/>
        <v>0</v>
      </c>
      <c r="Q13" s="868">
        <f t="shared" ref="Q13" si="2">SUM(Q14:Q15)</f>
        <v>0</v>
      </c>
      <c r="R13" s="869">
        <f t="shared" ref="R13" si="3">SUM(R14:R15)</f>
        <v>0</v>
      </c>
      <c r="S13" s="562">
        <f t="shared" ref="S13" si="4">SUM(C13:R13)</f>
        <v>445003.46627045114</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263219.72927308275</v>
      </c>
      <c r="D15" s="531">
        <f>tertiair!C17</f>
        <v>107800.11643707892</v>
      </c>
      <c r="E15" s="531">
        <f>tertiair!D17</f>
        <v>52589.316118774717</v>
      </c>
      <c r="F15" s="531">
        <f>tertiair!E17</f>
        <v>292.25508742092455</v>
      </c>
      <c r="G15" s="531">
        <f>tertiair!F17</f>
        <v>21099.017261477249</v>
      </c>
      <c r="H15" s="531" t="str">
        <f>tertiair!G17</f>
        <v>NE</v>
      </c>
      <c r="I15" s="531">
        <f>tertiair!H17</f>
        <v>2.8941937277615244</v>
      </c>
      <c r="J15" s="531" t="str">
        <f>tertiair!I17</f>
        <v>NE</v>
      </c>
      <c r="K15" s="531">
        <f>tertiair!J17</f>
        <v>0.13789888884745063</v>
      </c>
      <c r="L15" s="531" t="str">
        <f>tertiair!K17</f>
        <v>NE</v>
      </c>
      <c r="M15" s="531" t="str">
        <f>tertiair!L17</f>
        <v>IE</v>
      </c>
      <c r="N15" s="531" t="str">
        <f>tertiair!M17</f>
        <v>IE</v>
      </c>
      <c r="O15" s="531" t="str">
        <f>tertiair!N17</f>
        <v>IE</v>
      </c>
      <c r="P15" s="531">
        <f>tertiair!O17</f>
        <v>0</v>
      </c>
      <c r="Q15" s="531" t="str">
        <f>tertiair!P17</f>
        <v>NE</v>
      </c>
      <c r="R15" s="869" t="str">
        <f>tertiair!Q17</f>
        <v>NE</v>
      </c>
      <c r="S15" s="562">
        <f>SUM(C15:R15)</f>
        <v>445003.46627045114</v>
      </c>
      <c r="T15" s="66"/>
    </row>
    <row r="16" spans="1:20" s="382" customFormat="1">
      <c r="A16" s="634" t="s">
        <v>644</v>
      </c>
      <c r="B16" s="639"/>
      <c r="C16" s="531">
        <f>huishoudens!B9</f>
        <v>72407.513851750904</v>
      </c>
      <c r="D16" s="531">
        <f>huishoudens!C9</f>
        <v>0</v>
      </c>
      <c r="E16" s="531">
        <f>huishoudens!D9</f>
        <v>159848.7446430545</v>
      </c>
      <c r="F16" s="531">
        <f>huishoudens!E9</f>
        <v>3503.4357232331504</v>
      </c>
      <c r="G16" s="531">
        <f>huishoudens!F9</f>
        <v>56928.539595869595</v>
      </c>
      <c r="H16" s="531" t="str">
        <f>huishoudens!G9</f>
        <v>NE</v>
      </c>
      <c r="I16" s="531" t="str">
        <f>huishoudens!H9</f>
        <v>NE</v>
      </c>
      <c r="J16" s="531" t="str">
        <f>huishoudens!I9</f>
        <v xml:space="preserve">NE </v>
      </c>
      <c r="K16" s="531">
        <f>huishoudens!J9</f>
        <v>456.3602545859215</v>
      </c>
      <c r="L16" s="531" t="str">
        <f>huishoudens!K9</f>
        <v>NE</v>
      </c>
      <c r="M16" s="531">
        <f>huishoudens!L9</f>
        <v>0</v>
      </c>
      <c r="N16" s="531">
        <f>huishoudens!M9</f>
        <v>0</v>
      </c>
      <c r="O16" s="531" t="str">
        <f>huishoudens!N9</f>
        <v>NE</v>
      </c>
      <c r="P16" s="531">
        <f>huishoudens!O9</f>
        <v>23679.04273513145</v>
      </c>
      <c r="Q16" s="531" t="str">
        <f>huishoudens!P9</f>
        <v>NE</v>
      </c>
      <c r="R16" s="869" t="str">
        <f>huishoudens!Q9</f>
        <v>NE</v>
      </c>
      <c r="S16" s="562">
        <f>SUM(C16:R16)</f>
        <v>316823.6368036255</v>
      </c>
      <c r="T16" s="66"/>
    </row>
    <row r="17" spans="1:20" s="382" customFormat="1">
      <c r="A17" s="634" t="s">
        <v>495</v>
      </c>
      <c r="B17" s="643" t="s">
        <v>493</v>
      </c>
      <c r="C17" s="531">
        <f>industrie!B19</f>
        <v>122781.76247943557</v>
      </c>
      <c r="D17" s="531">
        <f>industrie!C19</f>
        <v>50840.273402553954</v>
      </c>
      <c r="E17" s="531">
        <f>industrie!D19</f>
        <v>0</v>
      </c>
      <c r="F17" s="531">
        <f>industrie!E19</f>
        <v>6419.3562862741755</v>
      </c>
      <c r="G17" s="531">
        <f>industrie!F19</f>
        <v>10992.074890968664</v>
      </c>
      <c r="H17" s="531" t="str">
        <f>industrie!G19</f>
        <v>NE</v>
      </c>
      <c r="I17" s="531">
        <f>industrie!H19</f>
        <v>0</v>
      </c>
      <c r="J17" s="531" t="str">
        <f>industrie!I19</f>
        <v>NE</v>
      </c>
      <c r="K17" s="531">
        <f>industrie!J19</f>
        <v>175.59711296824582</v>
      </c>
      <c r="L17" s="531" t="str">
        <f>industrie!K19</f>
        <v>NE</v>
      </c>
      <c r="M17" s="531" t="str">
        <f>industrie!L19</f>
        <v>IE</v>
      </c>
      <c r="N17" s="531" t="str">
        <f>industrie!M19</f>
        <v>IE</v>
      </c>
      <c r="O17" s="531" t="str">
        <f>industrie!N19</f>
        <v>IE</v>
      </c>
      <c r="P17" s="531">
        <f>industrie!O19</f>
        <v>0</v>
      </c>
      <c r="Q17" s="531" t="str">
        <f>industrie!P19</f>
        <v>NE</v>
      </c>
      <c r="R17" s="869" t="str">
        <f>industrie!Q19</f>
        <v>NE</v>
      </c>
      <c r="S17" s="562">
        <f>SUM(C17:R17)</f>
        <v>191209.0641722006</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465473.3743854193</v>
      </c>
      <c r="D20" s="564">
        <f>SUM(D9,D13,D16,D17,D18,D19)</f>
        <v>158640.38983963287</v>
      </c>
      <c r="E20" s="564">
        <f t="shared" ref="E20:R20" si="5">SUM(E9,E13,E16,E17,E18,E19)</f>
        <v>220589.51276114167</v>
      </c>
      <c r="F20" s="564">
        <f t="shared" si="5"/>
        <v>10215.047096928251</v>
      </c>
      <c r="G20" s="564">
        <f t="shared" si="5"/>
        <v>89019.631748315514</v>
      </c>
      <c r="H20" s="564">
        <f t="shared" si="5"/>
        <v>0</v>
      </c>
      <c r="I20" s="564">
        <f t="shared" si="5"/>
        <v>2.8941937277615244</v>
      </c>
      <c r="J20" s="564">
        <f t="shared" si="5"/>
        <v>0</v>
      </c>
      <c r="K20" s="564">
        <f t="shared" si="5"/>
        <v>632.09526644301479</v>
      </c>
      <c r="L20" s="564">
        <f t="shared" si="5"/>
        <v>0</v>
      </c>
      <c r="M20" s="564">
        <f t="shared" si="5"/>
        <v>0</v>
      </c>
      <c r="N20" s="564">
        <f t="shared" si="5"/>
        <v>0</v>
      </c>
      <c r="O20" s="564">
        <f t="shared" si="5"/>
        <v>0</v>
      </c>
      <c r="P20" s="564">
        <f t="shared" si="5"/>
        <v>23679.04273513145</v>
      </c>
      <c r="Q20" s="564">
        <f t="shared" si="5"/>
        <v>0</v>
      </c>
      <c r="R20" s="564">
        <f t="shared" si="5"/>
        <v>0</v>
      </c>
      <c r="S20" s="564">
        <f>SUM(C20:R20)</f>
        <v>968251.9880267398</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116.55213287547971</v>
      </c>
      <c r="F22" s="531">
        <f t="shared" si="6"/>
        <v>0</v>
      </c>
      <c r="G22" s="531">
        <f t="shared" si="6"/>
        <v>0</v>
      </c>
      <c r="H22" s="531">
        <f t="shared" si="6"/>
        <v>358.81830411924483</v>
      </c>
      <c r="I22" s="531">
        <f t="shared" si="6"/>
        <v>80.563313520509766</v>
      </c>
      <c r="J22" s="531">
        <f t="shared" si="6"/>
        <v>0</v>
      </c>
      <c r="K22" s="531">
        <f t="shared" si="6"/>
        <v>0</v>
      </c>
      <c r="L22" s="531">
        <f t="shared" si="6"/>
        <v>0</v>
      </c>
      <c r="M22" s="531">
        <f t="shared" si="6"/>
        <v>0</v>
      </c>
      <c r="N22" s="531">
        <f t="shared" si="6"/>
        <v>49.432633585735303</v>
      </c>
      <c r="O22" s="531">
        <f t="shared" si="6"/>
        <v>0</v>
      </c>
      <c r="P22" s="531">
        <f t="shared" si="6"/>
        <v>0</v>
      </c>
      <c r="Q22" s="531">
        <f t="shared" si="6"/>
        <v>0</v>
      </c>
      <c r="R22" s="869">
        <f t="shared" si="6"/>
        <v>0</v>
      </c>
      <c r="S22" s="950">
        <f>SUM(C22:R22)</f>
        <v>605.36638410096953</v>
      </c>
      <c r="T22" s="66"/>
    </row>
    <row r="23" spans="1:20" s="382" customFormat="1">
      <c r="A23" s="870" t="s">
        <v>645</v>
      </c>
      <c r="B23" s="639"/>
      <c r="C23" s="531">
        <f>'Eigen vloot'!B27</f>
        <v>0</v>
      </c>
      <c r="D23" s="531" t="str">
        <f>'Eigen vloot'!C27</f>
        <v>NO</v>
      </c>
      <c r="E23" s="531">
        <f>'Eigen vloot'!D27</f>
        <v>116.55213287547971</v>
      </c>
      <c r="F23" s="531">
        <f>'Eigen vloot'!E27</f>
        <v>0</v>
      </c>
      <c r="G23" s="531" t="str">
        <f>'Eigen vloot'!F27</f>
        <v>NO</v>
      </c>
      <c r="H23" s="531">
        <f>'Eigen vloot'!G27</f>
        <v>358.81830411924483</v>
      </c>
      <c r="I23" s="531">
        <f>'Eigen vloot'!H27</f>
        <v>80.563313520509766</v>
      </c>
      <c r="J23" s="531" t="str">
        <f>'Eigen vloot'!I27</f>
        <v>NO</v>
      </c>
      <c r="K23" s="531" t="str">
        <f>'Eigen vloot'!J27</f>
        <v>NO</v>
      </c>
      <c r="L23" s="531" t="str">
        <f>'Eigen vloot'!K27</f>
        <v>NO</v>
      </c>
      <c r="M23" s="531" t="str">
        <f>'Eigen vloot'!M27</f>
        <v>NO</v>
      </c>
      <c r="N23" s="531">
        <f>'Eigen vloot'!N27</f>
        <v>49.432633585735303</v>
      </c>
      <c r="O23" s="531" t="str">
        <f>'Eigen vloot'!O27</f>
        <v>NO</v>
      </c>
      <c r="P23" s="531" t="str">
        <f>'Eigen vloot'!P27</f>
        <v>NO</v>
      </c>
      <c r="Q23" s="531" t="str">
        <f>'Eigen vloot'!Q27</f>
        <v>NO</v>
      </c>
      <c r="R23" s="869">
        <f>'Eigen vloot'!R27</f>
        <v>0</v>
      </c>
      <c r="S23" s="562">
        <f>SUM(C23:R23)</f>
        <v>605.36638410096953</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60.630978168477711</v>
      </c>
      <c r="D25" s="531">
        <f t="shared" ref="D25:R25" si="7">SUM(D26:D29)</f>
        <v>0</v>
      </c>
      <c r="E25" s="531">
        <f t="shared" si="7"/>
        <v>0</v>
      </c>
      <c r="F25" s="531">
        <f t="shared" si="7"/>
        <v>0</v>
      </c>
      <c r="G25" s="531">
        <f t="shared" si="7"/>
        <v>0</v>
      </c>
      <c r="H25" s="531">
        <f t="shared" si="7"/>
        <v>3412.9158052646089</v>
      </c>
      <c r="I25" s="531">
        <f t="shared" si="7"/>
        <v>0</v>
      </c>
      <c r="J25" s="531">
        <f t="shared" si="7"/>
        <v>0</v>
      </c>
      <c r="K25" s="531">
        <f t="shared" si="7"/>
        <v>0</v>
      </c>
      <c r="L25" s="531">
        <f t="shared" si="7"/>
        <v>0</v>
      </c>
      <c r="M25" s="531">
        <f t="shared" si="7"/>
        <v>0</v>
      </c>
      <c r="N25" s="531">
        <f t="shared" si="7"/>
        <v>0</v>
      </c>
      <c r="O25" s="531">
        <f t="shared" si="7"/>
        <v>408.57719028340938</v>
      </c>
      <c r="P25" s="531">
        <f t="shared" si="7"/>
        <v>0</v>
      </c>
      <c r="Q25" s="531">
        <f t="shared" si="7"/>
        <v>0</v>
      </c>
      <c r="R25" s="869">
        <f t="shared" si="7"/>
        <v>0</v>
      </c>
      <c r="S25" s="562">
        <f>SUM(C25:R25)</f>
        <v>3882.123973716496</v>
      </c>
      <c r="T25" s="66"/>
    </row>
    <row r="26" spans="1:20" s="382" customFormat="1">
      <c r="A26" s="870" t="s">
        <v>645</v>
      </c>
      <c r="B26" s="867"/>
      <c r="C26" s="868">
        <f>transport!B51*10^9/3600</f>
        <v>60.630978168477711</v>
      </c>
      <c r="D26" s="868">
        <f>transport!C51*10^9/3600</f>
        <v>0</v>
      </c>
      <c r="E26" s="868">
        <f>transport!D51*10^9/3600</f>
        <v>0</v>
      </c>
      <c r="F26" s="868">
        <f>transport!E51*10^9/3600</f>
        <v>0</v>
      </c>
      <c r="G26" s="868">
        <f>transport!F51*10^9/3600</f>
        <v>0</v>
      </c>
      <c r="H26" s="868">
        <f>transport!G51*10^9/3600</f>
        <v>3412.9158052646089</v>
      </c>
      <c r="I26" s="868">
        <f>transport!H51*10^9/3600</f>
        <v>0</v>
      </c>
      <c r="J26" s="868">
        <f>transport!I51*10^9/3600</f>
        <v>0</v>
      </c>
      <c r="K26" s="868">
        <f>transport!J51*10^9/3600</f>
        <v>0</v>
      </c>
      <c r="L26" s="868">
        <f>transport!K51*10^9/3600</f>
        <v>0</v>
      </c>
      <c r="M26" s="868">
        <f>transport!L51*10^9/3600</f>
        <v>0</v>
      </c>
      <c r="N26" s="868">
        <f>transport!M51*10^9/3600</f>
        <v>0</v>
      </c>
      <c r="O26" s="868">
        <f>transport!N51*10^9/3600</f>
        <v>408.57719028340938</v>
      </c>
      <c r="P26" s="868">
        <f>transport!O51*10^9/3600</f>
        <v>0</v>
      </c>
      <c r="Q26" s="868">
        <f>transport!P51*10^9/3600</f>
        <v>0</v>
      </c>
      <c r="R26" s="868">
        <f>transport!Q51*10^9/3600</f>
        <v>0</v>
      </c>
      <c r="S26" s="562">
        <f>SUM(C26:R26)</f>
        <v>3882.123973716496</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12486.760746840138</v>
      </c>
      <c r="D30" s="868">
        <f t="shared" ref="D30:R30" si="9">SUM(D31:D35)</f>
        <v>0</v>
      </c>
      <c r="E30" s="868">
        <f t="shared" si="9"/>
        <v>2670.5733951465409</v>
      </c>
      <c r="F30" s="868">
        <f t="shared" si="9"/>
        <v>1369.3671775103639</v>
      </c>
      <c r="G30" s="868">
        <f t="shared" si="9"/>
        <v>0</v>
      </c>
      <c r="H30" s="868">
        <f t="shared" si="9"/>
        <v>758545.00898687192</v>
      </c>
      <c r="I30" s="868">
        <f t="shared" si="9"/>
        <v>204570.21719672959</v>
      </c>
      <c r="J30" s="868">
        <f t="shared" si="9"/>
        <v>0</v>
      </c>
      <c r="K30" s="868">
        <f t="shared" si="9"/>
        <v>0</v>
      </c>
      <c r="L30" s="868">
        <f t="shared" si="9"/>
        <v>0</v>
      </c>
      <c r="M30" s="868">
        <f t="shared" si="9"/>
        <v>0</v>
      </c>
      <c r="N30" s="868">
        <f t="shared" si="9"/>
        <v>0</v>
      </c>
      <c r="O30" s="868">
        <f t="shared" si="9"/>
        <v>107255.16393908266</v>
      </c>
      <c r="P30" s="868">
        <f t="shared" si="9"/>
        <v>0</v>
      </c>
      <c r="Q30" s="868">
        <f t="shared" si="9"/>
        <v>0</v>
      </c>
      <c r="R30" s="869">
        <f t="shared" si="9"/>
        <v>0</v>
      </c>
      <c r="S30" s="562">
        <f>SUM(C30:R30)</f>
        <v>1086897.0914421813</v>
      </c>
      <c r="T30" s="66"/>
    </row>
    <row r="31" spans="1:20" s="382" customFormat="1">
      <c r="A31" s="870" t="s">
        <v>645</v>
      </c>
      <c r="B31" s="639"/>
      <c r="C31" s="531">
        <f>transport!B14</f>
        <v>12486.760746840138</v>
      </c>
      <c r="D31" s="531" t="str">
        <f>transport!C14</f>
        <v>NO</v>
      </c>
      <c r="E31" s="531">
        <f>transport!D14</f>
        <v>2670.5733951465409</v>
      </c>
      <c r="F31" s="531">
        <f>transport!E14</f>
        <v>1369.3671775103639</v>
      </c>
      <c r="G31" s="531" t="str">
        <f>transport!F14</f>
        <v>NO</v>
      </c>
      <c r="H31" s="531">
        <f>transport!G14</f>
        <v>758545.00898687192</v>
      </c>
      <c r="I31" s="531">
        <f>transport!H14</f>
        <v>204570.21719672959</v>
      </c>
      <c r="J31" s="531" t="str">
        <f>transport!I14</f>
        <v>NO</v>
      </c>
      <c r="K31" s="531" t="str">
        <f>transport!J14</f>
        <v>NO</v>
      </c>
      <c r="L31" s="531" t="str">
        <f>transport!K14</f>
        <v>NO</v>
      </c>
      <c r="M31" s="531" t="str">
        <f>transport!L14</f>
        <v>NO</v>
      </c>
      <c r="N31" s="531" t="str">
        <f>transport!M14</f>
        <v>NO</v>
      </c>
      <c r="O31" s="531">
        <f>transport!N14</f>
        <v>107255.16393908266</v>
      </c>
      <c r="P31" s="531" t="str">
        <f>transport!O14</f>
        <v>NO</v>
      </c>
      <c r="Q31" s="531" t="str">
        <f>transport!P14</f>
        <v>NO</v>
      </c>
      <c r="R31" s="869" t="str">
        <f>transport!Q14</f>
        <v>NO</v>
      </c>
      <c r="S31" s="562">
        <f>SUM(C31:R31)</f>
        <v>1086897.0914421813</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12547.391725008616</v>
      </c>
      <c r="D37" s="637">
        <f t="shared" ref="D37:R37" si="10">SUM(D22,D25,D30,D36)</f>
        <v>0</v>
      </c>
      <c r="E37" s="637">
        <f t="shared" si="10"/>
        <v>2787.1255280220207</v>
      </c>
      <c r="F37" s="637">
        <f t="shared" si="10"/>
        <v>1369.3671775103639</v>
      </c>
      <c r="G37" s="637">
        <f t="shared" si="10"/>
        <v>0</v>
      </c>
      <c r="H37" s="637">
        <f t="shared" si="10"/>
        <v>762316.74309625581</v>
      </c>
      <c r="I37" s="637">
        <f t="shared" si="10"/>
        <v>204650.7805102501</v>
      </c>
      <c r="J37" s="637">
        <f t="shared" si="10"/>
        <v>0</v>
      </c>
      <c r="K37" s="637">
        <f t="shared" si="10"/>
        <v>0</v>
      </c>
      <c r="L37" s="637">
        <f t="shared" si="10"/>
        <v>0</v>
      </c>
      <c r="M37" s="637">
        <f t="shared" si="10"/>
        <v>0</v>
      </c>
      <c r="N37" s="637">
        <f t="shared" si="10"/>
        <v>49.432633585735303</v>
      </c>
      <c r="O37" s="637">
        <f t="shared" si="10"/>
        <v>107663.74112936607</v>
      </c>
      <c r="P37" s="637">
        <f t="shared" si="10"/>
        <v>0</v>
      </c>
      <c r="Q37" s="637">
        <f t="shared" si="10"/>
        <v>0</v>
      </c>
      <c r="R37" s="637">
        <f t="shared" si="10"/>
        <v>0</v>
      </c>
      <c r="S37" s="637">
        <f>SUM(C37:R37)</f>
        <v>1091384.5817999986</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11289.761476518706</v>
      </c>
      <c r="D39" s="531">
        <f>+landbouw!C9</f>
        <v>64445.276625784958</v>
      </c>
      <c r="E39" s="531">
        <f>+landbouw!D9</f>
        <v>23635.439762214664</v>
      </c>
      <c r="F39" s="531">
        <f>+landbouw!E9</f>
        <v>418.97416476623198</v>
      </c>
      <c r="G39" s="531">
        <f>+landbouw!F9</f>
        <v>42414.71063254046</v>
      </c>
      <c r="H39" s="531" t="str">
        <f>+landbouw!G9</f>
        <v>NE</v>
      </c>
      <c r="I39" s="531" t="str">
        <f>+landbouw!H9</f>
        <v>NE</v>
      </c>
      <c r="J39" s="531" t="str">
        <f>+landbouw!I9</f>
        <v>NE</v>
      </c>
      <c r="K39" s="531">
        <f>+landbouw!J9</f>
        <v>1348.9663734844082</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143553.12903530942</v>
      </c>
      <c r="T39" s="66"/>
    </row>
    <row r="40" spans="1:20" s="382" customFormat="1" ht="15" thickBot="1">
      <c r="A40" s="654" t="s">
        <v>537</v>
      </c>
      <c r="B40" s="748"/>
      <c r="C40" s="749">
        <f>IF(Onbekend_ele_kWh="---",0,Onbekend_ele_kWh)/1000+IF(REST_rest_ele_kWh="---",0,REST_rest_ele_kWh)/1000</f>
        <v>7498.4912999999997</v>
      </c>
      <c r="D40" s="749" t="s">
        <v>637</v>
      </c>
      <c r="E40" s="749">
        <f>IF(onbekend_gas_kWh="---",0,onbekend_gas_kWh)/1000+IF(REST_rest_gas_kWh="---",0,REST_rest_gas_kWh)/1000</f>
        <v>3541.70964</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11040.200939999999</v>
      </c>
      <c r="T40" s="66"/>
    </row>
    <row r="41" spans="1:20" s="382" customFormat="1" ht="15.75" thickBot="1">
      <c r="A41" s="537" t="s">
        <v>538</v>
      </c>
      <c r="B41" s="642"/>
      <c r="C41" s="637">
        <f>SUM(C39:C40)</f>
        <v>18788.252776518704</v>
      </c>
      <c r="D41" s="637">
        <f t="shared" ref="D41:R41" si="11">SUM(D39:D40)</f>
        <v>64445.276625784958</v>
      </c>
      <c r="E41" s="637">
        <f t="shared" si="11"/>
        <v>27177.149402214665</v>
      </c>
      <c r="F41" s="637">
        <f t="shared" si="11"/>
        <v>418.97416476623198</v>
      </c>
      <c r="G41" s="637">
        <f t="shared" si="11"/>
        <v>42414.71063254046</v>
      </c>
      <c r="H41" s="637">
        <f t="shared" si="11"/>
        <v>0</v>
      </c>
      <c r="I41" s="637">
        <f t="shared" si="11"/>
        <v>0</v>
      </c>
      <c r="J41" s="637">
        <f t="shared" si="11"/>
        <v>0</v>
      </c>
      <c r="K41" s="637">
        <f t="shared" si="11"/>
        <v>1348.9663734844082</v>
      </c>
      <c r="L41" s="637">
        <f t="shared" si="11"/>
        <v>0</v>
      </c>
      <c r="M41" s="637">
        <f t="shared" si="11"/>
        <v>0</v>
      </c>
      <c r="N41" s="637">
        <f t="shared" si="11"/>
        <v>0</v>
      </c>
      <c r="O41" s="637">
        <f t="shared" si="11"/>
        <v>0</v>
      </c>
      <c r="P41" s="637">
        <f t="shared" si="11"/>
        <v>0</v>
      </c>
      <c r="Q41" s="637">
        <f t="shared" si="11"/>
        <v>0</v>
      </c>
      <c r="R41" s="637">
        <f t="shared" si="11"/>
        <v>0</v>
      </c>
      <c r="S41" s="637">
        <f>SUM(C41:R41)</f>
        <v>154593.32997530943</v>
      </c>
      <c r="T41" s="66"/>
    </row>
    <row r="42" spans="1:20" s="382" customFormat="1" ht="17.25" thickTop="1" thickBot="1">
      <c r="A42" s="538" t="s">
        <v>96</v>
      </c>
      <c r="B42" s="630"/>
      <c r="C42" s="539">
        <f t="shared" ref="C42:S42" si="12">C37+C20+C41</f>
        <v>496809.01888694661</v>
      </c>
      <c r="D42" s="539">
        <f t="shared" si="12"/>
        <v>223085.66646541783</v>
      </c>
      <c r="E42" s="539">
        <f t="shared" si="12"/>
        <v>250553.78769137833</v>
      </c>
      <c r="F42" s="539">
        <f t="shared" si="12"/>
        <v>12003.388439204848</v>
      </c>
      <c r="G42" s="539">
        <f t="shared" si="12"/>
        <v>131434.34238085599</v>
      </c>
      <c r="H42" s="539">
        <f t="shared" si="12"/>
        <v>762316.74309625581</v>
      </c>
      <c r="I42" s="539">
        <f t="shared" si="12"/>
        <v>204653.67470397786</v>
      </c>
      <c r="J42" s="539">
        <f t="shared" si="12"/>
        <v>0</v>
      </c>
      <c r="K42" s="539">
        <f t="shared" si="12"/>
        <v>1981.0616399274231</v>
      </c>
      <c r="L42" s="539">
        <f t="shared" si="12"/>
        <v>0</v>
      </c>
      <c r="M42" s="539">
        <f t="shared" si="12"/>
        <v>0</v>
      </c>
      <c r="N42" s="539">
        <f t="shared" si="12"/>
        <v>49.432633585735303</v>
      </c>
      <c r="O42" s="539">
        <f t="shared" si="12"/>
        <v>107663.74112936607</v>
      </c>
      <c r="P42" s="539">
        <f t="shared" si="12"/>
        <v>23679.04273513145</v>
      </c>
      <c r="Q42" s="539">
        <f t="shared" si="12"/>
        <v>0</v>
      </c>
      <c r="R42" s="539">
        <f t="shared" si="12"/>
        <v>0</v>
      </c>
      <c r="S42" s="539">
        <f t="shared" si="12"/>
        <v>2214229.8998020478</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304.62812945802341</v>
      </c>
      <c r="D55" s="531">
        <f t="shared" ref="D55:R55" si="13">SUM(D56:D58)</f>
        <v>0</v>
      </c>
      <c r="E55" s="531">
        <f t="shared" si="13"/>
        <v>1646.5933038611154</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1951.2214333191387</v>
      </c>
    </row>
    <row r="56" spans="1:19">
      <c r="A56" s="899" t="s">
        <v>197</v>
      </c>
      <c r="B56" s="652"/>
      <c r="C56" s="531">
        <f>'Eigen gebouwen'!B10</f>
        <v>217.67026486866862</v>
      </c>
      <c r="D56" s="531">
        <f>'Eigen gebouwen'!C10</f>
        <v>0</v>
      </c>
      <c r="E56" s="531">
        <f>'Eigen gebouwen'!D10</f>
        <v>1646.5933038611154</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1864.2635687297841</v>
      </c>
    </row>
    <row r="57" spans="1:19">
      <c r="A57" s="900" t="s">
        <v>410</v>
      </c>
      <c r="B57" s="652"/>
      <c r="C57" s="531">
        <f>'Eigen openbare verlichting'!B10</f>
        <v>86.957864589354756</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86.957864589354756</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11350.502252779035</v>
      </c>
      <c r="D59" s="868">
        <f t="shared" ref="D59:R59" si="15">SUM(D60:D61)</f>
        <v>12527.824194086588</v>
      </c>
      <c r="E59" s="868">
        <f t="shared" si="15"/>
        <v>10623.041855992493</v>
      </c>
      <c r="F59" s="868">
        <f t="shared" si="15"/>
        <v>66.341904844549873</v>
      </c>
      <c r="G59" s="868">
        <f t="shared" si="15"/>
        <v>5633.4376088144254</v>
      </c>
      <c r="H59" s="868">
        <f t="shared" si="15"/>
        <v>0</v>
      </c>
      <c r="I59" s="868">
        <f t="shared" si="15"/>
        <v>0.72065423821261954</v>
      </c>
      <c r="J59" s="868">
        <f t="shared" si="15"/>
        <v>0</v>
      </c>
      <c r="K59" s="868">
        <f t="shared" si="15"/>
        <v>4.8816206651997519E-2</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40201.917286961958</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11350.502252779035</v>
      </c>
      <c r="D61" s="531">
        <f>tertiair!C21</f>
        <v>12527.824194086588</v>
      </c>
      <c r="E61" s="531">
        <f>tertiair!D21</f>
        <v>10623.041855992493</v>
      </c>
      <c r="F61" s="531">
        <f>tertiair!E21</f>
        <v>66.341904844549873</v>
      </c>
      <c r="G61" s="531">
        <f>tertiair!F21</f>
        <v>5633.4376088144254</v>
      </c>
      <c r="H61" s="531" t="str">
        <f>tertiair!G21</f>
        <v>NE</v>
      </c>
      <c r="I61" s="531">
        <f>tertiair!H21</f>
        <v>0.72065423821261954</v>
      </c>
      <c r="J61" s="531" t="str">
        <f>tertiair!I21</f>
        <v>NE</v>
      </c>
      <c r="K61" s="531">
        <f>tertiair!J21</f>
        <v>4.8816206651997519E-2</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40201.917286961958</v>
      </c>
    </row>
    <row r="62" spans="1:19" ht="14.45" customHeight="1">
      <c r="A62" s="647" t="s">
        <v>644</v>
      </c>
      <c r="B62" s="652"/>
      <c r="C62" s="531">
        <f>huishoudens!B13</f>
        <v>3122.3406063143934</v>
      </c>
      <c r="D62" s="531">
        <f>huishoudens!C13</f>
        <v>0</v>
      </c>
      <c r="E62" s="531">
        <f>huishoudens!D13</f>
        <v>32289.446417897008</v>
      </c>
      <c r="F62" s="531">
        <f>huishoudens!E13</f>
        <v>795.27990917392515</v>
      </c>
      <c r="G62" s="531">
        <f>huishoudens!F13</f>
        <v>15199.920072097182</v>
      </c>
      <c r="H62" s="531" t="str">
        <f>huishoudens!G13</f>
        <v>NE</v>
      </c>
      <c r="I62" s="531" t="str">
        <f>huishoudens!H13</f>
        <v>NE</v>
      </c>
      <c r="J62" s="531" t="str">
        <f>huishoudens!I13</f>
        <v>NE</v>
      </c>
      <c r="K62" s="531">
        <f>huishoudens!J13</f>
        <v>161.5515301234162</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51568.53853560592</v>
      </c>
    </row>
    <row r="63" spans="1:19">
      <c r="A63" s="647" t="s">
        <v>496</v>
      </c>
      <c r="B63" s="660" t="s">
        <v>493</v>
      </c>
      <c r="C63" s="531">
        <f>industrie!B23</f>
        <v>5294.5676810462728</v>
      </c>
      <c r="D63" s="531">
        <f>industrie!C23</f>
        <v>5908.3239259602324</v>
      </c>
      <c r="E63" s="531">
        <f>industrie!D23</f>
        <v>0</v>
      </c>
      <c r="F63" s="531">
        <f>industrie!E23</f>
        <v>1457.1938769842379</v>
      </c>
      <c r="G63" s="531">
        <f>industrie!F23</f>
        <v>2934.8839958886338</v>
      </c>
      <c r="H63" s="531" t="str">
        <f>industrie!G23</f>
        <v>NE</v>
      </c>
      <c r="I63" s="531">
        <f>industrie!H23</f>
        <v>0</v>
      </c>
      <c r="J63" s="531" t="str">
        <f>industrie!I23</f>
        <v>NE</v>
      </c>
      <c r="K63" s="531">
        <f>industrie!J23</f>
        <v>62.161377990759021</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15657.130857870137</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20072.038669597725</v>
      </c>
      <c r="D66" s="564">
        <f t="shared" ref="D66:E66" si="17">SUM(D55,D59,D62,D63,D64,D65)</f>
        <v>18436.148120046819</v>
      </c>
      <c r="E66" s="564">
        <f t="shared" si="17"/>
        <v>44559.081577750614</v>
      </c>
      <c r="F66" s="564">
        <f t="shared" ref="F66" si="18">SUM(F55,F59,F62,F63,F64,F65)</f>
        <v>2318.8156910027128</v>
      </c>
      <c r="G66" s="564">
        <f t="shared" ref="G66" si="19">SUM(G55,G59,G62,G63,G64,G65)</f>
        <v>23768.24167680024</v>
      </c>
      <c r="H66" s="564">
        <f t="shared" ref="H66" si="20">SUM(H55,H59,H62,H63,H64,H65)</f>
        <v>0</v>
      </c>
      <c r="I66" s="564">
        <f t="shared" ref="I66" si="21">SUM(I55,I59,I62,I63,I64,I65)</f>
        <v>0.72065423821261954</v>
      </c>
      <c r="J66" s="564">
        <f t="shared" ref="J66" si="22">SUM(J55,J59,J62,J63,J64,J65)</f>
        <v>0</v>
      </c>
      <c r="K66" s="564">
        <f t="shared" ref="K66" si="23">SUM(K55,K59,K62,K63,K64,K65)</f>
        <v>223.76172432082723</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109378.80811375716</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23.543530840846902</v>
      </c>
      <c r="F68" s="531">
        <f t="shared" si="31"/>
        <v>0</v>
      </c>
      <c r="G68" s="531">
        <f t="shared" si="31"/>
        <v>0</v>
      </c>
      <c r="H68" s="531">
        <f t="shared" si="31"/>
        <v>95.804487199838377</v>
      </c>
      <c r="I68" s="531">
        <f t="shared" si="31"/>
        <v>20.060265066606931</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139.40828310729222</v>
      </c>
    </row>
    <row r="69" spans="1:19">
      <c r="A69" s="900" t="s">
        <v>645</v>
      </c>
      <c r="B69" s="652"/>
      <c r="C69" s="531">
        <f>'Eigen vloot'!B31</f>
        <v>0</v>
      </c>
      <c r="D69" s="531" t="str">
        <f>'Eigen vloot'!C31</f>
        <v>NO</v>
      </c>
      <c r="E69" s="531">
        <f>'Eigen vloot'!D31</f>
        <v>23.543530840846902</v>
      </c>
      <c r="F69" s="531">
        <f>'Eigen vloot'!E31</f>
        <v>0</v>
      </c>
      <c r="G69" s="531" t="str">
        <f>'Eigen vloot'!F31</f>
        <v>NO</v>
      </c>
      <c r="H69" s="531">
        <f>'Eigen vloot'!G31</f>
        <v>95.804487199838377</v>
      </c>
      <c r="I69" s="531">
        <f>'Eigen vloot'!H31</f>
        <v>20.060265066606931</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139.40828310729222</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2.6145154703640148</v>
      </c>
      <c r="D71" s="531">
        <f t="shared" ref="D71:R71" si="32">SUM(D72:D75)</f>
        <v>0</v>
      </c>
      <c r="E71" s="531">
        <f t="shared" si="32"/>
        <v>0</v>
      </c>
      <c r="F71" s="531">
        <f t="shared" si="32"/>
        <v>0</v>
      </c>
      <c r="G71" s="531">
        <f t="shared" si="32"/>
        <v>0</v>
      </c>
      <c r="H71" s="531">
        <f t="shared" si="32"/>
        <v>911.24852000565056</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913.8630354760146</v>
      </c>
    </row>
    <row r="72" spans="1:19">
      <c r="A72" s="904" t="s">
        <v>645</v>
      </c>
      <c r="B72" s="903"/>
      <c r="C72" s="876">
        <f>transport!B51*transport!B56*10^9/3600</f>
        <v>2.6145154703640148</v>
      </c>
      <c r="D72" s="876">
        <f>transport!C51*transport!C56*10^9/3600</f>
        <v>0</v>
      </c>
      <c r="E72" s="876">
        <f>transport!D51*transport!D56*10^9/3600</f>
        <v>0</v>
      </c>
      <c r="F72" s="876">
        <f>transport!E51*transport!E56*10^9/3600</f>
        <v>0</v>
      </c>
      <c r="G72" s="876">
        <f>transport!F51*transport!F56*10^9/3600</f>
        <v>0</v>
      </c>
      <c r="H72" s="876">
        <f>transport!G51*transport!G56*10^9/3600</f>
        <v>911.24852000565056</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913.8630354760146</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538.45130218138024</v>
      </c>
      <c r="D76" s="876">
        <f t="shared" ref="D76:R76" si="34">SUM(D77:D81)</f>
        <v>0</v>
      </c>
      <c r="E76" s="876">
        <f t="shared" si="34"/>
        <v>539.45582581960127</v>
      </c>
      <c r="F76" s="876">
        <f t="shared" si="34"/>
        <v>310.84634929485264</v>
      </c>
      <c r="G76" s="876">
        <f t="shared" si="34"/>
        <v>0</v>
      </c>
      <c r="H76" s="876">
        <f t="shared" si="34"/>
        <v>202531.51739949483</v>
      </c>
      <c r="I76" s="876">
        <f t="shared" si="34"/>
        <v>50937.984081985669</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254858.25495877632</v>
      </c>
    </row>
    <row r="77" spans="1:19">
      <c r="A77" s="905" t="s">
        <v>645</v>
      </c>
      <c r="B77" s="658"/>
      <c r="C77" s="536">
        <f>transport!B18</f>
        <v>538.45130218138024</v>
      </c>
      <c r="D77" s="536" t="str">
        <f>transport!C18</f>
        <v>NO</v>
      </c>
      <c r="E77" s="536">
        <f>transport!D18</f>
        <v>539.45582581960127</v>
      </c>
      <c r="F77" s="536">
        <f>transport!E18</f>
        <v>310.84634929485264</v>
      </c>
      <c r="G77" s="536" t="str">
        <f>transport!F18</f>
        <v>NO</v>
      </c>
      <c r="H77" s="536">
        <f>transport!G18</f>
        <v>202531.51739949483</v>
      </c>
      <c r="I77" s="536">
        <f>transport!H18</f>
        <v>50937.984081985669</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254858.25495877632</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541.06581765174428</v>
      </c>
      <c r="D83" s="564">
        <f t="shared" ref="D83:R83" si="35">SUM(D68,D71,D76,D82)</f>
        <v>0</v>
      </c>
      <c r="E83" s="564">
        <f t="shared" si="35"/>
        <v>562.99935666044814</v>
      </c>
      <c r="F83" s="564">
        <f t="shared" si="35"/>
        <v>310.84634929485264</v>
      </c>
      <c r="G83" s="564">
        <f t="shared" si="35"/>
        <v>0</v>
      </c>
      <c r="H83" s="564">
        <f t="shared" si="35"/>
        <v>203538.57040670031</v>
      </c>
      <c r="I83" s="564">
        <f t="shared" si="35"/>
        <v>50958.044347052273</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255911.52627735963</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486.83456755484082</v>
      </c>
      <c r="D85" s="536">
        <f>+landbouw!C13</f>
        <v>7489.4083827669456</v>
      </c>
      <c r="E85" s="536">
        <f>+landbouw!D13</f>
        <v>4774.3588319673627</v>
      </c>
      <c r="F85" s="536">
        <f>+landbouw!E13</f>
        <v>95.107135401934656</v>
      </c>
      <c r="G85" s="536">
        <f>+landbouw!F13</f>
        <v>11324.727738888303</v>
      </c>
      <c r="H85" s="536" t="str">
        <f>+landbouw!G13</f>
        <v>NE</v>
      </c>
      <c r="I85" s="536" t="str">
        <f>+landbouw!H13</f>
        <v>NE</v>
      </c>
      <c r="J85" s="536" t="str">
        <f>+landbouw!I13</f>
        <v>NE</v>
      </c>
      <c r="K85" s="536">
        <f>+landbouw!J13</f>
        <v>477.5340962134805</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24647.970752792866</v>
      </c>
    </row>
    <row r="86" spans="1:20" ht="15" thickBot="1">
      <c r="A86" s="650" t="s">
        <v>537</v>
      </c>
      <c r="B86" s="658"/>
      <c r="C86" s="536">
        <f>C40*'EF ele_warmte'!B13</f>
        <v>323.34826355205746</v>
      </c>
      <c r="D86" s="536" t="s">
        <v>637</v>
      </c>
      <c r="E86" s="536">
        <f>E40*EF_CO2_aardgas</f>
        <v>715.4253472800001</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1038.7736108320576</v>
      </c>
    </row>
    <row r="87" spans="1:20" ht="15.75" thickBot="1">
      <c r="A87" s="648" t="s">
        <v>538</v>
      </c>
      <c r="B87" s="659"/>
      <c r="C87" s="564">
        <f>SUM(C85:C86)</f>
        <v>810.18283110689822</v>
      </c>
      <c r="D87" s="564">
        <f t="shared" ref="D87:R87" si="36">SUM(D85:D86)</f>
        <v>7489.4083827669456</v>
      </c>
      <c r="E87" s="564">
        <f t="shared" si="36"/>
        <v>5489.7841792473628</v>
      </c>
      <c r="F87" s="564">
        <f t="shared" si="36"/>
        <v>95.107135401934656</v>
      </c>
      <c r="G87" s="564">
        <f t="shared" si="36"/>
        <v>11324.727738888303</v>
      </c>
      <c r="H87" s="564">
        <f t="shared" si="36"/>
        <v>0</v>
      </c>
      <c r="I87" s="564">
        <f t="shared" si="36"/>
        <v>0</v>
      </c>
      <c r="J87" s="564">
        <f t="shared" si="36"/>
        <v>0</v>
      </c>
      <c r="K87" s="564">
        <f t="shared" si="36"/>
        <v>477.5340962134805</v>
      </c>
      <c r="L87" s="564">
        <f t="shared" si="36"/>
        <v>0</v>
      </c>
      <c r="M87" s="564">
        <f t="shared" si="36"/>
        <v>0</v>
      </c>
      <c r="N87" s="564">
        <f t="shared" si="36"/>
        <v>0</v>
      </c>
      <c r="O87" s="564">
        <f t="shared" si="36"/>
        <v>0</v>
      </c>
      <c r="P87" s="564">
        <f t="shared" si="36"/>
        <v>0</v>
      </c>
      <c r="Q87" s="564">
        <f t="shared" si="36"/>
        <v>0</v>
      </c>
      <c r="R87" s="565">
        <f t="shared" si="36"/>
        <v>0</v>
      </c>
      <c r="S87" s="566">
        <f>SUM(S85:S86)</f>
        <v>25686.744363624923</v>
      </c>
    </row>
    <row r="88" spans="1:20" ht="16.5" thickBot="1">
      <c r="A88" s="661" t="s">
        <v>96</v>
      </c>
      <c r="B88" s="662"/>
      <c r="C88" s="569">
        <f t="shared" ref="C88:S88" si="37">C66+C83+C87</f>
        <v>21423.287318356364</v>
      </c>
      <c r="D88" s="569">
        <f t="shared" si="37"/>
        <v>25925.556502813764</v>
      </c>
      <c r="E88" s="569">
        <f t="shared" si="37"/>
        <v>50611.865113658423</v>
      </c>
      <c r="F88" s="569">
        <f t="shared" si="37"/>
        <v>2724.7691756995</v>
      </c>
      <c r="G88" s="569">
        <f t="shared" si="37"/>
        <v>35092.969415688545</v>
      </c>
      <c r="H88" s="569">
        <f t="shared" si="37"/>
        <v>203538.57040670031</v>
      </c>
      <c r="I88" s="569">
        <f t="shared" si="37"/>
        <v>50958.765001290485</v>
      </c>
      <c r="J88" s="569">
        <f t="shared" si="37"/>
        <v>0</v>
      </c>
      <c r="K88" s="569">
        <f t="shared" si="37"/>
        <v>701.29582053430772</v>
      </c>
      <c r="L88" s="569">
        <f t="shared" si="37"/>
        <v>0</v>
      </c>
      <c r="M88" s="569">
        <f t="shared" si="37"/>
        <v>0</v>
      </c>
      <c r="N88" s="569">
        <f t="shared" si="37"/>
        <v>0</v>
      </c>
      <c r="O88" s="569">
        <f t="shared" si="37"/>
        <v>0</v>
      </c>
      <c r="P88" s="569">
        <f t="shared" si="37"/>
        <v>0</v>
      </c>
      <c r="Q88" s="569">
        <f t="shared" si="37"/>
        <v>0</v>
      </c>
      <c r="R88" s="569">
        <f t="shared" si="37"/>
        <v>0</v>
      </c>
      <c r="S88" s="569">
        <f t="shared" si="37"/>
        <v>390977.0787547417</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4.3121776183438064E-2</v>
      </c>
      <c r="D90" s="613">
        <f t="shared" si="38"/>
        <v>0.11621345698080822</v>
      </c>
      <c r="E90" s="758">
        <f t="shared" si="38"/>
        <v>0.20200000000000001</v>
      </c>
      <c r="F90" s="613">
        <f t="shared" si="38"/>
        <v>0.22699999999999998</v>
      </c>
      <c r="G90" s="613">
        <f t="shared" si="38"/>
        <v>0.26699999999999996</v>
      </c>
      <c r="H90" s="613">
        <f t="shared" si="38"/>
        <v>0.26700000000000002</v>
      </c>
      <c r="I90" s="613">
        <f t="shared" si="38"/>
        <v>0.249</v>
      </c>
      <c r="J90" s="613">
        <f t="shared" si="38"/>
        <v>0</v>
      </c>
      <c r="K90" s="613">
        <f t="shared" si="38"/>
        <v>0.35399999999999998</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257688.93716737276</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70991.113790392192</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97409.439345634921</v>
      </c>
      <c r="C103" s="582">
        <f>'lokale energieproductie'!B8*IFERROR(SUM(D103:F103,I103)/SUM(D103:F103,I103:L103),0)</f>
        <v>96501.378393717314</v>
      </c>
      <c r="D103" s="754">
        <f>'lokale energieproductie'!C8</f>
        <v>111559.6360171562</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4.6501787209228209E-4</v>
      </c>
      <c r="L103" s="755">
        <f>'lokale energieproductie'!K8</f>
        <v>112609.39205265185</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22535.046475465555</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426089.49030339986</v>
      </c>
      <c r="C105" s="587">
        <f>SUM(C99:C104)</f>
        <v>96501.378393717314</v>
      </c>
      <c r="D105" s="588">
        <f t="shared" ref="D105:N105" si="39">SUM(D103:D104)</f>
        <v>111559.6360171562</v>
      </c>
      <c r="E105" s="588">
        <f t="shared" si="39"/>
        <v>0</v>
      </c>
      <c r="F105" s="588">
        <f t="shared" si="39"/>
        <v>0</v>
      </c>
      <c r="G105" s="588">
        <f t="shared" si="39"/>
        <v>0</v>
      </c>
      <c r="H105" s="588">
        <f t="shared" si="39"/>
        <v>0</v>
      </c>
      <c r="I105" s="588">
        <f t="shared" si="39"/>
        <v>0</v>
      </c>
      <c r="J105" s="588">
        <f t="shared" si="39"/>
        <v>0</v>
      </c>
      <c r="K105" s="588">
        <f t="shared" si="39"/>
        <v>4.6501787209228209E-4</v>
      </c>
      <c r="L105" s="588">
        <f t="shared" si="39"/>
        <v>112609.39205265185</v>
      </c>
      <c r="M105" s="588">
        <f t="shared" si="39"/>
        <v>0</v>
      </c>
      <c r="N105" s="588">
        <f t="shared" si="39"/>
        <v>0</v>
      </c>
      <c r="O105" s="589">
        <f>SUM(O103:O104)</f>
        <v>22535.046475465555</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112065.17485606809</v>
      </c>
      <c r="C114" s="600">
        <f>'lokale energieproductie'!B17*IFERROR(SUM(D114:F114,I114)/SUM(D114:F114,I114:L114),0)</f>
        <v>111020.49160934973</v>
      </c>
      <c r="D114" s="610">
        <f>'lokale energieproductie'!C17</f>
        <v>128344.33912284041</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5.349821279877179E-4</v>
      </c>
      <c r="L114" s="610">
        <f>'lokale energieproductie'!K17</f>
        <v>129552.03618448357</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25925.556502813764</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112065.17485606809</v>
      </c>
      <c r="C117" s="587">
        <f>SUM(C114:C116)</f>
        <v>111020.49160934973</v>
      </c>
      <c r="D117" s="587">
        <f t="shared" ref="D117:N117" si="40">SUM(D114:D116)</f>
        <v>128344.33912284041</v>
      </c>
      <c r="E117" s="587">
        <f t="shared" si="40"/>
        <v>0</v>
      </c>
      <c r="F117" s="587">
        <f t="shared" si="40"/>
        <v>0</v>
      </c>
      <c r="G117" s="587">
        <f t="shared" si="40"/>
        <v>0</v>
      </c>
      <c r="H117" s="587">
        <f t="shared" si="40"/>
        <v>0</v>
      </c>
      <c r="I117" s="587">
        <f t="shared" si="40"/>
        <v>0</v>
      </c>
      <c r="J117" s="587">
        <f t="shared" si="40"/>
        <v>0</v>
      </c>
      <c r="K117" s="587">
        <f t="shared" si="40"/>
        <v>5.349821279877179E-4</v>
      </c>
      <c r="L117" s="587">
        <f t="shared" si="40"/>
        <v>129552.03618448357</v>
      </c>
      <c r="M117" s="587">
        <f t="shared" si="40"/>
        <v>0</v>
      </c>
      <c r="N117" s="587">
        <f t="shared" si="40"/>
        <v>0</v>
      </c>
      <c r="O117" s="587">
        <f>SUM(O114:O116)</f>
        <v>25925.556502813764</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72407.513851750904</v>
      </c>
      <c r="C4" s="955">
        <f>huishoudens!C9</f>
        <v>0</v>
      </c>
      <c r="D4" s="955">
        <f>huishoudens!D9</f>
        <v>159848.7446430545</v>
      </c>
      <c r="E4" s="955">
        <f>huishoudens!E9</f>
        <v>3503.4357232331504</v>
      </c>
      <c r="F4" s="955">
        <f>huishoudens!F9</f>
        <v>56928.539595869595</v>
      </c>
      <c r="G4" s="955" t="str">
        <f>huishoudens!G9</f>
        <v>NE</v>
      </c>
      <c r="H4" s="955" t="str">
        <f>huishoudens!H9</f>
        <v>NE</v>
      </c>
      <c r="I4" s="955" t="str">
        <f>huishoudens!I9</f>
        <v xml:space="preserve">NE </v>
      </c>
      <c r="J4" s="955">
        <f>huishoudens!J9</f>
        <v>456.3602545859215</v>
      </c>
      <c r="K4" s="955" t="str">
        <f>huishoudens!K9</f>
        <v>NE</v>
      </c>
      <c r="L4" s="955">
        <f>huishoudens!L9</f>
        <v>0</v>
      </c>
      <c r="M4" s="955">
        <f>huishoudens!M9</f>
        <v>0</v>
      </c>
      <c r="N4" s="955" t="str">
        <f>huishoudens!N9</f>
        <v>NE</v>
      </c>
      <c r="O4" s="955">
        <f>huishoudens!O9</f>
        <v>23679.04273513145</v>
      </c>
      <c r="P4" s="955" t="str">
        <f>huishoudens!P9</f>
        <v>NE</v>
      </c>
      <c r="Q4" s="956" t="str">
        <f>huishoudens!Q9</f>
        <v>NE</v>
      </c>
      <c r="R4" s="957">
        <f>SUM(B4:Q4)</f>
        <v>316823.6368036255</v>
      </c>
    </row>
    <row r="5" spans="1:18">
      <c r="A5" s="385" t="s">
        <v>136</v>
      </c>
      <c r="B5" s="955">
        <f>tertiair!B17</f>
        <v>262980.29357308277</v>
      </c>
      <c r="C5" s="955">
        <f>tertiair!C17</f>
        <v>107800.11643707892</v>
      </c>
      <c r="D5" s="955">
        <f>tertiair!D17</f>
        <v>52589.316118774717</v>
      </c>
      <c r="E5" s="955">
        <f>tertiair!E17</f>
        <v>292.25508742092455</v>
      </c>
      <c r="F5" s="955">
        <f>tertiair!F17</f>
        <v>21099.017261477249</v>
      </c>
      <c r="G5" s="955" t="str">
        <f>tertiair!G17</f>
        <v>NE</v>
      </c>
      <c r="H5" s="955">
        <f>tertiair!H17</f>
        <v>2.8941937277615244</v>
      </c>
      <c r="I5" s="955" t="str">
        <f>tertiair!I17</f>
        <v>NE</v>
      </c>
      <c r="J5" s="955">
        <f>tertiair!J17</f>
        <v>0.13789888884745063</v>
      </c>
      <c r="K5" s="955" t="str">
        <f>tertiair!K17</f>
        <v>NE</v>
      </c>
      <c r="L5" s="955" t="str">
        <f>tertiair!L17</f>
        <v>IE</v>
      </c>
      <c r="M5" s="955" t="str">
        <f>tertiair!M17</f>
        <v>IE</v>
      </c>
      <c r="N5" s="955" t="str">
        <f>tertiair!N17</f>
        <v>IE</v>
      </c>
      <c r="O5" s="955">
        <f>tertiair!O17</f>
        <v>0</v>
      </c>
      <c r="P5" s="955" t="str">
        <f>tertiair!P17</f>
        <v>NE</v>
      </c>
      <c r="Q5" s="956" t="str">
        <f>tertiair!Q17</f>
        <v>NE</v>
      </c>
      <c r="R5" s="958">
        <f t="shared" ref="R5:R14" si="0">SUM(B5:Q5)</f>
        <v>444764.03057045117</v>
      </c>
    </row>
    <row r="6" spans="1:18">
      <c r="A6" s="385" t="s">
        <v>174</v>
      </c>
      <c r="B6" s="955">
        <f>'openbare verlichting'!B8</f>
        <v>239.43570000000022</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239.43570000000022</v>
      </c>
    </row>
    <row r="7" spans="1:18">
      <c r="A7" s="385" t="s">
        <v>92</v>
      </c>
      <c r="B7" s="955">
        <f>landbouw!B9</f>
        <v>11289.761476518706</v>
      </c>
      <c r="C7" s="955">
        <f>landbouw!C9</f>
        <v>64445.276625784958</v>
      </c>
      <c r="D7" s="955">
        <f>landbouw!D9</f>
        <v>23635.439762214664</v>
      </c>
      <c r="E7" s="955">
        <f>landbouw!E9</f>
        <v>418.97416476623198</v>
      </c>
      <c r="F7" s="955">
        <f>landbouw!F9</f>
        <v>42414.71063254046</v>
      </c>
      <c r="G7" s="955" t="str">
        <f>landbouw!G9</f>
        <v>NE</v>
      </c>
      <c r="H7" s="955" t="str">
        <f>landbouw!H9</f>
        <v>NE</v>
      </c>
      <c r="I7" s="955" t="str">
        <f>landbouw!I9</f>
        <v>NE</v>
      </c>
      <c r="J7" s="955">
        <f>landbouw!J9</f>
        <v>1348.9663734844082</v>
      </c>
      <c r="K7" s="955" t="str">
        <f>landbouw!K9</f>
        <v>NE</v>
      </c>
      <c r="L7" s="955" t="str">
        <f>landbouw!L9</f>
        <v>IE</v>
      </c>
      <c r="M7" s="955" t="str">
        <f>landbouw!M9</f>
        <v>IE</v>
      </c>
      <c r="N7" s="955" t="str">
        <f>landbouw!N9</f>
        <v>IE</v>
      </c>
      <c r="O7" s="955">
        <f>landbouw!O9</f>
        <v>0</v>
      </c>
      <c r="P7" s="955" t="str">
        <f>landbouw!P9</f>
        <v>NE</v>
      </c>
      <c r="Q7" s="956" t="str">
        <f>landbouw!Q9</f>
        <v>NE</v>
      </c>
      <c r="R7" s="958">
        <f t="shared" si="0"/>
        <v>143553.12903530942</v>
      </c>
    </row>
    <row r="8" spans="1:18">
      <c r="A8" s="385" t="s">
        <v>492</v>
      </c>
      <c r="B8" s="955">
        <f>industrie!B19</f>
        <v>122781.76247943557</v>
      </c>
      <c r="C8" s="955">
        <f>industrie!C19</f>
        <v>50840.273402553954</v>
      </c>
      <c r="D8" s="955">
        <f>industrie!D19</f>
        <v>0</v>
      </c>
      <c r="E8" s="955">
        <f>industrie!E19</f>
        <v>6419.3562862741755</v>
      </c>
      <c r="F8" s="955">
        <f>industrie!F19</f>
        <v>10992.074890968664</v>
      </c>
      <c r="G8" s="955" t="str">
        <f>industrie!G19</f>
        <v>NE</v>
      </c>
      <c r="H8" s="955">
        <f>industrie!H19</f>
        <v>0</v>
      </c>
      <c r="I8" s="955" t="str">
        <f>industrie!I19</f>
        <v>NE</v>
      </c>
      <c r="J8" s="955">
        <f>industrie!J19</f>
        <v>175.59711296824582</v>
      </c>
      <c r="K8" s="955" t="str">
        <f>industrie!K19</f>
        <v>NE</v>
      </c>
      <c r="L8" s="955" t="str">
        <f>industrie!L19</f>
        <v>IE</v>
      </c>
      <c r="M8" s="955" t="str">
        <f>industrie!M19</f>
        <v>IE</v>
      </c>
      <c r="N8" s="955" t="str">
        <f>industrie!N19</f>
        <v>IE</v>
      </c>
      <c r="O8" s="955">
        <f>industrie!O19</f>
        <v>0</v>
      </c>
      <c r="P8" s="955" t="str">
        <f>industrie!P19</f>
        <v>NE</v>
      </c>
      <c r="Q8" s="956" t="str">
        <f>industrie!Q19</f>
        <v>NE</v>
      </c>
      <c r="R8" s="958">
        <f t="shared" si="0"/>
        <v>191209.0641722006</v>
      </c>
    </row>
    <row r="9" spans="1:18" s="389" customFormat="1">
      <c r="A9" s="388" t="s">
        <v>457</v>
      </c>
      <c r="B9" s="959">
        <f>transport!B14</f>
        <v>12486.760746840138</v>
      </c>
      <c r="C9" s="959" t="str">
        <f>transport!C14</f>
        <v>NO</v>
      </c>
      <c r="D9" s="959">
        <f>transport!D14</f>
        <v>2670.5733951465409</v>
      </c>
      <c r="E9" s="959">
        <f>transport!E14</f>
        <v>1369.3671775103639</v>
      </c>
      <c r="F9" s="959" t="str">
        <f>transport!F14</f>
        <v>NO</v>
      </c>
      <c r="G9" s="959">
        <f>transport!G14</f>
        <v>758545.00898687192</v>
      </c>
      <c r="H9" s="959">
        <f>transport!H14</f>
        <v>204570.21719672959</v>
      </c>
      <c r="I9" s="959" t="str">
        <f>transport!I14</f>
        <v>NO</v>
      </c>
      <c r="J9" s="959" t="str">
        <f>transport!J14</f>
        <v>NO</v>
      </c>
      <c r="K9" s="959" t="str">
        <f>transport!K14</f>
        <v>NO</v>
      </c>
      <c r="L9" s="959" t="str">
        <f>transport!L14</f>
        <v>NO</v>
      </c>
      <c r="M9" s="959" t="str">
        <f>transport!M14</f>
        <v>NO</v>
      </c>
      <c r="N9" s="959">
        <f>transport!N14</f>
        <v>107255.16393908266</v>
      </c>
      <c r="O9" s="959" t="str">
        <f>transport!O14</f>
        <v>NO</v>
      </c>
      <c r="P9" s="959" t="str">
        <f>transport!P14</f>
        <v>NO</v>
      </c>
      <c r="Q9" s="959" t="str">
        <f>transport!Q14</f>
        <v>NO</v>
      </c>
      <c r="R9" s="960">
        <f>SUM(B9:Q9)</f>
        <v>1086897.0914421813</v>
      </c>
    </row>
    <row r="10" spans="1:18">
      <c r="A10" s="385" t="s">
        <v>447</v>
      </c>
      <c r="B10" s="955">
        <f>transport!B54</f>
        <v>60.630978168477711</v>
      </c>
      <c r="C10" s="955" t="str">
        <f>transport!C54</f>
        <v>NO</v>
      </c>
      <c r="D10" s="955" t="str">
        <f>transport!D54</f>
        <v>NO</v>
      </c>
      <c r="E10" s="955" t="str">
        <f>transport!E54</f>
        <v>NO</v>
      </c>
      <c r="F10" s="955" t="str">
        <f>transport!F54</f>
        <v>NO</v>
      </c>
      <c r="G10" s="955">
        <f>transport!G54</f>
        <v>3412.9158052646089</v>
      </c>
      <c r="H10" s="955" t="str">
        <f>transport!H54</f>
        <v>NO</v>
      </c>
      <c r="I10" s="955" t="str">
        <f>transport!I54</f>
        <v>NO</v>
      </c>
      <c r="J10" s="955" t="str">
        <f>transport!J54</f>
        <v>NO</v>
      </c>
      <c r="K10" s="955" t="str">
        <f>transport!K54</f>
        <v>NO</v>
      </c>
      <c r="L10" s="955" t="str">
        <f>transport!L54</f>
        <v>NO</v>
      </c>
      <c r="M10" s="955" t="str">
        <f>transport!M54</f>
        <v>NO</v>
      </c>
      <c r="N10" s="955">
        <f>transport!N54</f>
        <v>408.57719028340938</v>
      </c>
      <c r="O10" s="955" t="str">
        <f>transport!O54</f>
        <v>NO</v>
      </c>
      <c r="P10" s="955" t="str">
        <f>transport!P54</f>
        <v>NO</v>
      </c>
      <c r="Q10" s="956" t="str">
        <f>transport!Q54</f>
        <v xml:space="preserve">NO </v>
      </c>
      <c r="R10" s="958">
        <f t="shared" si="0"/>
        <v>3882.123973716496</v>
      </c>
    </row>
    <row r="11" spans="1:18">
      <c r="A11" s="385" t="s">
        <v>448</v>
      </c>
      <c r="B11" s="955">
        <f>'Eigen gebouwen'!B6</f>
        <v>5047.803781150139</v>
      </c>
      <c r="C11" s="955">
        <f>'Eigen gebouwen'!C6</f>
        <v>0</v>
      </c>
      <c r="D11" s="955">
        <f>'Eigen gebouwen'!D6</f>
        <v>8151.4519993124513</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13199.25578046259</v>
      </c>
    </row>
    <row r="12" spans="1:18">
      <c r="A12" s="385" t="s">
        <v>449</v>
      </c>
      <c r="B12" s="955">
        <f>'Eigen openbare verlichting'!B6</f>
        <v>2016.5649999999998</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2016.5649999999998</v>
      </c>
    </row>
    <row r="13" spans="1:18">
      <c r="A13" s="385" t="s">
        <v>450</v>
      </c>
      <c r="B13" s="955">
        <f>'Eigen vloot'!B27</f>
        <v>0</v>
      </c>
      <c r="C13" s="955" t="str">
        <f>'Eigen vloot'!C27</f>
        <v>NO</v>
      </c>
      <c r="D13" s="955">
        <f>'Eigen vloot'!D27</f>
        <v>116.55213287547971</v>
      </c>
      <c r="E13" s="955">
        <f>'Eigen vloot'!E27</f>
        <v>0</v>
      </c>
      <c r="F13" s="955" t="str">
        <f>'Eigen vloot'!F27</f>
        <v>NO</v>
      </c>
      <c r="G13" s="955">
        <f>'Eigen vloot'!G27</f>
        <v>358.81830411924483</v>
      </c>
      <c r="H13" s="955">
        <f>'Eigen vloot'!H27</f>
        <v>80.563313520509766</v>
      </c>
      <c r="I13" s="955" t="str">
        <f>'Eigen vloot'!I27</f>
        <v>NO</v>
      </c>
      <c r="J13" s="955" t="str">
        <f>'Eigen vloot'!J27</f>
        <v>NO</v>
      </c>
      <c r="K13" s="955" t="str">
        <f>'Eigen vloot'!K27</f>
        <v>NO</v>
      </c>
      <c r="L13" s="955" t="str">
        <f>'Eigen vloot'!L27</f>
        <v>NO</v>
      </c>
      <c r="M13" s="955" t="str">
        <f>'Eigen vloot'!M27</f>
        <v>NO</v>
      </c>
      <c r="N13" s="955">
        <f>'Eigen vloot'!N27</f>
        <v>49.432633585735303</v>
      </c>
      <c r="O13" s="955" t="str">
        <f>'Eigen vloot'!O27</f>
        <v>NO</v>
      </c>
      <c r="P13" s="955" t="str">
        <f>'Eigen vloot'!P27</f>
        <v>NO</v>
      </c>
      <c r="Q13" s="955" t="str">
        <f>'Eigen vloot'!Q27</f>
        <v>NO</v>
      </c>
      <c r="R13" s="958">
        <f t="shared" si="0"/>
        <v>605.36638410096953</v>
      </c>
    </row>
    <row r="14" spans="1:18">
      <c r="A14" s="390" t="s">
        <v>553</v>
      </c>
      <c r="B14" s="961">
        <f>'SECAP template'!C40</f>
        <v>7498.4912999999997</v>
      </c>
      <c r="C14" s="961" t="str">
        <f>'SECAP template'!D40</f>
        <v>NE</v>
      </c>
      <c r="D14" s="961">
        <f>'SECAP template'!E40</f>
        <v>3541.70964</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11040.200939999999</v>
      </c>
    </row>
    <row r="15" spans="1:18" s="393" customFormat="1">
      <c r="A15" s="391" t="s">
        <v>451</v>
      </c>
      <c r="B15" s="962">
        <f>SUM(B4:B14)</f>
        <v>496809.01888694667</v>
      </c>
      <c r="C15" s="962">
        <f t="shared" ref="C15:R15" si="1">SUM(C4:C14)</f>
        <v>223085.66646541783</v>
      </c>
      <c r="D15" s="962">
        <f t="shared" si="1"/>
        <v>250553.78769137833</v>
      </c>
      <c r="E15" s="962">
        <f t="shared" si="1"/>
        <v>12003.388439204846</v>
      </c>
      <c r="F15" s="962">
        <f t="shared" si="1"/>
        <v>131434.34238085596</v>
      </c>
      <c r="G15" s="962">
        <f t="shared" si="1"/>
        <v>762316.74309625581</v>
      </c>
      <c r="H15" s="962">
        <f t="shared" si="1"/>
        <v>204653.67470397786</v>
      </c>
      <c r="I15" s="962">
        <f t="shared" si="1"/>
        <v>0</v>
      </c>
      <c r="J15" s="962">
        <f t="shared" si="1"/>
        <v>1981.0616399274231</v>
      </c>
      <c r="K15" s="962">
        <f t="shared" si="1"/>
        <v>0</v>
      </c>
      <c r="L15" s="962">
        <f t="shared" si="1"/>
        <v>0</v>
      </c>
      <c r="M15" s="962">
        <f t="shared" si="1"/>
        <v>0</v>
      </c>
      <c r="N15" s="962">
        <f t="shared" si="1"/>
        <v>107713.1737629518</v>
      </c>
      <c r="O15" s="962">
        <f t="shared" si="1"/>
        <v>23679.04273513145</v>
      </c>
      <c r="P15" s="962">
        <f t="shared" si="1"/>
        <v>0</v>
      </c>
      <c r="Q15" s="962">
        <f t="shared" si="1"/>
        <v>0</v>
      </c>
      <c r="R15" s="962">
        <f t="shared" si="1"/>
        <v>2214229.8998020482</v>
      </c>
    </row>
    <row r="17" spans="1:18">
      <c r="A17" s="394" t="s">
        <v>452</v>
      </c>
      <c r="B17" s="617">
        <f>huishoudens!B11</f>
        <v>4.3121776183438057E-2</v>
      </c>
      <c r="C17" s="617">
        <f>huishoudens!C11</f>
        <v>0.11621345698080822</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3122.3406063143934</v>
      </c>
      <c r="C22" s="955">
        <f t="shared" ref="C22:C32" si="2">IFERROR(C4*$C$17,C4)</f>
        <v>0</v>
      </c>
      <c r="D22" s="955">
        <f t="shared" ref="D22:D32" si="3">IFERROR(D4*$D$17,D4)</f>
        <v>32289.446417897008</v>
      </c>
      <c r="E22" s="955">
        <f t="shared" ref="E22:E32" si="4">IFERROR(E4*$E$17,E4)</f>
        <v>795.27990917392515</v>
      </c>
      <c r="F22" s="955">
        <f t="shared" ref="F22:F32" si="5">IFERROR(F4*$F$17,F4)</f>
        <v>15199.920072097182</v>
      </c>
      <c r="G22" s="955" t="str">
        <f t="shared" ref="G22:G32" si="6">IFERROR(G4*$G$17,G4)</f>
        <v>NE</v>
      </c>
      <c r="H22" s="955" t="str">
        <f t="shared" ref="H22:H32" si="7">IFERROR(H4*$H$17,H4)</f>
        <v>NE</v>
      </c>
      <c r="I22" s="955" t="str">
        <f t="shared" ref="I22:I32" si="8">IFERROR(I4*$I$17,I4)</f>
        <v xml:space="preserve">NE </v>
      </c>
      <c r="J22" s="955">
        <f t="shared" ref="J22:J32" si="9">IFERROR(J4*$J$17,J4)</f>
        <v>161.5515301234162</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51568.53853560592</v>
      </c>
    </row>
    <row r="23" spans="1:18">
      <c r="A23" s="385" t="s">
        <v>136</v>
      </c>
      <c r="B23" s="955">
        <f t="shared" ref="B23:B32" si="17">B5*$B$17</f>
        <v>11340.17736011331</v>
      </c>
      <c r="C23" s="955">
        <f t="shared" si="2"/>
        <v>12527.824194086588</v>
      </c>
      <c r="D23" s="955">
        <f t="shared" si="3"/>
        <v>10623.041855992493</v>
      </c>
      <c r="E23" s="955">
        <f t="shared" si="4"/>
        <v>66.341904844549873</v>
      </c>
      <c r="F23" s="955">
        <f t="shared" si="5"/>
        <v>5633.4376088144254</v>
      </c>
      <c r="G23" s="955" t="str">
        <f t="shared" si="6"/>
        <v>NE</v>
      </c>
      <c r="H23" s="955">
        <f t="shared" si="7"/>
        <v>0.72065423821261954</v>
      </c>
      <c r="I23" s="955" t="str">
        <f t="shared" si="8"/>
        <v>NE</v>
      </c>
      <c r="J23" s="955">
        <f t="shared" si="9"/>
        <v>4.8816206651997519E-2</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40191.592394296233</v>
      </c>
    </row>
    <row r="24" spans="1:18">
      <c r="A24" s="385" t="s">
        <v>174</v>
      </c>
      <c r="B24" s="955">
        <f t="shared" si="17"/>
        <v>10.32489266572483</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486.83456755484082</v>
      </c>
      <c r="C25" s="955">
        <f t="shared" si="2"/>
        <v>7489.4083827669456</v>
      </c>
      <c r="D25" s="955">
        <f t="shared" si="3"/>
        <v>4774.3588319673627</v>
      </c>
      <c r="E25" s="955">
        <f t="shared" si="4"/>
        <v>95.107135401934656</v>
      </c>
      <c r="F25" s="955">
        <f t="shared" si="5"/>
        <v>11324.727738888303</v>
      </c>
      <c r="G25" s="955" t="str">
        <f t="shared" si="6"/>
        <v>NE</v>
      </c>
      <c r="H25" s="955" t="str">
        <f t="shared" si="7"/>
        <v>NE</v>
      </c>
      <c r="I25" s="955" t="str">
        <f t="shared" si="8"/>
        <v>NE</v>
      </c>
      <c r="J25" s="955">
        <f t="shared" si="9"/>
        <v>477.5340962134805</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24647.970752792866</v>
      </c>
    </row>
    <row r="26" spans="1:18">
      <c r="A26" s="385" t="s">
        <v>492</v>
      </c>
      <c r="B26" s="955">
        <f t="shared" si="17"/>
        <v>5294.5676810462728</v>
      </c>
      <c r="C26" s="955">
        <f t="shared" si="2"/>
        <v>5908.3239259602324</v>
      </c>
      <c r="D26" s="955">
        <f t="shared" si="3"/>
        <v>0</v>
      </c>
      <c r="E26" s="955">
        <f t="shared" si="4"/>
        <v>1457.1938769842379</v>
      </c>
      <c r="F26" s="955">
        <f t="shared" si="5"/>
        <v>2934.8839958886338</v>
      </c>
      <c r="G26" s="955" t="str">
        <f t="shared" si="6"/>
        <v>NE</v>
      </c>
      <c r="H26" s="955">
        <f t="shared" si="7"/>
        <v>0</v>
      </c>
      <c r="I26" s="955" t="str">
        <f t="shared" si="8"/>
        <v>NE</v>
      </c>
      <c r="J26" s="955">
        <f t="shared" si="9"/>
        <v>62.161377990759021</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15657.130857870137</v>
      </c>
    </row>
    <row r="27" spans="1:18" s="389" customFormat="1">
      <c r="A27" s="388" t="s">
        <v>457</v>
      </c>
      <c r="B27" s="963">
        <f t="shared" si="17"/>
        <v>538.45130218138024</v>
      </c>
      <c r="C27" s="955" t="str">
        <f t="shared" si="2"/>
        <v>NO</v>
      </c>
      <c r="D27" s="955">
        <f t="shared" si="3"/>
        <v>539.45582581960127</v>
      </c>
      <c r="E27" s="955">
        <f t="shared" si="4"/>
        <v>310.84634929485264</v>
      </c>
      <c r="F27" s="955" t="str">
        <f t="shared" si="5"/>
        <v>NO</v>
      </c>
      <c r="G27" s="955">
        <f t="shared" si="6"/>
        <v>202531.51739949483</v>
      </c>
      <c r="H27" s="955">
        <f t="shared" si="7"/>
        <v>50937.984081985669</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254858.25495877632</v>
      </c>
    </row>
    <row r="28" spans="1:18" ht="16.5" customHeight="1">
      <c r="A28" s="385" t="s">
        <v>447</v>
      </c>
      <c r="B28" s="955">
        <f t="shared" si="17"/>
        <v>2.6145154703640148</v>
      </c>
      <c r="C28" s="955" t="str">
        <f t="shared" si="2"/>
        <v>NO</v>
      </c>
      <c r="D28" s="955" t="str">
        <f t="shared" si="3"/>
        <v>NO</v>
      </c>
      <c r="E28" s="955" t="str">
        <f t="shared" si="4"/>
        <v>NO</v>
      </c>
      <c r="F28" s="955" t="str">
        <f t="shared" si="5"/>
        <v>NO</v>
      </c>
      <c r="G28" s="955">
        <f t="shared" si="6"/>
        <v>911.24852000565068</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913.86303547601472</v>
      </c>
    </row>
    <row r="29" spans="1:18">
      <c r="A29" s="385" t="s">
        <v>448</v>
      </c>
      <c r="B29" s="955">
        <f t="shared" si="17"/>
        <v>217.67026486866862</v>
      </c>
      <c r="C29" s="955">
        <f t="shared" si="2"/>
        <v>0</v>
      </c>
      <c r="D29" s="955">
        <f t="shared" si="3"/>
        <v>1646.5933038611154</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1864.2635687297841</v>
      </c>
    </row>
    <row r="30" spans="1:18">
      <c r="A30" s="385" t="s">
        <v>449</v>
      </c>
      <c r="B30" s="955">
        <f t="shared" si="17"/>
        <v>86.957864589354756</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86.957864589354756</v>
      </c>
    </row>
    <row r="31" spans="1:18">
      <c r="A31" s="385" t="s">
        <v>450</v>
      </c>
      <c r="B31" s="955">
        <f t="shared" si="17"/>
        <v>0</v>
      </c>
      <c r="C31" s="955" t="str">
        <f t="shared" si="2"/>
        <v>NO</v>
      </c>
      <c r="D31" s="955">
        <f t="shared" si="3"/>
        <v>23.543530840846902</v>
      </c>
      <c r="E31" s="955">
        <f t="shared" si="4"/>
        <v>0</v>
      </c>
      <c r="F31" s="955" t="str">
        <f t="shared" si="5"/>
        <v>NO</v>
      </c>
      <c r="G31" s="955">
        <f t="shared" si="6"/>
        <v>95.804487199838377</v>
      </c>
      <c r="H31" s="955">
        <f t="shared" si="7"/>
        <v>20.060265066606931</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139.40828310729222</v>
      </c>
    </row>
    <row r="32" spans="1:18">
      <c r="A32" s="385" t="s">
        <v>553</v>
      </c>
      <c r="B32" s="955">
        <f t="shared" si="17"/>
        <v>323.34826355205746</v>
      </c>
      <c r="C32" s="955" t="str">
        <f t="shared" si="2"/>
        <v>NE</v>
      </c>
      <c r="D32" s="955">
        <f t="shared" si="3"/>
        <v>715.4253472800001</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1038.7736108320576</v>
      </c>
    </row>
    <row r="33" spans="1:18" s="393" customFormat="1">
      <c r="A33" s="391" t="s">
        <v>451</v>
      </c>
      <c r="B33" s="962">
        <f>SUM(B22:B32)</f>
        <v>21423.287318356368</v>
      </c>
      <c r="C33" s="962">
        <f t="shared" ref="C33:R33" si="22">SUM(C22:C32)</f>
        <v>25925.556502813764</v>
      </c>
      <c r="D33" s="962">
        <f t="shared" si="22"/>
        <v>50611.865113658438</v>
      </c>
      <c r="E33" s="962">
        <f t="shared" si="22"/>
        <v>2724.7691756995005</v>
      </c>
      <c r="F33" s="962">
        <f t="shared" si="22"/>
        <v>35092.969415688538</v>
      </c>
      <c r="G33" s="962">
        <f t="shared" si="22"/>
        <v>203538.57040670031</v>
      </c>
      <c r="H33" s="962">
        <f t="shared" si="22"/>
        <v>50958.765001290485</v>
      </c>
      <c r="I33" s="962">
        <f t="shared" si="22"/>
        <v>0</v>
      </c>
      <c r="J33" s="962">
        <f t="shared" si="22"/>
        <v>701.29582053430761</v>
      </c>
      <c r="K33" s="392">
        <f t="shared" si="22"/>
        <v>0</v>
      </c>
      <c r="L33" s="392">
        <f t="shared" si="22"/>
        <v>0</v>
      </c>
      <c r="M33" s="392">
        <f t="shared" si="22"/>
        <v>0</v>
      </c>
      <c r="N33" s="392">
        <f t="shared" si="22"/>
        <v>0</v>
      </c>
      <c r="O33" s="392">
        <f t="shared" si="22"/>
        <v>0</v>
      </c>
      <c r="P33" s="392">
        <f t="shared" si="22"/>
        <v>0</v>
      </c>
      <c r="Q33" s="392">
        <f t="shared" si="22"/>
        <v>0</v>
      </c>
      <c r="R33" s="392">
        <f t="shared" si="22"/>
        <v>390966.75386207597</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257688.93716737276</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70991.113790392192</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97409.439345634921</v>
      </c>
      <c r="C8" s="791">
        <f>'SECAP template'!C103</f>
        <v>96501.378393717314</v>
      </c>
      <c r="D8" s="791">
        <f>'SECAP template'!D103</f>
        <v>111559.6360171562</v>
      </c>
      <c r="E8" s="791">
        <f>'SECAP template'!E103</f>
        <v>0</v>
      </c>
      <c r="F8" s="791">
        <f>'SECAP template'!F103</f>
        <v>0</v>
      </c>
      <c r="G8" s="791">
        <f>'SECAP template'!G103</f>
        <v>0</v>
      </c>
      <c r="H8" s="791">
        <f>'SECAP template'!H103</f>
        <v>0</v>
      </c>
      <c r="I8" s="791">
        <f>'SECAP template'!I103</f>
        <v>0</v>
      </c>
      <c r="J8" s="791">
        <f>'SECAP template'!J103</f>
        <v>0</v>
      </c>
      <c r="K8" s="791">
        <f>'SECAP template'!K103</f>
        <v>4.6501787209228209E-4</v>
      </c>
      <c r="L8" s="791">
        <f>'SECAP template'!L103</f>
        <v>112609.39205265185</v>
      </c>
      <c r="M8" s="791">
        <f>'SECAP template'!M103</f>
        <v>0</v>
      </c>
      <c r="N8" s="791">
        <f>'SECAP template'!N103</f>
        <v>0</v>
      </c>
      <c r="O8" s="792">
        <f>'SECAP template'!O103</f>
        <v>22535.046475465555</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426089.49030339986</v>
      </c>
      <c r="C10" s="793">
        <f>SUM(C4:C9)</f>
        <v>96501.378393717314</v>
      </c>
      <c r="D10" s="793">
        <f t="shared" ref="D10:H10" si="0">SUM(D8:D9)</f>
        <v>111559.6360171562</v>
      </c>
      <c r="E10" s="793">
        <f t="shared" si="0"/>
        <v>0</v>
      </c>
      <c r="F10" s="793">
        <f t="shared" si="0"/>
        <v>0</v>
      </c>
      <c r="G10" s="793">
        <f t="shared" si="0"/>
        <v>0</v>
      </c>
      <c r="H10" s="793">
        <f t="shared" si="0"/>
        <v>0</v>
      </c>
      <c r="I10" s="793">
        <f t="shared" ref="I10:O10" si="1">SUM(I8:I9)</f>
        <v>0</v>
      </c>
      <c r="J10" s="793">
        <f t="shared" si="1"/>
        <v>0</v>
      </c>
      <c r="K10" s="793">
        <f t="shared" si="1"/>
        <v>4.6501787209228209E-4</v>
      </c>
      <c r="L10" s="793">
        <f t="shared" si="1"/>
        <v>112609.39205265185</v>
      </c>
      <c r="M10" s="793">
        <f t="shared" si="1"/>
        <v>0</v>
      </c>
      <c r="N10" s="793">
        <f t="shared" si="1"/>
        <v>0</v>
      </c>
      <c r="O10" s="793">
        <f t="shared" si="1"/>
        <v>22535.046475465555</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4.3121776183438057E-2</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112065.17485606809</v>
      </c>
      <c r="C17" s="794">
        <f>'SECAP template'!C114</f>
        <v>111020.49160934973</v>
      </c>
      <c r="D17" s="792">
        <f>'SECAP template'!D114</f>
        <v>128344.33912284041</v>
      </c>
      <c r="E17" s="792">
        <f>'SECAP template'!E114</f>
        <v>0</v>
      </c>
      <c r="F17" s="792">
        <f>'SECAP template'!F114</f>
        <v>0</v>
      </c>
      <c r="G17" s="792">
        <f>'SECAP template'!G114</f>
        <v>0</v>
      </c>
      <c r="H17" s="792">
        <f>'SECAP template'!H114</f>
        <v>0</v>
      </c>
      <c r="I17" s="792">
        <f>'SECAP template'!I114</f>
        <v>0</v>
      </c>
      <c r="J17" s="792">
        <f>'SECAP template'!J114</f>
        <v>0</v>
      </c>
      <c r="K17" s="792">
        <f>'SECAP template'!K114</f>
        <v>5.349821279877179E-4</v>
      </c>
      <c r="L17" s="792">
        <f>'SECAP template'!L114</f>
        <v>129552.03618448357</v>
      </c>
      <c r="M17" s="792">
        <f>'SECAP template'!M114</f>
        <v>0</v>
      </c>
      <c r="N17" s="792">
        <f>'SECAP template'!N114</f>
        <v>0</v>
      </c>
      <c r="O17" s="792">
        <f>'SECAP template'!O114</f>
        <v>25925.556502813764</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112065.17485606809</v>
      </c>
      <c r="C20" s="793">
        <f>SUM(C17:C19)</f>
        <v>111020.49160934973</v>
      </c>
      <c r="D20" s="793">
        <f t="shared" ref="D20:H20" si="2">SUM(D17:D19)</f>
        <v>128344.33912284041</v>
      </c>
      <c r="E20" s="793">
        <f t="shared" si="2"/>
        <v>0</v>
      </c>
      <c r="F20" s="793">
        <f t="shared" si="2"/>
        <v>0</v>
      </c>
      <c r="G20" s="793">
        <f t="shared" si="2"/>
        <v>0</v>
      </c>
      <c r="H20" s="793">
        <f t="shared" si="2"/>
        <v>0</v>
      </c>
      <c r="I20" s="793">
        <f t="shared" ref="I20:O20" si="3">SUM(I17:I19)</f>
        <v>0</v>
      </c>
      <c r="J20" s="793">
        <f t="shared" si="3"/>
        <v>0</v>
      </c>
      <c r="K20" s="793">
        <f t="shared" si="3"/>
        <v>5.349821279877179E-4</v>
      </c>
      <c r="L20" s="793">
        <f t="shared" si="3"/>
        <v>129552.03618448357</v>
      </c>
      <c r="M20" s="793">
        <f t="shared" si="3"/>
        <v>0</v>
      </c>
      <c r="N20" s="793">
        <f t="shared" si="3"/>
        <v>0</v>
      </c>
      <c r="O20" s="793">
        <f t="shared" si="3"/>
        <v>25925.556502813764</v>
      </c>
    </row>
    <row r="21" spans="1:15">
      <c r="B21" s="705"/>
    </row>
    <row r="22" spans="1:15">
      <c r="A22" s="394" t="s">
        <v>572</v>
      </c>
      <c r="B22" s="617" t="s">
        <v>570</v>
      </c>
      <c r="C22" s="617">
        <f>'EF ele_warmte'!B23</f>
        <v>0.11621345698080822</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116.55213287547971</v>
      </c>
      <c r="E4" s="396">
        <f>MWh_eigenvloot_vloeibaargas</f>
        <v>0</v>
      </c>
      <c r="F4" s="403"/>
      <c r="G4" s="396">
        <f>MWh_eigenvloot_diesel</f>
        <v>401.77423473234484</v>
      </c>
      <c r="H4" s="396">
        <f>MWh_eigenvloot_benzine</f>
        <v>87.040016493145046</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116.55213287547971</v>
      </c>
      <c r="E26" s="399">
        <f t="shared" si="0"/>
        <v>0</v>
      </c>
      <c r="F26" s="399" t="s">
        <v>667</v>
      </c>
      <c r="G26" s="399">
        <f t="shared" si="0"/>
        <v>401.77423473234484</v>
      </c>
      <c r="H26" s="399">
        <f t="shared" si="0"/>
        <v>87.040016493145046</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116.55213287547971</v>
      </c>
      <c r="E27" s="399">
        <f>E26</f>
        <v>0</v>
      </c>
      <c r="F27" s="399" t="s">
        <v>667</v>
      </c>
      <c r="G27" s="399">
        <f>(1-transport!C35)*'Eigen vloot'!G26</f>
        <v>358.81830411924483</v>
      </c>
      <c r="H27" s="399">
        <f>(1-transport!C42)*'Eigen vloot'!H26</f>
        <v>80.563313520509766</v>
      </c>
      <c r="I27" s="399" t="s">
        <v>667</v>
      </c>
      <c r="J27" s="399" t="s">
        <v>667</v>
      </c>
      <c r="K27" s="399" t="s">
        <v>667</v>
      </c>
      <c r="L27" s="913" t="s">
        <v>667</v>
      </c>
      <c r="M27" s="399" t="s">
        <v>667</v>
      </c>
      <c r="N27" s="529">
        <f>G26*transport!C35+'Eigen vloot'!H26*transport!C42</f>
        <v>49.432633585735303</v>
      </c>
      <c r="O27" s="399" t="s">
        <v>667</v>
      </c>
      <c r="P27" s="399" t="s">
        <v>667</v>
      </c>
      <c r="Q27" s="399" t="s">
        <v>667</v>
      </c>
    </row>
    <row r="29" spans="1:17">
      <c r="A29" s="401" t="s">
        <v>477</v>
      </c>
      <c r="B29" s="405">
        <f>'EF ele_warmte'!B13</f>
        <v>4.3121776183438057E-2</v>
      </c>
      <c r="C29" s="405">
        <f>'EF ele_warmte'!B23</f>
        <v>0.11621345698080822</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23.543530840846902</v>
      </c>
      <c r="E31" s="530">
        <f>E27*E29</f>
        <v>0</v>
      </c>
      <c r="F31" s="530" t="s">
        <v>667</v>
      </c>
      <c r="G31" s="530">
        <f>G27*G29</f>
        <v>95.804487199838377</v>
      </c>
      <c r="H31" s="530">
        <f>H27*H29</f>
        <v>20.060265066606931</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21173</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6878.0199999999995</v>
      </c>
      <c r="C14" s="286"/>
      <c r="D14" s="286"/>
      <c r="E14" s="286"/>
      <c r="F14" s="286"/>
      <c r="G14" s="286"/>
    </row>
    <row r="15" spans="1:7">
      <c r="A15" s="979" t="s">
        <v>164</v>
      </c>
      <c r="B15" s="980">
        <v>70</v>
      </c>
      <c r="C15" s="286"/>
      <c r="D15" s="286"/>
      <c r="E15" s="286"/>
      <c r="F15" s="286"/>
      <c r="G15" s="286"/>
    </row>
    <row r="16" spans="1:7">
      <c r="A16" s="979" t="s">
        <v>6</v>
      </c>
      <c r="B16" s="980">
        <v>2478</v>
      </c>
      <c r="C16" s="286"/>
      <c r="D16" s="286"/>
      <c r="E16" s="286"/>
      <c r="F16" s="286"/>
      <c r="G16" s="286"/>
    </row>
    <row r="17" spans="1:7">
      <c r="A17" s="979" t="s">
        <v>7</v>
      </c>
      <c r="B17" s="980">
        <v>1829</v>
      </c>
      <c r="C17" s="286"/>
      <c r="D17" s="286"/>
      <c r="E17" s="286"/>
      <c r="F17" s="286"/>
      <c r="G17" s="286"/>
    </row>
    <row r="18" spans="1:7">
      <c r="A18" s="979" t="s">
        <v>8</v>
      </c>
      <c r="B18" s="980">
        <v>2847</v>
      </c>
      <c r="C18" s="286"/>
      <c r="D18" s="286"/>
      <c r="E18" s="286"/>
      <c r="F18" s="286"/>
      <c r="G18" s="286"/>
    </row>
    <row r="19" spans="1:7">
      <c r="A19" s="979" t="s">
        <v>9</v>
      </c>
      <c r="B19" s="980">
        <v>2682</v>
      </c>
      <c r="C19" s="286"/>
      <c r="D19" s="286"/>
      <c r="E19" s="286"/>
      <c r="F19" s="286"/>
      <c r="G19" s="286"/>
    </row>
    <row r="20" spans="1:7">
      <c r="A20" s="979" t="s">
        <v>10</v>
      </c>
      <c r="B20" s="980">
        <v>1437</v>
      </c>
      <c r="C20" s="286"/>
      <c r="D20" s="286"/>
      <c r="E20" s="286"/>
      <c r="F20" s="286"/>
      <c r="G20" s="286"/>
    </row>
    <row r="21" spans="1:7">
      <c r="A21" s="979" t="s">
        <v>11</v>
      </c>
      <c r="B21" s="980">
        <v>15618</v>
      </c>
      <c r="C21" s="286"/>
      <c r="D21" s="286"/>
      <c r="E21" s="286"/>
      <c r="F21" s="286"/>
      <c r="G21" s="286"/>
    </row>
    <row r="22" spans="1:7">
      <c r="A22" s="979" t="s">
        <v>12</v>
      </c>
      <c r="B22" s="980">
        <v>36197</v>
      </c>
      <c r="C22" s="286"/>
      <c r="D22" s="286"/>
      <c r="E22" s="286"/>
      <c r="F22" s="286"/>
      <c r="G22" s="286"/>
    </row>
    <row r="23" spans="1:7">
      <c r="A23" s="979" t="s">
        <v>13</v>
      </c>
      <c r="B23" s="980">
        <v>521</v>
      </c>
      <c r="C23" s="286"/>
      <c r="D23" s="286"/>
      <c r="E23" s="286"/>
      <c r="F23" s="286"/>
      <c r="G23" s="286"/>
    </row>
    <row r="24" spans="1:7">
      <c r="A24" s="979" t="s">
        <v>14</v>
      </c>
      <c r="B24" s="980">
        <v>22</v>
      </c>
      <c r="C24" s="286"/>
      <c r="D24" s="286"/>
      <c r="E24" s="286"/>
      <c r="F24" s="286"/>
      <c r="G24" s="286"/>
    </row>
    <row r="25" spans="1:7">
      <c r="A25" s="979" t="s">
        <v>15</v>
      </c>
      <c r="B25" s="980">
        <v>2872</v>
      </c>
      <c r="C25" s="286"/>
      <c r="D25" s="286"/>
      <c r="E25" s="286"/>
      <c r="F25" s="286"/>
      <c r="G25" s="286"/>
    </row>
    <row r="26" spans="1:7">
      <c r="A26" s="979" t="s">
        <v>16</v>
      </c>
      <c r="B26" s="980">
        <v>178</v>
      </c>
      <c r="C26" s="286"/>
      <c r="D26" s="286"/>
      <c r="E26" s="286"/>
      <c r="F26" s="286"/>
      <c r="G26" s="286"/>
    </row>
    <row r="27" spans="1:7">
      <c r="A27" s="979" t="s">
        <v>17</v>
      </c>
      <c r="B27" s="980">
        <v>1200</v>
      </c>
      <c r="C27" s="286"/>
      <c r="D27" s="286"/>
      <c r="E27" s="286"/>
      <c r="F27" s="286"/>
      <c r="G27" s="286"/>
    </row>
    <row r="28" spans="1:7">
      <c r="A28" s="983" t="s">
        <v>18</v>
      </c>
      <c r="B28" s="1240">
        <v>623422</v>
      </c>
      <c r="C28" s="286"/>
      <c r="D28" s="286"/>
      <c r="E28" s="286"/>
      <c r="F28" s="286"/>
      <c r="G28" s="286"/>
    </row>
    <row r="29" spans="1:7">
      <c r="A29" s="983" t="s">
        <v>534</v>
      </c>
      <c r="B29" s="1240">
        <v>493</v>
      </c>
      <c r="C29" s="286"/>
      <c r="D29" s="286"/>
      <c r="E29" s="286"/>
      <c r="F29" s="286"/>
      <c r="G29" s="286"/>
    </row>
    <row r="30" spans="1:7">
      <c r="A30" s="981" t="s">
        <v>535</v>
      </c>
      <c r="B30" s="982">
        <v>118</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6</v>
      </c>
      <c r="F35" s="980">
        <v>96878.52</v>
      </c>
      <c r="G35" s="286"/>
    </row>
    <row r="36" spans="1:7">
      <c r="A36" s="979" t="s">
        <v>24</v>
      </c>
      <c r="B36" s="979" t="s">
        <v>26</v>
      </c>
      <c r="C36" s="980">
        <v>0</v>
      </c>
      <c r="D36" s="980">
        <v>0</v>
      </c>
      <c r="E36" s="980">
        <v>40</v>
      </c>
      <c r="F36" s="980">
        <v>2074088.93</v>
      </c>
      <c r="G36" s="286"/>
    </row>
    <row r="37" spans="1:7">
      <c r="A37" s="979" t="s">
        <v>24</v>
      </c>
      <c r="B37" s="979" t="s">
        <v>27</v>
      </c>
      <c r="C37" s="980">
        <v>0</v>
      </c>
      <c r="D37" s="980">
        <v>0</v>
      </c>
      <c r="E37" s="980">
        <v>0</v>
      </c>
      <c r="F37" s="980">
        <v>0</v>
      </c>
      <c r="G37" s="286"/>
    </row>
    <row r="38" spans="1:7">
      <c r="A38" s="979" t="s">
        <v>24</v>
      </c>
      <c r="B38" s="979" t="s">
        <v>28</v>
      </c>
      <c r="C38" s="980">
        <v>2</v>
      </c>
      <c r="D38" s="980">
        <v>49853.63</v>
      </c>
      <c r="E38" s="980">
        <v>2</v>
      </c>
      <c r="F38" s="980">
        <v>5735.61</v>
      </c>
      <c r="G38" s="286"/>
    </row>
    <row r="39" spans="1:7">
      <c r="A39" s="979" t="s">
        <v>29</v>
      </c>
      <c r="B39" s="979" t="s">
        <v>30</v>
      </c>
      <c r="C39" s="980">
        <v>16320</v>
      </c>
      <c r="D39" s="980">
        <v>177019650.76750219</v>
      </c>
      <c r="E39" s="980">
        <v>21177</v>
      </c>
      <c r="F39" s="980">
        <v>64126365.230377756</v>
      </c>
      <c r="G39" s="286"/>
    </row>
    <row r="40" spans="1:7">
      <c r="A40" s="979" t="s">
        <v>29</v>
      </c>
      <c r="B40" s="979" t="s">
        <v>28</v>
      </c>
      <c r="C40" s="980">
        <v>0</v>
      </c>
      <c r="D40" s="980">
        <v>0</v>
      </c>
      <c r="E40" s="980">
        <v>0</v>
      </c>
      <c r="F40" s="980">
        <v>0</v>
      </c>
      <c r="G40" s="286"/>
    </row>
    <row r="41" spans="1:7">
      <c r="A41" s="979" t="s">
        <v>31</v>
      </c>
      <c r="B41" s="979" t="s">
        <v>32</v>
      </c>
      <c r="C41" s="980">
        <v>247</v>
      </c>
      <c r="D41" s="980">
        <v>22651727.629999999</v>
      </c>
      <c r="E41" s="980">
        <v>559</v>
      </c>
      <c r="F41" s="980">
        <v>7308764.3300000001</v>
      </c>
      <c r="G41" s="286"/>
    </row>
    <row r="42" spans="1:7">
      <c r="A42" s="979" t="s">
        <v>31</v>
      </c>
      <c r="B42" s="979" t="s">
        <v>33</v>
      </c>
      <c r="C42" s="980">
        <v>0</v>
      </c>
      <c r="D42" s="980">
        <v>0</v>
      </c>
      <c r="E42" s="980">
        <v>20</v>
      </c>
      <c r="F42" s="980">
        <v>24705298.030000001</v>
      </c>
      <c r="G42" s="286"/>
    </row>
    <row r="43" spans="1:7">
      <c r="A43" s="979" t="s">
        <v>31</v>
      </c>
      <c r="B43" s="979" t="s">
        <v>34</v>
      </c>
      <c r="C43" s="980">
        <v>0</v>
      </c>
      <c r="D43" s="980">
        <v>0</v>
      </c>
      <c r="E43" s="980">
        <v>0</v>
      </c>
      <c r="F43" s="980">
        <v>0</v>
      </c>
      <c r="G43" s="286"/>
    </row>
    <row r="44" spans="1:7">
      <c r="A44" s="979" t="s">
        <v>31</v>
      </c>
      <c r="B44" s="979" t="s">
        <v>35</v>
      </c>
      <c r="C44" s="980">
        <v>29</v>
      </c>
      <c r="D44" s="980">
        <v>811401.63</v>
      </c>
      <c r="E44" s="980">
        <v>52</v>
      </c>
      <c r="F44" s="980">
        <v>4458763.6400000006</v>
      </c>
      <c r="G44" s="286"/>
    </row>
    <row r="45" spans="1:7">
      <c r="A45" s="979" t="s">
        <v>31</v>
      </c>
      <c r="B45" s="979" t="s">
        <v>36</v>
      </c>
      <c r="C45" s="980">
        <v>4</v>
      </c>
      <c r="D45" s="980">
        <v>75060.399999999994</v>
      </c>
      <c r="E45" s="980">
        <v>6</v>
      </c>
      <c r="F45" s="980">
        <v>7673100.6699999999</v>
      </c>
      <c r="G45" s="286"/>
    </row>
    <row r="46" spans="1:7">
      <c r="A46" s="979" t="s">
        <v>31</v>
      </c>
      <c r="B46" s="979" t="s">
        <v>37</v>
      </c>
      <c r="C46" s="980">
        <v>0</v>
      </c>
      <c r="D46" s="980">
        <v>0</v>
      </c>
      <c r="E46" s="980">
        <v>0</v>
      </c>
      <c r="F46" s="980">
        <v>0</v>
      </c>
      <c r="G46" s="286"/>
    </row>
    <row r="47" spans="1:7">
      <c r="A47" s="979" t="s">
        <v>31</v>
      </c>
      <c r="B47" s="979" t="s">
        <v>38</v>
      </c>
      <c r="C47" s="980">
        <v>6</v>
      </c>
      <c r="D47" s="980">
        <v>596501.6</v>
      </c>
      <c r="E47" s="980">
        <v>12</v>
      </c>
      <c r="F47" s="980">
        <v>3111822.73</v>
      </c>
      <c r="G47" s="286"/>
    </row>
    <row r="48" spans="1:7">
      <c r="A48" s="979" t="s">
        <v>31</v>
      </c>
      <c r="B48" s="979" t="s">
        <v>28</v>
      </c>
      <c r="C48" s="980">
        <v>0</v>
      </c>
      <c r="D48" s="980">
        <v>0</v>
      </c>
      <c r="E48" s="980">
        <v>5</v>
      </c>
      <c r="F48" s="980">
        <v>757086.17999999993</v>
      </c>
      <c r="G48" s="286"/>
    </row>
    <row r="49" spans="1:7">
      <c r="A49" s="979" t="s">
        <v>31</v>
      </c>
      <c r="B49" s="979" t="s">
        <v>39</v>
      </c>
      <c r="C49" s="980">
        <v>4</v>
      </c>
      <c r="D49" s="980">
        <v>68692.02</v>
      </c>
      <c r="E49" s="980">
        <v>9</v>
      </c>
      <c r="F49" s="980">
        <v>29485.439999999999</v>
      </c>
      <c r="G49" s="286"/>
    </row>
    <row r="50" spans="1:7">
      <c r="A50" s="979" t="s">
        <v>31</v>
      </c>
      <c r="B50" s="979" t="s">
        <v>40</v>
      </c>
      <c r="C50" s="980">
        <v>24</v>
      </c>
      <c r="D50" s="980">
        <v>47575787.909999996</v>
      </c>
      <c r="E50" s="980">
        <v>35</v>
      </c>
      <c r="F50" s="980">
        <v>24902366.420000002</v>
      </c>
      <c r="G50" s="286"/>
    </row>
    <row r="51" spans="1:7">
      <c r="A51" s="979" t="s">
        <v>41</v>
      </c>
      <c r="B51" s="979" t="s">
        <v>42</v>
      </c>
      <c r="C51" s="980">
        <v>61</v>
      </c>
      <c r="D51" s="980">
        <v>144800011.74000001</v>
      </c>
      <c r="E51" s="980">
        <v>306</v>
      </c>
      <c r="F51" s="980">
        <v>10704751.720000001</v>
      </c>
      <c r="G51" s="286"/>
    </row>
    <row r="52" spans="1:7">
      <c r="A52" s="979" t="s">
        <v>41</v>
      </c>
      <c r="B52" s="979" t="s">
        <v>28</v>
      </c>
      <c r="C52" s="980">
        <v>0</v>
      </c>
      <c r="D52" s="980">
        <v>0</v>
      </c>
      <c r="E52" s="980">
        <v>0</v>
      </c>
      <c r="F52" s="980">
        <v>0</v>
      </c>
      <c r="G52" s="286"/>
    </row>
    <row r="53" spans="1:7">
      <c r="A53" s="979" t="s">
        <v>43</v>
      </c>
      <c r="B53" s="979" t="s">
        <v>44</v>
      </c>
      <c r="C53" s="980">
        <v>337</v>
      </c>
      <c r="D53" s="980">
        <v>3541709.64</v>
      </c>
      <c r="E53" s="980">
        <v>960</v>
      </c>
      <c r="F53" s="980">
        <v>7498491.2999999998</v>
      </c>
      <c r="G53" s="286"/>
    </row>
    <row r="54" spans="1:7">
      <c r="A54" s="979" t="s">
        <v>45</v>
      </c>
      <c r="B54" s="979" t="s">
        <v>46</v>
      </c>
      <c r="C54" s="980">
        <v>0</v>
      </c>
      <c r="D54" s="980">
        <v>0</v>
      </c>
      <c r="E54" s="980">
        <v>9</v>
      </c>
      <c r="F54" s="980">
        <v>2256000.7000000002</v>
      </c>
      <c r="G54" s="286"/>
    </row>
    <row r="55" spans="1:7">
      <c r="A55" s="979" t="s">
        <v>45</v>
      </c>
      <c r="B55" s="979" t="s">
        <v>28</v>
      </c>
      <c r="C55" s="980">
        <v>0</v>
      </c>
      <c r="D55" s="980">
        <v>0</v>
      </c>
      <c r="E55" s="980">
        <v>0</v>
      </c>
      <c r="F55" s="980">
        <v>0</v>
      </c>
      <c r="G55" s="286"/>
    </row>
    <row r="56" spans="1:7">
      <c r="A56" s="979" t="s">
        <v>47</v>
      </c>
      <c r="B56" s="979" t="s">
        <v>28</v>
      </c>
      <c r="C56" s="980">
        <v>0</v>
      </c>
      <c r="D56" s="980">
        <v>0</v>
      </c>
      <c r="E56" s="980">
        <v>0</v>
      </c>
      <c r="F56" s="980">
        <v>0</v>
      </c>
      <c r="G56" s="286"/>
    </row>
    <row r="57" spans="1:7">
      <c r="A57" s="979" t="s">
        <v>48</v>
      </c>
      <c r="B57" s="979" t="s">
        <v>49</v>
      </c>
      <c r="C57" s="980">
        <v>154</v>
      </c>
      <c r="D57" s="980">
        <v>10572802.939999999</v>
      </c>
      <c r="E57" s="980">
        <v>246</v>
      </c>
      <c r="F57" s="980">
        <v>14732201.860000001</v>
      </c>
      <c r="G57" s="286"/>
    </row>
    <row r="58" spans="1:7">
      <c r="A58" s="979" t="s">
        <v>48</v>
      </c>
      <c r="B58" s="979" t="s">
        <v>50</v>
      </c>
      <c r="C58" s="980">
        <v>118</v>
      </c>
      <c r="D58" s="980">
        <v>9150392.9499999993</v>
      </c>
      <c r="E58" s="980">
        <v>148</v>
      </c>
      <c r="F58" s="980">
        <v>5682100.0100000007</v>
      </c>
      <c r="G58" s="286"/>
    </row>
    <row r="59" spans="1:7">
      <c r="A59" s="979" t="s">
        <v>48</v>
      </c>
      <c r="B59" s="979" t="s">
        <v>51</v>
      </c>
      <c r="C59" s="980">
        <v>299</v>
      </c>
      <c r="D59" s="980">
        <v>17365519.539999999</v>
      </c>
      <c r="E59" s="980">
        <v>571</v>
      </c>
      <c r="F59" s="980">
        <v>17201146.77</v>
      </c>
      <c r="G59" s="286"/>
    </row>
    <row r="60" spans="1:7">
      <c r="A60" s="979" t="s">
        <v>48</v>
      </c>
      <c r="B60" s="979" t="s">
        <v>52</v>
      </c>
      <c r="C60" s="980">
        <v>143</v>
      </c>
      <c r="D60" s="980">
        <v>7005716.4900000002</v>
      </c>
      <c r="E60" s="980">
        <v>193</v>
      </c>
      <c r="F60" s="980">
        <v>4270476.8099999996</v>
      </c>
      <c r="G60" s="286"/>
    </row>
    <row r="61" spans="1:7">
      <c r="A61" s="979" t="s">
        <v>48</v>
      </c>
      <c r="B61" s="979" t="s">
        <v>53</v>
      </c>
      <c r="C61" s="980">
        <v>606</v>
      </c>
      <c r="D61" s="980">
        <v>60767901.902497821</v>
      </c>
      <c r="E61" s="980">
        <v>1279</v>
      </c>
      <c r="F61" s="980">
        <v>123024310.38962226</v>
      </c>
      <c r="G61" s="286"/>
    </row>
    <row r="62" spans="1:7">
      <c r="A62" s="979" t="s">
        <v>48</v>
      </c>
      <c r="B62" s="979" t="s">
        <v>54</v>
      </c>
      <c r="C62" s="980">
        <v>37</v>
      </c>
      <c r="D62" s="980">
        <v>4753970.8099999996</v>
      </c>
      <c r="E62" s="980">
        <v>35</v>
      </c>
      <c r="F62" s="980">
        <v>983527.57</v>
      </c>
      <c r="G62" s="286"/>
    </row>
    <row r="63" spans="1:7">
      <c r="A63" s="979" t="s">
        <v>48</v>
      </c>
      <c r="B63" s="979" t="s">
        <v>28</v>
      </c>
      <c r="C63" s="980">
        <v>0</v>
      </c>
      <c r="D63" s="980">
        <v>0</v>
      </c>
      <c r="E63" s="980">
        <v>1</v>
      </c>
      <c r="F63" s="980">
        <v>27065.23</v>
      </c>
      <c r="G63" s="286"/>
    </row>
    <row r="64" spans="1:7">
      <c r="A64" s="979" t="s">
        <v>55</v>
      </c>
      <c r="B64" s="979" t="s">
        <v>56</v>
      </c>
      <c r="C64" s="980">
        <v>0</v>
      </c>
      <c r="D64" s="980">
        <v>0</v>
      </c>
      <c r="E64" s="980">
        <v>0</v>
      </c>
      <c r="F64" s="980">
        <v>0</v>
      </c>
      <c r="G64" s="286"/>
    </row>
    <row r="65" spans="1:7">
      <c r="A65" s="979" t="s">
        <v>55</v>
      </c>
      <c r="B65" s="979" t="s">
        <v>28</v>
      </c>
      <c r="C65" s="980">
        <v>2</v>
      </c>
      <c r="D65" s="980">
        <v>24705.47</v>
      </c>
      <c r="E65" s="980">
        <v>2</v>
      </c>
      <c r="F65" s="980">
        <v>3481.83</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19</v>
      </c>
      <c r="D68" s="982">
        <v>831297.02</v>
      </c>
      <c r="E68" s="982">
        <v>59</v>
      </c>
      <c r="F68" s="982">
        <v>1599527.33</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284068194</v>
      </c>
      <c r="E73" s="384"/>
      <c r="F73" s="286"/>
      <c r="G73" s="286"/>
    </row>
    <row r="74" spans="1:7">
      <c r="A74" s="979" t="s">
        <v>63</v>
      </c>
      <c r="B74" s="979" t="s">
        <v>505</v>
      </c>
      <c r="C74" s="1250" t="s">
        <v>507</v>
      </c>
      <c r="D74" s="1251">
        <v>53945095.859157123</v>
      </c>
      <c r="E74" s="384"/>
      <c r="F74" s="286"/>
      <c r="G74" s="286"/>
    </row>
    <row r="75" spans="1:7">
      <c r="A75" s="979" t="s">
        <v>64</v>
      </c>
      <c r="B75" s="979" t="s">
        <v>504</v>
      </c>
      <c r="C75" s="1250" t="s">
        <v>508</v>
      </c>
      <c r="D75" s="1251">
        <v>180978590</v>
      </c>
      <c r="E75" s="384"/>
      <c r="F75" s="286"/>
      <c r="G75" s="286"/>
    </row>
    <row r="76" spans="1:7">
      <c r="A76" s="979" t="s">
        <v>64</v>
      </c>
      <c r="B76" s="979" t="s">
        <v>505</v>
      </c>
      <c r="C76" s="1250" t="s">
        <v>509</v>
      </c>
      <c r="D76" s="1251">
        <v>35310605.859157123</v>
      </c>
      <c r="E76" s="384"/>
      <c r="F76" s="286"/>
      <c r="G76" s="286"/>
    </row>
    <row r="77" spans="1:7">
      <c r="A77" s="979" t="s">
        <v>65</v>
      </c>
      <c r="B77" s="979" t="s">
        <v>504</v>
      </c>
      <c r="C77" s="1250" t="s">
        <v>510</v>
      </c>
      <c r="D77" s="1251">
        <v>319619802</v>
      </c>
      <c r="E77" s="384"/>
      <c r="F77" s="286"/>
      <c r="G77" s="286"/>
    </row>
    <row r="78" spans="1:7">
      <c r="A78" s="981" t="s">
        <v>65</v>
      </c>
      <c r="B78" s="981" t="s">
        <v>505</v>
      </c>
      <c r="C78" s="981" t="s">
        <v>511</v>
      </c>
      <c r="D78" s="1252">
        <v>91505526</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1067898.2816857563</v>
      </c>
      <c r="C83" s="384"/>
      <c r="D83" s="365">
        <v>8.6197160096226591E-2</v>
      </c>
      <c r="E83" s="365">
        <v>1.3824992934203741E-3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257688.93716737276</v>
      </c>
      <c r="C90" s="286" t="s">
        <v>629</v>
      </c>
      <c r="D90" s="286"/>
      <c r="E90" s="286"/>
      <c r="F90" s="286"/>
      <c r="G90" s="286"/>
    </row>
    <row r="91" spans="1:7">
      <c r="A91" s="979" t="s">
        <v>67</v>
      </c>
      <c r="B91" s="980">
        <v>28684.866578960544</v>
      </c>
      <c r="C91" s="286" t="s">
        <v>629</v>
      </c>
      <c r="D91" s="286"/>
      <c r="E91" s="286"/>
      <c r="F91" s="286"/>
      <c r="G91" s="286"/>
    </row>
    <row r="92" spans="1:7">
      <c r="A92" s="981" t="s">
        <v>68</v>
      </c>
      <c r="B92" s="986">
        <v>42306.247211431648</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5047803.7811501389</v>
      </c>
      <c r="C97" s="286"/>
      <c r="D97" s="286"/>
      <c r="E97" s="286"/>
      <c r="F97" s="286"/>
      <c r="G97" s="286"/>
    </row>
    <row r="98" spans="1:7">
      <c r="A98" s="286" t="s">
        <v>176</v>
      </c>
      <c r="B98" s="980">
        <v>0</v>
      </c>
      <c r="C98" s="286"/>
      <c r="D98" s="286"/>
      <c r="E98" s="286"/>
      <c r="F98" s="286"/>
      <c r="G98" s="286"/>
    </row>
    <row r="99" spans="1:7">
      <c r="A99" s="286" t="s">
        <v>179</v>
      </c>
      <c r="B99" s="980">
        <v>9027078.6260381527</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2016564.9999999998</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116.55213287547971</v>
      </c>
      <c r="C113" s="286"/>
      <c r="D113" s="286"/>
      <c r="E113" s="286"/>
      <c r="F113" s="286"/>
      <c r="G113" s="286"/>
    </row>
    <row r="114" spans="1:7">
      <c r="A114" s="286" t="s">
        <v>727</v>
      </c>
      <c r="B114" s="980">
        <v>87.040016493145046</v>
      </c>
      <c r="C114" s="286"/>
      <c r="D114" s="286"/>
      <c r="E114" s="286"/>
      <c r="F114" s="286"/>
      <c r="G114" s="286"/>
    </row>
    <row r="115" spans="1:7">
      <c r="A115" s="286" t="s">
        <v>728</v>
      </c>
      <c r="B115" s="980">
        <v>401.77423473234484</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8281.1486213731405</v>
      </c>
      <c r="C121" s="286"/>
      <c r="D121" s="286"/>
      <c r="E121" s="286"/>
      <c r="F121" s="286"/>
      <c r="G121" s="286"/>
    </row>
    <row r="122" spans="1:7">
      <c r="A122" s="286" t="s">
        <v>731</v>
      </c>
      <c r="B122" s="980">
        <v>467.28693549978118</v>
      </c>
      <c r="C122" s="286"/>
      <c r="D122" s="286"/>
      <c r="E122" s="286"/>
      <c r="F122" s="286"/>
      <c r="G122" s="286"/>
    </row>
    <row r="123" spans="1:7">
      <c r="A123" s="286" t="s">
        <v>3</v>
      </c>
      <c r="B123" s="980">
        <v>585.0097565187059</v>
      </c>
      <c r="C123" s="286"/>
      <c r="D123" s="286"/>
      <c r="E123" s="286"/>
      <c r="F123" s="286"/>
      <c r="G123" s="286"/>
    </row>
    <row r="124" spans="1:7">
      <c r="A124" s="981" t="s">
        <v>732</v>
      </c>
      <c r="B124" s="986">
        <v>1922.3926945878295</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496809.01888694661</v>
      </c>
      <c r="C3" s="43" t="s">
        <v>150</v>
      </c>
      <c r="D3" s="43"/>
      <c r="E3" s="151"/>
      <c r="F3" s="43"/>
      <c r="G3" s="43"/>
      <c r="H3" s="43"/>
      <c r="I3" s="43"/>
      <c r="J3" s="43"/>
      <c r="K3" s="95"/>
    </row>
    <row r="4" spans="1:11">
      <c r="A4" s="304" t="s">
        <v>151</v>
      </c>
      <c r="B4" s="49">
        <f>IF(ISERROR('SECAP template'!B105+'SECAP template'!C105),0,'SECAP template'!B105+'SECAP template'!C105)</f>
        <v>522590.8686971172</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22535.046475465555</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4.3121776183438057E-2</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25925.556502813764</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223085.66646541783</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0.11621345698080822</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5047.803781150139</v>
      </c>
      <c r="C4" s="30">
        <f>kWh_eigengeb_warmtekoude/1000</f>
        <v>0</v>
      </c>
      <c r="D4" s="30">
        <f>kWh_eigengeb_aardgas/1000*0.903</f>
        <v>8151.4519993124513</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5047.803781150139</v>
      </c>
      <c r="C6" s="21">
        <f>SUM(C4:C4)</f>
        <v>0</v>
      </c>
      <c r="D6" s="21">
        <f>SUM(D4:D4)</f>
        <v>8151.4519993124513</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4.3121776183438057E-2</v>
      </c>
      <c r="C8" s="917">
        <f>'EF ele_warmte'!B23</f>
        <v>0.11621345698080822</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217.67026486866862</v>
      </c>
      <c r="C10" s="23">
        <f>C6*C8</f>
        <v>0</v>
      </c>
      <c r="D10" s="23">
        <f>D6*D8</f>
        <v>1646.5933038611154</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2016.5649999999998</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2016.5649999999998</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4.3121776183438057E-2</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86.957864589354756</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2256.0007000000001</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-2016.5649999999998</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239.43570000000022</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4.3121776183438057E-2</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10.32489266572483</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64126.365230377756</v>
      </c>
      <c r="C5" s="17">
        <f>IF(ISERROR('Eigen informatie GS &amp; warmtenet'!B61),0,'Eigen informatie GS &amp; warmtenet'!B61)</f>
        <v>0</v>
      </c>
      <c r="D5" s="30">
        <f>(SUM(HH_hh_gas_kWh,HH_rest_gas_kWh)/1000)*0.903</f>
        <v>159848.7446430545</v>
      </c>
      <c r="E5" s="17">
        <f>B33*B42</f>
        <v>3503.4357232331504</v>
      </c>
      <c r="F5" s="17">
        <f>B37*B46</f>
        <v>56928.539595869595</v>
      </c>
      <c r="G5" s="18" t="s">
        <v>637</v>
      </c>
      <c r="H5" s="17" t="s">
        <v>637</v>
      </c>
      <c r="I5" s="17" t="s">
        <v>637</v>
      </c>
      <c r="J5" s="17">
        <f>B36*B45+C36*C45</f>
        <v>456.3602545859215</v>
      </c>
      <c r="K5" s="17" t="s">
        <v>637</v>
      </c>
      <c r="L5" s="884" t="s">
        <v>637</v>
      </c>
      <c r="M5" s="17" t="s">
        <v>637</v>
      </c>
      <c r="N5" s="17" t="s">
        <v>670</v>
      </c>
      <c r="O5" s="17">
        <f>B35*B44+C35*C44</f>
        <v>23679.04273513145</v>
      </c>
      <c r="P5" s="17" t="s">
        <v>637</v>
      </c>
      <c r="Q5" s="17" t="s">
        <v>637</v>
      </c>
    </row>
    <row r="6" spans="1:17" s="810" customFormat="1">
      <c r="A6" s="16" t="s">
        <v>633</v>
      </c>
      <c r="B6" s="17">
        <f>'lokale energieproductie'!N32</f>
        <v>0</v>
      </c>
      <c r="C6" s="17">
        <f>'lokale energieproductie'!O32</f>
        <v>0</v>
      </c>
      <c r="D6" s="17">
        <f>('lokale energieproductie'!P32)*(-1)</f>
        <v>0</v>
      </c>
      <c r="E6" s="17">
        <f>('lokale energieproductie'!X32)*(-1)</f>
        <v>0</v>
      </c>
      <c r="F6" s="17">
        <f>('lokale energieproductie'!S32)*(-1)</f>
        <v>0</v>
      </c>
      <c r="G6" s="17"/>
      <c r="H6" s="17"/>
      <c r="I6" s="17"/>
      <c r="J6" s="17"/>
      <c r="K6" s="17"/>
      <c r="L6" s="17">
        <f>('lokale energieproductie'!Q32)*(-1)</f>
        <v>0</v>
      </c>
      <c r="M6" s="17">
        <f>('lokale energieproductie'!U32+'lokale energieproductie'!T32)*(-1)</f>
        <v>0</v>
      </c>
      <c r="N6" s="17"/>
      <c r="O6" s="17">
        <f>('lokale energieproductie'!R32+'lokale energieproductie'!V32)*(-1)</f>
        <v>0</v>
      </c>
      <c r="P6" s="17"/>
      <c r="Q6" s="17"/>
    </row>
    <row r="7" spans="1:17">
      <c r="A7" s="16" t="s">
        <v>484</v>
      </c>
      <c r="B7" s="17">
        <f>MWh_eigenverbruikPV_residentieel</f>
        <v>8281.1486213731405</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72407.513851750904</v>
      </c>
      <c r="C9" s="21">
        <f>MAX((C5+C6+C7),0)</f>
        <v>0</v>
      </c>
      <c r="D9" s="21">
        <f t="shared" ref="D9:O9" si="0">MAX((D5+D6+D7),0)</f>
        <v>159848.7446430545</v>
      </c>
      <c r="E9" s="21">
        <f t="shared" si="0"/>
        <v>3503.4357232331504</v>
      </c>
      <c r="F9" s="21">
        <f t="shared" si="0"/>
        <v>56928.539595869595</v>
      </c>
      <c r="G9" s="21" t="s">
        <v>637</v>
      </c>
      <c r="H9" s="21" t="s">
        <v>637</v>
      </c>
      <c r="I9" s="21" t="s">
        <v>670</v>
      </c>
      <c r="J9" s="21">
        <f t="shared" si="0"/>
        <v>456.3602545859215</v>
      </c>
      <c r="K9" s="21" t="s">
        <v>637</v>
      </c>
      <c r="L9" s="21">
        <f>MAX((L6),0)</f>
        <v>0</v>
      </c>
      <c r="M9" s="21">
        <f>MAX((M6),0)</f>
        <v>0</v>
      </c>
      <c r="N9" s="21" t="s">
        <v>637</v>
      </c>
      <c r="O9" s="21">
        <f t="shared" si="0"/>
        <v>23679.04273513145</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4.3121776183438057E-2</v>
      </c>
      <c r="C11" s="25">
        <f>'EF ele_warmte'!B23</f>
        <v>0.11621345698080822</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3122.3406063143934</v>
      </c>
      <c r="C13" s="23">
        <f>C11*C9</f>
        <v>0</v>
      </c>
      <c r="D13" s="23">
        <f>D9*D11</f>
        <v>32289.446417897008</v>
      </c>
      <c r="E13" s="23">
        <f>E11*E9</f>
        <v>795.27990917392515</v>
      </c>
      <c r="F13" s="23">
        <f>F11*F9</f>
        <v>15199.920072097182</v>
      </c>
      <c r="G13" s="23" t="s">
        <v>637</v>
      </c>
      <c r="H13" s="23" t="s">
        <v>637</v>
      </c>
      <c r="I13" s="23" t="s">
        <v>637</v>
      </c>
      <c r="J13" s="23">
        <f>J11*J9</f>
        <v>161.5515301234162</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21173</v>
      </c>
      <c r="C27" s="36"/>
      <c r="D27" s="208"/>
      <c r="E27" s="1168"/>
      <c r="L27" s="812"/>
    </row>
    <row r="28" spans="1:12" s="15" customFormat="1" hidden="1">
      <c r="A28" s="210" t="s">
        <v>722</v>
      </c>
      <c r="B28" s="37">
        <f>SUM(HH_hh_gas_aantal,HH_rest_gas_aantal)</f>
        <v>16320</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15504</v>
      </c>
      <c r="C32" s="34" t="s">
        <v>91</v>
      </c>
      <c r="D32" s="167"/>
      <c r="E32" s="1168"/>
    </row>
    <row r="33" spans="1:6" hidden="1">
      <c r="A33" s="164" t="s">
        <v>70</v>
      </c>
      <c r="B33" s="33">
        <f>IF((B22*($B$27-($B$28-0.05*$B$28)))&lt;0,0,(B22*($B$27-($B$28-0.05*$B$28))))</f>
        <v>91.418783385322342</v>
      </c>
      <c r="C33" s="34" t="s">
        <v>91</v>
      </c>
      <c r="D33" s="167"/>
      <c r="E33" s="1168"/>
    </row>
    <row r="34" spans="1:6" hidden="1">
      <c r="A34" s="164" t="s">
        <v>71</v>
      </c>
      <c r="B34" s="33">
        <f>IF((B23*($B$27-($B$28-0.05*$B$28)))&lt;0,0,B23*($B$27-($B$28-0.05*$B$28)))</f>
        <v>1484.4599852898777</v>
      </c>
      <c r="C34" s="34" t="s">
        <v>91</v>
      </c>
      <c r="D34" s="167"/>
      <c r="E34" s="1168"/>
    </row>
    <row r="35" spans="1:6" hidden="1">
      <c r="A35" s="164" t="s">
        <v>72</v>
      </c>
      <c r="B35" s="33">
        <f>IF((B25*($B$27-($B$28-0.05*$B$28)))&lt;0,0,B25*($B$27-($B$28-0.05*$B$28)))</f>
        <v>649.08917218525596</v>
      </c>
      <c r="C35" s="33">
        <f>B27*C25</f>
        <v>3557.0639999999989</v>
      </c>
      <c r="D35" s="213"/>
      <c r="E35" s="1168"/>
    </row>
    <row r="36" spans="1:6" hidden="1">
      <c r="A36" s="164" t="s">
        <v>73</v>
      </c>
      <c r="B36" s="33">
        <f>IF((B20*($B$27-($B$28-0.05*$B$28)))&lt;0,0,B20*($B$27-($B$28-0.05*$B$28)))</f>
        <v>39.739527189254716</v>
      </c>
      <c r="C36" s="33">
        <f>B36/2</f>
        <v>19.869763594627358</v>
      </c>
      <c r="D36" s="213"/>
      <c r="E36" s="1168"/>
    </row>
    <row r="37" spans="1:6" hidden="1">
      <c r="A37" s="164" t="s">
        <v>74</v>
      </c>
      <c r="B37" s="33">
        <f>IF((B19*($B$27-($B$28-0.05*$B$28)))&lt;0,0,B19*($B$27-($B$28-0.05*$B$28)))</f>
        <v>3004.0615609567944</v>
      </c>
      <c r="C37" s="34" t="s">
        <v>91</v>
      </c>
      <c r="D37" s="167"/>
      <c r="E37" s="1168"/>
    </row>
    <row r="38" spans="1:6" hidden="1">
      <c r="A38" s="164" t="s">
        <v>75</v>
      </c>
      <c r="B38" s="33">
        <f>IF((B24*($B$27-($B$28-0.05*$B$28)))&lt;0,0,B24*($B$27-($B$28-0.05*$B$28)))</f>
        <v>373.5975464544307</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165920.82863962225</v>
      </c>
      <c r="C5" s="17">
        <f>IF(ISERROR('Eigen informatie GS &amp; warmtenet'!B62),0,'Eigen informatie GS &amp; warmtenet'!B62)</f>
        <v>0</v>
      </c>
      <c r="D5" s="30">
        <f>SUM(D6:D12)</f>
        <v>98983.523083145526</v>
      </c>
      <c r="E5" s="17">
        <f>SUM(E6:E12)</f>
        <v>292.25508742092455</v>
      </c>
      <c r="F5" s="17">
        <f>SUM(F6:F12)</f>
        <v>21099.017261477249</v>
      </c>
      <c r="G5" s="17" t="s">
        <v>637</v>
      </c>
      <c r="H5" s="17">
        <f t="shared" ref="H5" si="0">SUM(H6:H12)</f>
        <v>2.8941937277615244</v>
      </c>
      <c r="I5" s="17" t="s">
        <v>637</v>
      </c>
      <c r="J5" s="17">
        <f>SUM(J6:J12)</f>
        <v>0.13789888884745063</v>
      </c>
      <c r="K5" s="17" t="s">
        <v>637</v>
      </c>
      <c r="L5" s="884" t="s">
        <v>668</v>
      </c>
      <c r="M5" s="17" t="s">
        <v>668</v>
      </c>
      <c r="N5" s="17" t="s">
        <v>668</v>
      </c>
      <c r="O5" s="17">
        <f>SUM(O6:O12)</f>
        <v>5405.124797138209</v>
      </c>
      <c r="P5" s="17" t="s">
        <v>637</v>
      </c>
      <c r="Q5" s="17" t="s">
        <v>637</v>
      </c>
      <c r="S5" s="32"/>
    </row>
    <row r="6" spans="1:19">
      <c r="A6" s="32" t="s">
        <v>53</v>
      </c>
      <c r="B6" s="37">
        <f>B27</f>
        <v>123024.31038962226</v>
      </c>
      <c r="C6" s="33"/>
      <c r="D6" s="37">
        <f>IF(ISERROR(TER_kantoor_gas_kWh/1000),0,TER_kantoor_gas_kWh/1000)*0.903</f>
        <v>54873.415417955533</v>
      </c>
      <c r="E6" s="33">
        <f>$C$27*'E Balans VL '!I12/100/3.6*1000000</f>
        <v>9.1460669300183067E-3</v>
      </c>
      <c r="F6" s="33">
        <f>$C$27*('E Balans VL '!L12+'E Balans VL '!N12)/100/3.6*1000000</f>
        <v>10161.977635750627</v>
      </c>
      <c r="G6" s="33"/>
      <c r="H6" s="33">
        <f>$C$27*('E Balans VL '!J12)/100/3.6*1000000</f>
        <v>0</v>
      </c>
      <c r="I6" s="33"/>
      <c r="J6" s="33">
        <f>$C$27*('E Balans VL '!D12+'E Balans VL '!E12)/100/3.6*1000000</f>
        <v>0</v>
      </c>
      <c r="K6" s="33"/>
      <c r="L6" s="33"/>
      <c r="M6" s="33"/>
      <c r="N6" s="33"/>
      <c r="O6" s="33">
        <f>$C$27*'E Balans VL '!Y12/100/3.6*1000000</f>
        <v>150.9971615689916</v>
      </c>
      <c r="P6" s="33"/>
      <c r="Q6" s="33"/>
      <c r="S6" s="32"/>
    </row>
    <row r="7" spans="1:19">
      <c r="A7" s="32" t="s">
        <v>52</v>
      </c>
      <c r="B7" s="37">
        <f t="shared" ref="B7:B12" si="1">B28</f>
        <v>4270.4768099999992</v>
      </c>
      <c r="C7" s="33"/>
      <c r="D7" s="37">
        <f>IF(ISERROR(TER_horeca_gas_kWh/1000),0,TER_horeca_gas_kWh/1000)*0.903</f>
        <v>6326.1619904700001</v>
      </c>
      <c r="E7" s="33">
        <f>$C$28*'E Balans VL '!I9/100/3.6*1000000</f>
        <v>0</v>
      </c>
      <c r="F7" s="33">
        <f>$C$28*('E Balans VL '!L9+'E Balans VL '!N9)/100/3.6*1000000</f>
        <v>526.06269837556704</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17201.146769999999</v>
      </c>
      <c r="C8" s="33"/>
      <c r="D8" s="37">
        <f>IF(ISERROR(TER_handel_gas_kWh/1000),0,TER_handel_gas_kWh/1000)*0.903</f>
        <v>15681.064144619999</v>
      </c>
      <c r="E8" s="33">
        <f>$C$29*'E Balans VL '!I13/100/3.6*1000000</f>
        <v>0.47219998727965584</v>
      </c>
      <c r="F8" s="33">
        <f>$C$29*('E Balans VL '!L13+'E Balans VL '!N13)/100/3.6*1000000</f>
        <v>1305.8428638452854</v>
      </c>
      <c r="G8" s="33"/>
      <c r="H8" s="33">
        <f>$C$29*('E Balans VL '!J13)/100/3.6*1000000</f>
        <v>0</v>
      </c>
      <c r="I8" s="33"/>
      <c r="J8" s="33">
        <f>$C$29*('E Balans VL '!D13+'E Balans VL '!E13)/100/3.6*1000000</f>
        <v>0</v>
      </c>
      <c r="K8" s="33"/>
      <c r="L8" s="33"/>
      <c r="M8" s="33"/>
      <c r="N8" s="33"/>
      <c r="O8" s="33">
        <f>$C$29*'E Balans VL '!Y13/100/3.6*1000000</f>
        <v>11.705284332067327</v>
      </c>
      <c r="P8" s="33"/>
      <c r="Q8" s="33"/>
      <c r="S8" s="32"/>
    </row>
    <row r="9" spans="1:19">
      <c r="A9" s="32" t="s">
        <v>50</v>
      </c>
      <c r="B9" s="37">
        <f t="shared" si="1"/>
        <v>5682.100010000001</v>
      </c>
      <c r="C9" s="33"/>
      <c r="D9" s="37">
        <f>IF(ISERROR(TER_gezond_gas_kWh/1000),0,TER_gezond_gas_kWh/1000)*0.903</f>
        <v>8262.8048338499993</v>
      </c>
      <c r="E9" s="33">
        <f>$C$30*'E Balans VL '!I10/100/3.6*1000000</f>
        <v>0</v>
      </c>
      <c r="F9" s="33">
        <f>$C$30*('E Balans VL '!L10+'E Balans VL '!N10)/100/3.6*1000000</f>
        <v>99.79388456808293</v>
      </c>
      <c r="G9" s="33"/>
      <c r="H9" s="33">
        <f>$C$30*('E Balans VL '!J10)/100/3.6*1000000</f>
        <v>0</v>
      </c>
      <c r="I9" s="33"/>
      <c r="J9" s="33">
        <f>$C$30*('E Balans VL '!D10+'E Balans VL '!E10)/100/3.6*1000000</f>
        <v>0</v>
      </c>
      <c r="K9" s="33"/>
      <c r="L9" s="33"/>
      <c r="M9" s="33"/>
      <c r="N9" s="33"/>
      <c r="O9" s="33">
        <f>$C$30*'E Balans VL '!Y10/100/3.6*1000000</f>
        <v>27.685235775868016</v>
      </c>
      <c r="P9" s="33"/>
      <c r="Q9" s="33"/>
      <c r="S9" s="32"/>
    </row>
    <row r="10" spans="1:19">
      <c r="A10" s="32" t="s">
        <v>49</v>
      </c>
      <c r="B10" s="37">
        <f t="shared" si="1"/>
        <v>14732.201860000001</v>
      </c>
      <c r="C10" s="33"/>
      <c r="D10" s="37">
        <f>IF(ISERROR(TER_ander_gas_kWh/1000),0,TER_ander_gas_kWh/1000)*0.903</f>
        <v>9547.2410548200005</v>
      </c>
      <c r="E10" s="33">
        <f>$C$31*'E Balans VL '!I14/100/3.6*1000000</f>
        <v>291.64851856043543</v>
      </c>
      <c r="F10" s="33">
        <f>$C$31*('E Balans VL '!L14+'E Balans VL '!N14)/100/3.6*1000000</f>
        <v>8927.8601344058334</v>
      </c>
      <c r="G10" s="33"/>
      <c r="H10" s="33">
        <f>$C$31*('E Balans VL '!J14)/100/3.6*1000000</f>
        <v>2.8929535268239568</v>
      </c>
      <c r="I10" s="33"/>
      <c r="J10" s="33">
        <f>$C$31*('E Balans VL '!D14+'E Balans VL '!E14)/100/3.6*1000000</f>
        <v>0.13783979731891968</v>
      </c>
      <c r="K10" s="33"/>
      <c r="L10" s="33"/>
      <c r="M10" s="33"/>
      <c r="N10" s="33"/>
      <c r="O10" s="33">
        <f>$C$31*'E Balans VL '!Y14/100/3.6*1000000</f>
        <v>5211.56794200681</v>
      </c>
      <c r="P10" s="33"/>
      <c r="Q10" s="33"/>
      <c r="S10" s="32"/>
    </row>
    <row r="11" spans="1:19">
      <c r="A11" s="32" t="s">
        <v>54</v>
      </c>
      <c r="B11" s="37">
        <f t="shared" si="1"/>
        <v>983.52756999999997</v>
      </c>
      <c r="C11" s="33"/>
      <c r="D11" s="37">
        <f>IF(ISERROR(TER_onderwijs_gas_kWh/1000),0,TER_onderwijs_gas_kWh/1000)*0.903</f>
        <v>4292.8356414299997</v>
      </c>
      <c r="E11" s="33">
        <f>$C$32*'E Balans VL '!I11/100/3.6*1000000</f>
        <v>0</v>
      </c>
      <c r="F11" s="33">
        <f>$C$32*('E Balans VL '!L11+'E Balans VL '!N11)/100/3.6*1000000</f>
        <v>72.078643263429157</v>
      </c>
      <c r="G11" s="33"/>
      <c r="H11" s="33">
        <f>$C$32*('E Balans VL '!J11)/100/3.6*1000000</f>
        <v>0</v>
      </c>
      <c r="I11" s="33"/>
      <c r="J11" s="33">
        <f>$C$32*('E Balans VL '!D11+'E Balans VL '!E11)/100/3.6*1000000</f>
        <v>0</v>
      </c>
      <c r="K11" s="33"/>
      <c r="L11" s="33"/>
      <c r="M11" s="33"/>
      <c r="N11" s="33"/>
      <c r="O11" s="33">
        <f>$C$32*'E Balans VL '!Y11/100/3.6*1000000</f>
        <v>0.90704385323300052</v>
      </c>
      <c r="P11" s="33"/>
      <c r="Q11" s="33"/>
      <c r="S11" s="32"/>
    </row>
    <row r="12" spans="1:19">
      <c r="A12" s="32" t="s">
        <v>229</v>
      </c>
      <c r="B12" s="37">
        <f t="shared" si="1"/>
        <v>27.06523</v>
      </c>
      <c r="C12" s="33"/>
      <c r="D12" s="37">
        <f>IF(ISERROR(TER_rest_gas_kWh/1000),0,TER_rest_gas_kWh/1000)*0.903</f>
        <v>0</v>
      </c>
      <c r="E12" s="33">
        <f>$C$33*'E Balans VL '!I8/100/3.6*1000000</f>
        <v>0.12522280627944707</v>
      </c>
      <c r="F12" s="33">
        <f>$C$33*('E Balans VL '!L8+'E Balans VL '!N8)/100/3.6*1000000</f>
        <v>5.4014012684185966</v>
      </c>
      <c r="G12" s="33"/>
      <c r="H12" s="33">
        <f>$C$33*('E Balans VL '!J8)/100/3.6*1000000</f>
        <v>1.2402009375674827E-3</v>
      </c>
      <c r="I12" s="33"/>
      <c r="J12" s="33">
        <f>$C$33*('E Balans VL '!D8+'E Balans VL '!E8)/100/3.6*1000000</f>
        <v>5.9091528530951962E-5</v>
      </c>
      <c r="K12" s="33"/>
      <c r="L12" s="33"/>
      <c r="M12" s="33"/>
      <c r="N12" s="33"/>
      <c r="O12" s="33">
        <f>$C$33*'E Balans VL '!Y8/100/3.6*1000000</f>
        <v>2.2621296012392018</v>
      </c>
      <c r="P12" s="33"/>
      <c r="Q12" s="33"/>
      <c r="S12" s="32"/>
    </row>
    <row r="13" spans="1:19">
      <c r="A13" s="16" t="s">
        <v>625</v>
      </c>
      <c r="B13" s="17">
        <f>'lokale energieproductie'!N34</f>
        <v>100184.87602002284</v>
      </c>
      <c r="C13" s="17">
        <f>'lokale energieproductie'!O34</f>
        <v>107800.11643707892</v>
      </c>
      <c r="D13" s="920">
        <f>('lokale energieproductie'!P34)*(-1)</f>
        <v>-38242.754965058361</v>
      </c>
      <c r="E13" s="920">
        <f>('lokale energieproductie'!X34)*(-1)</f>
        <v>0</v>
      </c>
      <c r="F13" s="920">
        <f>('lokale energieproductie'!S34)*(-1)</f>
        <v>0</v>
      </c>
      <c r="G13" s="224"/>
      <c r="H13" s="223"/>
      <c r="I13" s="223"/>
      <c r="J13" s="223"/>
      <c r="K13" s="223"/>
      <c r="L13" s="920"/>
      <c r="M13" s="920"/>
      <c r="N13" s="223"/>
      <c r="O13" s="920">
        <f>('lokale energieproductie'!R34+'lokale energieproductie'!V34+'lokale energieproductie'!Q34+'lokale energieproductie'!U34+'lokale energieproductie'!T34)*(-1)</f>
        <v>-213383.6255170707</v>
      </c>
      <c r="P13" s="223"/>
      <c r="Q13" s="223"/>
      <c r="S13" s="32"/>
    </row>
    <row r="14" spans="1:19" s="812" customFormat="1">
      <c r="A14" s="16" t="s">
        <v>484</v>
      </c>
      <c r="B14" s="1008">
        <f>MWh_eigenverbruikPV_tertiair</f>
        <v>1922.3926945878295</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-5047.803781150139</v>
      </c>
      <c r="C15" s="17">
        <f>('Eigen gebouwen'!C4)*(-1)</f>
        <v>0</v>
      </c>
      <c r="D15" s="17">
        <f>('Eigen gebouwen'!D4)*(-1)</f>
        <v>-8151.4519993124513</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262980.29357308277</v>
      </c>
      <c r="C17" s="21">
        <f t="shared" ref="C17:O17" si="2">MAX((C5+C13+C15),0)</f>
        <v>107800.11643707892</v>
      </c>
      <c r="D17" s="21">
        <f t="shared" si="2"/>
        <v>52589.316118774717</v>
      </c>
      <c r="E17" s="21">
        <f t="shared" si="2"/>
        <v>292.25508742092455</v>
      </c>
      <c r="F17" s="21">
        <f>MAX((F5+F13+F15),0)</f>
        <v>21099.017261477249</v>
      </c>
      <c r="G17" s="21" t="s">
        <v>637</v>
      </c>
      <c r="H17" s="21">
        <f t="shared" ref="H17" si="3">MAX((H5+H13+H15),0)</f>
        <v>2.8941937277615244</v>
      </c>
      <c r="I17" s="21" t="s">
        <v>637</v>
      </c>
      <c r="J17" s="21">
        <f t="shared" si="2"/>
        <v>0.13789888884745063</v>
      </c>
      <c r="K17" s="21" t="s">
        <v>637</v>
      </c>
      <c r="L17" s="21" t="s">
        <v>668</v>
      </c>
      <c r="M17" s="21" t="s">
        <v>668</v>
      </c>
      <c r="N17" s="21" t="s">
        <v>668</v>
      </c>
      <c r="O17" s="21">
        <f t="shared" si="2"/>
        <v>0</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4.3121776183438057E-2</v>
      </c>
      <c r="C19" s="25">
        <f>'EF ele_warmte'!B23</f>
        <v>0.11621345698080822</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11340.17736011331</v>
      </c>
      <c r="C21" s="23">
        <f t="shared" ref="C21:O21" si="4">C17*C19</f>
        <v>12527.824194086588</v>
      </c>
      <c r="D21" s="23">
        <f t="shared" si="4"/>
        <v>10623.041855992493</v>
      </c>
      <c r="E21" s="23">
        <f t="shared" si="4"/>
        <v>66.341904844549873</v>
      </c>
      <c r="F21" s="23">
        <f t="shared" si="4"/>
        <v>5633.4376088144254</v>
      </c>
      <c r="G21" s="23" t="s">
        <v>637</v>
      </c>
      <c r="H21" s="23">
        <f t="shared" si="4"/>
        <v>0.72065423821261954</v>
      </c>
      <c r="I21" s="23" t="s">
        <v>637</v>
      </c>
      <c r="J21" s="23">
        <f t="shared" si="4"/>
        <v>4.8816206651997519E-2</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123024.31038962226</v>
      </c>
      <c r="C27" s="39">
        <f>IF(ISERROR(B27*3.6/1000000/'E Balans VL '!Z12*100),0,B27*3.6/1000000/'E Balans VL '!Z12*100)</f>
        <v>3.7474791352841339</v>
      </c>
      <c r="D27" s="216" t="s">
        <v>734</v>
      </c>
      <c r="F27" s="6"/>
    </row>
    <row r="28" spans="1:19">
      <c r="A28" s="211" t="s">
        <v>52</v>
      </c>
      <c r="B28" s="33">
        <f>IF(ISERROR(TER_horeca_ele_kWh/1000),0,TER_horeca_ele_kWh/1000)</f>
        <v>4270.4768099999992</v>
      </c>
      <c r="C28" s="39">
        <f>IF(ISERROR(B28*3.6/1000000/'E Balans VL '!Z9*100),0,B28*3.6/1000000/'E Balans VL '!Z9*100)</f>
        <v>0.5086651936288652</v>
      </c>
      <c r="D28" s="216" t="s">
        <v>734</v>
      </c>
      <c r="F28" s="6"/>
    </row>
    <row r="29" spans="1:19">
      <c r="A29" s="164" t="s">
        <v>51</v>
      </c>
      <c r="B29" s="33">
        <f>IF(ISERROR(TER_handel_ele_kWh/1000),0,TER_handel_ele_kWh/1000)</f>
        <v>17201.146769999999</v>
      </c>
      <c r="C29" s="39">
        <f>IF(ISERROR(B29*3.6/1000000/'E Balans VL '!Z13*100),0,B29*3.6/1000000/'E Balans VL '!Z13*100)</f>
        <v>0.59111741195677814</v>
      </c>
      <c r="D29" s="216" t="s">
        <v>734</v>
      </c>
      <c r="F29" s="6"/>
    </row>
    <row r="30" spans="1:19">
      <c r="A30" s="211" t="s">
        <v>50</v>
      </c>
      <c r="B30" s="33">
        <f>IF(ISERROR(TER_gezond_ele_kWh/1000),0,TER_gezond_ele_kWh/1000)</f>
        <v>5682.100010000001</v>
      </c>
      <c r="C30" s="39">
        <f>IF(ISERROR(B30*3.6/1000000/'E Balans VL '!Z10*100),0,B30*3.6/1000000/'E Balans VL '!Z10*100)</f>
        <v>0.54531444923456274</v>
      </c>
      <c r="D30" s="216" t="s">
        <v>734</v>
      </c>
      <c r="F30" s="6"/>
    </row>
    <row r="31" spans="1:19">
      <c r="A31" s="211" t="s">
        <v>49</v>
      </c>
      <c r="B31" s="33">
        <f>IF(ISERROR(TER_ander_ele_kWh/1000),0,TER_ander_ele_kWh/1000)</f>
        <v>14732.201860000001</v>
      </c>
      <c r="C31" s="39">
        <f>IF(ISERROR(B31*3.6/1000000/'E Balans VL '!Z14*100),0,B31*3.6/1000000/'E Balans VL '!Z14*100)</f>
        <v>0.56453159311502932</v>
      </c>
      <c r="D31" s="216" t="s">
        <v>734</v>
      </c>
      <c r="F31" s="6"/>
    </row>
    <row r="32" spans="1:19">
      <c r="A32" s="211" t="s">
        <v>54</v>
      </c>
      <c r="B32" s="33">
        <f>IF(ISERROR(TER_onderwijs_ele_kWh/1000),0,TER_onderwijs_ele_kWh/1000)</f>
        <v>983.52756999999997</v>
      </c>
      <c r="C32" s="39">
        <f>IF(ISERROR(B32*3.6/1000000/'E Balans VL '!Z11*100),0,B32*3.6/1000000/'E Balans VL '!Z11*100)</f>
        <v>0.19693492304450594</v>
      </c>
      <c r="D32" s="216" t="s">
        <v>734</v>
      </c>
    </row>
    <row r="33" spans="1:4">
      <c r="A33" s="211" t="s">
        <v>229</v>
      </c>
      <c r="B33" s="33">
        <f>IF(ISERROR(TER_rest_ele_kWh/1000),0,TER_rest_ele_kWh/1000)</f>
        <v>27.06523</v>
      </c>
      <c r="C33" s="39">
        <f>IF(ISERROR(B33*3.6/1000000/'E Balans VL '!Z8*100),0,B33*3.6/1000000/'E Balans VL '!Z8*100)</f>
        <v>2.4201308613359168E-4</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72946.687439999994</v>
      </c>
      <c r="C5" s="17">
        <f>IF(ISERROR('Eigen informatie GS &amp; warmtenet'!B63),0,'Eigen informatie GS &amp; warmtenet'!B63)</f>
        <v>0</v>
      </c>
      <c r="D5" s="30">
        <f>SUM(D6:D15)</f>
        <v>64816.59158457</v>
      </c>
      <c r="E5" s="17">
        <f>SUM(E6:E15)</f>
        <v>6419.3562862741755</v>
      </c>
      <c r="F5" s="17">
        <f>SUM(F6:F15)</f>
        <v>10992.074890968664</v>
      </c>
      <c r="G5" s="17" t="s">
        <v>637</v>
      </c>
      <c r="H5" s="17">
        <f t="shared" ref="H5" si="0">SUM(H6:H15)</f>
        <v>0</v>
      </c>
      <c r="I5" s="17" t="s">
        <v>637</v>
      </c>
      <c r="J5" s="17">
        <f>SUM(J6:J15)</f>
        <v>175.59711296824582</v>
      </c>
      <c r="K5" s="17" t="s">
        <v>637</v>
      </c>
      <c r="L5" s="884" t="s">
        <v>668</v>
      </c>
      <c r="M5" s="17" t="s">
        <v>668</v>
      </c>
      <c r="N5" s="17" t="s">
        <v>668</v>
      </c>
      <c r="O5" s="17">
        <f>SUM(O6:O15)</f>
        <v>5555.7366128862986</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4458.763640000001</v>
      </c>
      <c r="C8" s="33"/>
      <c r="D8" s="37">
        <f>IF( ISERROR(IND_metaal_Gas_kWH/1000),0,IND_metaal_Gas_kWH/1000)*0.903</f>
        <v>732.69567188999997</v>
      </c>
      <c r="E8" s="33">
        <f>C31*'E Balans VL '!I18/100/3.6*1000000</f>
        <v>24.728346139934569</v>
      </c>
      <c r="F8" s="33">
        <f>C31*'E Balans VL '!L18/100/3.6*1000000+C31*'E Balans VL '!N18/100/3.6*1000000</f>
        <v>263.51213008820588</v>
      </c>
      <c r="G8" s="33"/>
      <c r="H8" s="33">
        <f>E31*'E Balans VL '!J18/100/3.6*1000000</f>
        <v>0</v>
      </c>
      <c r="I8" s="33"/>
      <c r="J8" s="40">
        <f>C31*'E Balans VL '!D18/100/3.6*1000000+C31*'E Balans VL '!E18/100/3.6*1000000</f>
        <v>0</v>
      </c>
      <c r="K8" s="33"/>
      <c r="L8" s="33"/>
      <c r="M8" s="33"/>
      <c r="N8" s="33"/>
      <c r="O8" s="33">
        <f>C31*'E Balans VL '!Y18/100/3.6*1000000</f>
        <v>71.310992254354943</v>
      </c>
      <c r="P8" s="33"/>
      <c r="Q8" s="33"/>
      <c r="S8" s="32"/>
    </row>
    <row r="9" spans="1:19">
      <c r="A9" s="6" t="s">
        <v>32</v>
      </c>
      <c r="B9" s="37">
        <f t="shared" si="1"/>
        <v>7308.76433</v>
      </c>
      <c r="C9" s="33"/>
      <c r="D9" s="37">
        <f>IF( ISERROR(IND_andere_gas_kWh/1000),0,IND_andere_gas_kWh/1000)*0.903</f>
        <v>20454.510049889999</v>
      </c>
      <c r="E9" s="33">
        <f>C32*'E Balans VL '!I19/100/3.6*1000000</f>
        <v>46.018644306057162</v>
      </c>
      <c r="F9" s="33">
        <f>C32*'E Balans VL '!L19/100/3.6*1000000+C32*'E Balans VL '!N19/100/3.6*1000000</f>
        <v>7403.1524334051428</v>
      </c>
      <c r="G9" s="33"/>
      <c r="H9" s="33">
        <f>E32*'E Balans VL '!J19/100/3.6*1000000</f>
        <v>0</v>
      </c>
      <c r="I9" s="33"/>
      <c r="J9" s="40">
        <f>C32*'E Balans VL '!D19/100/3.6*1000000+C32*'E Balans VL '!E19/100/3.6*1000000</f>
        <v>0</v>
      </c>
      <c r="K9" s="33"/>
      <c r="L9" s="33"/>
      <c r="M9" s="33"/>
      <c r="N9" s="33"/>
      <c r="O9" s="33">
        <f>C32*'E Balans VL '!Y19/100/3.6*1000000</f>
        <v>470.89648205116208</v>
      </c>
      <c r="P9" s="33"/>
      <c r="Q9" s="33"/>
      <c r="S9" s="32"/>
    </row>
    <row r="10" spans="1:19">
      <c r="A10" s="6" t="s">
        <v>40</v>
      </c>
      <c r="B10" s="37">
        <f t="shared" si="1"/>
        <v>24902.366420000002</v>
      </c>
      <c r="C10" s="33"/>
      <c r="D10" s="37">
        <f>IF( ISERROR(IND_voed_gas_kWh/1000),0,IND_voed_gas_kWh/1000)*0.903</f>
        <v>42960.936482730001</v>
      </c>
      <c r="E10" s="33">
        <f>C33*'E Balans VL '!I20/100/3.6*1000000</f>
        <v>65.981583624854935</v>
      </c>
      <c r="F10" s="33">
        <f>C33*'E Balans VL '!L20/100/3.6*1000000+C33*'E Balans VL '!N20/100/3.6*1000000</f>
        <v>1011.2414092302946</v>
      </c>
      <c r="G10" s="33"/>
      <c r="H10" s="33">
        <f>E33*'E Balans VL '!J20/100/3.6*1000000</f>
        <v>0</v>
      </c>
      <c r="I10" s="33"/>
      <c r="J10" s="40">
        <f>C33*'E Balans VL '!D20/100/3.6*1000000+C33*'E Balans VL '!E20/100/3.6*1000000</f>
        <v>0</v>
      </c>
      <c r="K10" s="33"/>
      <c r="L10" s="33"/>
      <c r="M10" s="33"/>
      <c r="N10" s="33"/>
      <c r="O10" s="33">
        <f>C33*'E Balans VL '!Y20/100/3.6*1000000</f>
        <v>1636.8897551619609</v>
      </c>
      <c r="P10" s="33"/>
      <c r="Q10" s="33"/>
      <c r="S10" s="32"/>
    </row>
    <row r="11" spans="1:19">
      <c r="A11" s="6" t="s">
        <v>39</v>
      </c>
      <c r="B11" s="37">
        <f t="shared" si="1"/>
        <v>29.485439999999997</v>
      </c>
      <c r="C11" s="33"/>
      <c r="D11" s="37">
        <f>IF( ISERROR(IND_textiel_gas_kWh/1000),0,IND_textiel_gas_kWh/1000)*0.903</f>
        <v>62.028894059999999</v>
      </c>
      <c r="E11" s="33">
        <f>C34*'E Balans VL '!I21/100/3.6*1000000</f>
        <v>0.39105254743372381</v>
      </c>
      <c r="F11" s="33">
        <f>C34*'E Balans VL '!L21/100/3.6*1000000+C34*'E Balans VL '!N21/100/3.6*1000000</f>
        <v>1.1745903209988307</v>
      </c>
      <c r="G11" s="33"/>
      <c r="H11" s="33">
        <f>E34*'E Balans VL '!J21/100/3.6*1000000</f>
        <v>0</v>
      </c>
      <c r="I11" s="33"/>
      <c r="J11" s="40">
        <f>C34*'E Balans VL '!D21/100/3.6*1000000+C34*'E Balans VL '!E21/100/3.6*1000000</f>
        <v>0</v>
      </c>
      <c r="K11" s="33"/>
      <c r="L11" s="33"/>
      <c r="M11" s="33"/>
      <c r="N11" s="33"/>
      <c r="O11" s="33">
        <f>C34*'E Balans VL '!Y21/100/3.6*1000000</f>
        <v>3.6723665398680299E-3</v>
      </c>
      <c r="P11" s="33"/>
      <c r="Q11" s="33"/>
      <c r="S11" s="32"/>
    </row>
    <row r="12" spans="1:19">
      <c r="A12" s="6" t="s">
        <v>36</v>
      </c>
      <c r="B12" s="37">
        <f t="shared" si="1"/>
        <v>7673.1006699999998</v>
      </c>
      <c r="C12" s="33"/>
      <c r="D12" s="37">
        <f>IF( ISERROR(IND_min_gas_kWh/1000),0,IND_min_gas_kWh/1000)*0.903</f>
        <v>67.779541199999997</v>
      </c>
      <c r="E12" s="33">
        <f>C35*'E Balans VL '!I22/100/3.6*1000000</f>
        <v>64.756932762765558</v>
      </c>
      <c r="F12" s="33">
        <f>C35*'E Balans VL '!L22/100/3.6*1000000+C35*'E Balans VL '!N22/100/3.6*1000000</f>
        <v>987.36723087652865</v>
      </c>
      <c r="G12" s="33"/>
      <c r="H12" s="33">
        <f>E35*'E Balans VL '!J22/100/3.6*1000000</f>
        <v>0</v>
      </c>
      <c r="I12" s="33"/>
      <c r="J12" s="40">
        <f>C35*'E Balans VL '!D22/100/3.6*1000000+C35*'E Balans VL '!E22/100/3.6*1000000</f>
        <v>171.49288867528853</v>
      </c>
      <c r="K12" s="33"/>
      <c r="L12" s="33"/>
      <c r="M12" s="33"/>
      <c r="N12" s="33"/>
      <c r="O12" s="33">
        <f>C35*'E Balans VL '!Y22/100/3.6*1000000</f>
        <v>3323.7873101197447</v>
      </c>
      <c r="P12" s="33"/>
      <c r="Q12" s="33"/>
      <c r="S12" s="32"/>
    </row>
    <row r="13" spans="1:19">
      <c r="A13" s="6" t="s">
        <v>38</v>
      </c>
      <c r="B13" s="37">
        <f t="shared" si="1"/>
        <v>3111.8227299999999</v>
      </c>
      <c r="C13" s="33"/>
      <c r="D13" s="37">
        <f>IF( ISERROR(IND_papier_gas_kWh/1000),0,IND_papier_gas_kWh/1000)*0.903</f>
        <v>538.64094479999994</v>
      </c>
      <c r="E13" s="33">
        <f>C36*'E Balans VL '!I23/100/3.6*1000000</f>
        <v>0</v>
      </c>
      <c r="F13" s="33">
        <f>C36*'E Balans VL '!L23/100/3.6*1000000+C36*'E Balans VL '!N23/100/3.6*1000000</f>
        <v>12.966093679427866</v>
      </c>
      <c r="G13" s="33"/>
      <c r="H13" s="33">
        <f>E36*'E Balans VL '!J23/100/3.6*1000000</f>
        <v>0</v>
      </c>
      <c r="I13" s="33"/>
      <c r="J13" s="40">
        <f>C36*'E Balans VL '!D23/100/3.6*1000000+C36*'E Balans VL '!E23/100/3.6*1000000</f>
        <v>0</v>
      </c>
      <c r="K13" s="33"/>
      <c r="L13" s="33"/>
      <c r="M13" s="33"/>
      <c r="N13" s="33"/>
      <c r="O13" s="33">
        <f>C36*'E Balans VL '!Y23/100/3.6*1000000</f>
        <v>-3.3906218134670586E-6</v>
      </c>
      <c r="P13" s="33"/>
      <c r="Q13" s="33"/>
      <c r="S13" s="32"/>
    </row>
    <row r="14" spans="1:19">
      <c r="A14" s="6" t="s">
        <v>33</v>
      </c>
      <c r="B14" s="37">
        <f t="shared" si="1"/>
        <v>24705.298030000002</v>
      </c>
      <c r="C14" s="33"/>
      <c r="D14" s="37">
        <f>IF( ISERROR(IND_chemie_gas_kWh/1000),0,IND_chemie_gas_kWh/1000)*0.903</f>
        <v>0</v>
      </c>
      <c r="E14" s="33">
        <f>C37*'E Balans VL '!I24/100/3.6*1000000</f>
        <v>6160.8294855469267</v>
      </c>
      <c r="F14" s="33">
        <f>C37*'E Balans VL '!L24/100/3.6*1000000+C37*'E Balans VL '!N24/100/3.6*1000000</f>
        <v>1143.9667946943389</v>
      </c>
      <c r="G14" s="33"/>
      <c r="H14" s="33">
        <f>E37*'E Balans VL '!J24/100/3.6*1000000</f>
        <v>0</v>
      </c>
      <c r="I14" s="33"/>
      <c r="J14" s="40">
        <f>C37*'E Balans VL '!D24/100/3.6*1000000+C37*'E Balans VL '!E24/100/3.6*1000000</f>
        <v>0</v>
      </c>
      <c r="K14" s="33"/>
      <c r="L14" s="33"/>
      <c r="M14" s="33"/>
      <c r="N14" s="33"/>
      <c r="O14" s="33">
        <f>C37*'E Balans VL '!Y24/100/3.6*1000000</f>
        <v>16.887395578096424</v>
      </c>
      <c r="P14" s="33"/>
      <c r="Q14" s="33"/>
      <c r="S14" s="32"/>
    </row>
    <row r="15" spans="1:19">
      <c r="A15" s="6" t="s">
        <v>234</v>
      </c>
      <c r="B15" s="37">
        <f t="shared" si="1"/>
        <v>757.0861799999999</v>
      </c>
      <c r="C15" s="33"/>
      <c r="D15" s="37">
        <f>IF( ISERROR(IND_rest_gas_kWh/1000),0,IND_rest_gas_kWh/1000)*0.903</f>
        <v>0</v>
      </c>
      <c r="E15" s="33">
        <f>C38*'E Balans VL '!I15/100/3.6*1000000</f>
        <v>56.650241346203025</v>
      </c>
      <c r="F15" s="33">
        <f>C38*'E Balans VL '!L15/100/3.6*1000000+C38*'E Balans VL '!N15/100/3.6*1000000</f>
        <v>168.694208673725</v>
      </c>
      <c r="G15" s="33"/>
      <c r="H15" s="33">
        <f>E38*'E Balans VL '!J15/100/3.6*1000000</f>
        <v>0</v>
      </c>
      <c r="I15" s="33"/>
      <c r="J15" s="40">
        <f>C38*'E Balans VL '!D15/100/3.6*1000000+C38*'E Balans VL '!E15/100/3.6*1000000</f>
        <v>4.1042242929573076</v>
      </c>
      <c r="K15" s="33"/>
      <c r="L15" s="33"/>
      <c r="M15" s="33"/>
      <c r="N15" s="33"/>
      <c r="O15" s="33">
        <f>C38*'E Balans VL '!Y15/100/3.6*1000000</f>
        <v>35.961008745060994</v>
      </c>
      <c r="P15" s="33"/>
      <c r="Q15" s="33"/>
      <c r="S15" s="32"/>
    </row>
    <row r="16" spans="1:19">
      <c r="A16" s="16" t="s">
        <v>626</v>
      </c>
      <c r="B16" s="17">
        <f>'lokale energieproductie'!N33</f>
        <v>49367.788103935789</v>
      </c>
      <c r="C16" s="17">
        <f>'lokale energieproductie'!O33</f>
        <v>50840.273402553954</v>
      </c>
      <c r="D16" s="920">
        <f>('lokale energieproductie'!P33)*(-1)</f>
        <v>-94542.24933593288</v>
      </c>
      <c r="E16" s="920">
        <f>('lokale energieproductie'!X33)*(-1)</f>
        <v>0</v>
      </c>
      <c r="F16" s="920">
        <f>('lokale energieproductie'!S33)*(-1)</f>
        <v>0</v>
      </c>
      <c r="G16" s="224"/>
      <c r="H16" s="223"/>
      <c r="I16" s="223"/>
      <c r="J16" s="223"/>
      <c r="K16" s="223"/>
      <c r="L16" s="888"/>
      <c r="M16" s="920"/>
      <c r="N16" s="223"/>
      <c r="O16" s="920">
        <f>('lokale energieproductie'!Q33+'lokale energieproductie'!R33+'lokale energieproductie'!V33+'lokale energieproductie'!T33+'lokale energieproductie'!U33)*(-1)</f>
        <v>-28540.533602283245</v>
      </c>
      <c r="P16" s="223"/>
      <c r="Q16" s="223"/>
      <c r="S16" s="32"/>
    </row>
    <row r="17" spans="1:19" s="812" customFormat="1">
      <c r="A17" s="16" t="s">
        <v>484</v>
      </c>
      <c r="B17" s="17">
        <f>MWh_eigenverbruikPV_industrie</f>
        <v>467.28693549978118</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122781.76247943557</v>
      </c>
      <c r="C19" s="21">
        <f>C5+C16</f>
        <v>50840.273402553954</v>
      </c>
      <c r="D19" s="21">
        <f>MAX((D5+D16),0)</f>
        <v>0</v>
      </c>
      <c r="E19" s="21">
        <f>MAX((E5+E16),0)</f>
        <v>6419.3562862741755</v>
      </c>
      <c r="F19" s="21">
        <f>MAX((F5+F16),0)</f>
        <v>10992.074890968664</v>
      </c>
      <c r="G19" s="21" t="s">
        <v>637</v>
      </c>
      <c r="H19" s="21">
        <f t="shared" ref="H19" si="2">MAX((H5+H16),0)</f>
        <v>0</v>
      </c>
      <c r="I19" s="21" t="s">
        <v>637</v>
      </c>
      <c r="J19" s="21">
        <f>MAX((J5+J16),0)</f>
        <v>175.59711296824582</v>
      </c>
      <c r="K19" s="21" t="s">
        <v>637</v>
      </c>
      <c r="L19" s="882" t="s">
        <v>668</v>
      </c>
      <c r="M19" s="21" t="s">
        <v>668</v>
      </c>
      <c r="N19" s="21" t="s">
        <v>668</v>
      </c>
      <c r="O19" s="21">
        <f>MAX((O5+O16),0)</f>
        <v>0</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4.3121776183438057E-2</v>
      </c>
      <c r="C21" s="25">
        <f>'EF ele_warmte'!B23</f>
        <v>0.11621345698080822</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5294.5676810462728</v>
      </c>
      <c r="C23" s="23">
        <f>C19*C21</f>
        <v>5908.3239259602324</v>
      </c>
      <c r="D23" s="23">
        <f>D19*D21</f>
        <v>0</v>
      </c>
      <c r="E23" s="23">
        <f>E19*E21</f>
        <v>1457.1938769842379</v>
      </c>
      <c r="F23" s="23">
        <f>F19*F21</f>
        <v>2934.8839958886338</v>
      </c>
      <c r="G23" s="23" t="s">
        <v>637</v>
      </c>
      <c r="H23" s="23">
        <f t="shared" ref="H23" si="3">H19*H21</f>
        <v>0</v>
      </c>
      <c r="I23" s="23" t="s">
        <v>637</v>
      </c>
      <c r="J23" s="23">
        <f>J19*J21</f>
        <v>62.161377990759021</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4458.763640000001</v>
      </c>
      <c r="C31" s="39">
        <f>IF(ISERROR(B31*3.6/1000000/'E Balans VL '!Z18*100),0,B31*3.6/1000000/'E Balans VL '!Z18*100)</f>
        <v>0.31300549699029806</v>
      </c>
      <c r="D31" s="216" t="s">
        <v>735</v>
      </c>
    </row>
    <row r="32" spans="1:19" ht="30">
      <c r="A32" s="6" t="s">
        <v>32</v>
      </c>
      <c r="B32" s="37">
        <f>IF( ISERROR(IND_ander_ele_kWh/1000),0,IND_ander_ele_kWh/1000)</f>
        <v>7308.76433</v>
      </c>
      <c r="C32" s="39">
        <f>IF(ISERROR(B32*3.6/1000000/'E Balans VL '!Z19*100),0,B32*3.6/1000000/'E Balans VL '!Z19*100)</f>
        <v>0.38925806958571518</v>
      </c>
      <c r="D32" s="216" t="s">
        <v>735</v>
      </c>
    </row>
    <row r="33" spans="1:5" ht="30">
      <c r="A33" s="164" t="s">
        <v>40</v>
      </c>
      <c r="B33" s="37">
        <f>IF( ISERROR(IND_voed_ele_kWh/1000),0,IND_voed_ele_kWh/1000)</f>
        <v>24902.366420000002</v>
      </c>
      <c r="C33" s="39">
        <f>IF(ISERROR(B33*3.6/1000000/'E Balans VL '!Z20*100),0,B33*3.6/1000000/'E Balans VL '!Z20*100)</f>
        <v>0.90237260489484838</v>
      </c>
      <c r="D33" s="216" t="s">
        <v>735</v>
      </c>
    </row>
    <row r="34" spans="1:5" ht="30">
      <c r="A34" s="164" t="s">
        <v>39</v>
      </c>
      <c r="B34" s="37">
        <f>IF( ISERROR(IND_textiel_ele_kWh/1000),0,IND_textiel_ele_kWh/1000)</f>
        <v>29.485439999999997</v>
      </c>
      <c r="C34" s="39">
        <f>IF(ISERROR(B34*3.6/1000000/'E Balans VL '!Z21*100),0,B34*3.6/1000000/'E Balans VL '!Z21*100)</f>
        <v>5.3011426053670594E-3</v>
      </c>
      <c r="D34" s="216" t="s">
        <v>735</v>
      </c>
    </row>
    <row r="35" spans="1:5" ht="30">
      <c r="A35" s="164" t="s">
        <v>36</v>
      </c>
      <c r="B35" s="37">
        <f>IF( ISERROR(IND_min_ele_kWh/1000),0,IND_min_ele_kWh/1000)</f>
        <v>7673.1006699999998</v>
      </c>
      <c r="C35" s="39">
        <f>IF(ISERROR(B35*3.6/1000000/'E Balans VL '!Z22*100),0,B35*3.6/1000000/'E Balans VL '!Z22*100)</f>
        <v>1.9934594744302152</v>
      </c>
      <c r="D35" s="216" t="s">
        <v>735</v>
      </c>
    </row>
    <row r="36" spans="1:5" ht="30">
      <c r="A36" s="164" t="s">
        <v>38</v>
      </c>
      <c r="B36" s="37">
        <f>IF( ISERROR(IND_papier_ele_kWh/1000),0,IND_papier_ele_kWh/1000)</f>
        <v>3111.8227299999999</v>
      </c>
      <c r="C36" s="39">
        <f>IF(ISERROR(B36*3.6/1000000/'E Balans VL '!Z22*100),0,B36*3.6/1000000/'E Balans VL '!Z22*100)</f>
        <v>0.8084466463628186</v>
      </c>
      <c r="D36" s="216" t="s">
        <v>735</v>
      </c>
    </row>
    <row r="37" spans="1:5">
      <c r="A37" s="164" t="s">
        <v>33</v>
      </c>
      <c r="B37" s="37">
        <f>IF( ISERROR(IND_chemie_ele_kWh/1000),0,IND_chemie_ele_kWh/1000)</f>
        <v>24705.298030000002</v>
      </c>
      <c r="C37" s="39">
        <f>IF(ISERROR(B37*3.6/1000000/'E Balans VL '!Z24*100),0,B37*3.6/1000000/'E Balans VL '!Z24*100)</f>
        <v>0.83360239242447876</v>
      </c>
      <c r="D37" s="216" t="s">
        <v>734</v>
      </c>
    </row>
    <row r="38" spans="1:5" ht="30">
      <c r="A38" s="164" t="s">
        <v>234</v>
      </c>
      <c r="B38" s="37">
        <f>IF( ISERROR(IND_rest_ele_kWh/1000),0,IND_rest_ele_kWh/1000)</f>
        <v>757.0861799999999</v>
      </c>
      <c r="C38" s="39">
        <f>IF(ISERROR(B38*3.6/1000000/'E Balans VL '!Z15*100),0,B38*3.6/1000000/'E Balans VL '!Z15*100)</f>
        <v>7.2797972104338285E-3</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10704.75172</v>
      </c>
      <c r="C5" s="17">
        <f>'Eigen informatie GS &amp; warmtenet'!B64</f>
        <v>0</v>
      </c>
      <c r="D5" s="30">
        <f>IF(ISERROR(SUM(LB_lb_gas_kWh,LB_rest_gas_kWh)/1000),0,SUM(LB_lb_gas_kWh,LB_rest_gas_kWh)/1000)*0.903</f>
        <v>130754.41060122002</v>
      </c>
      <c r="E5" s="17">
        <f>B18*'E Balans VL '!I25/3.6*1000000/100</f>
        <v>418.97416476623198</v>
      </c>
      <c r="F5" s="17">
        <f>B18*('E Balans VL '!L25/3.6*1000000+'E Balans VL '!N25/3.6*1000000)/100</f>
        <v>42414.71063254046</v>
      </c>
      <c r="G5" s="17" t="s">
        <v>637</v>
      </c>
      <c r="H5" s="17">
        <f>D18*('E Balans VL '!J25/3.6*1000000)/100</f>
        <v>0</v>
      </c>
      <c r="I5" s="17" t="s">
        <v>637</v>
      </c>
      <c r="J5" s="17">
        <f>('E Balans VL '!D25+'E Balans VL '!E25)/3.6*1000000*landbouw!B18/100</f>
        <v>1348.9663734844082</v>
      </c>
      <c r="K5" s="17" t="s">
        <v>637</v>
      </c>
      <c r="L5" s="17" t="s">
        <v>668</v>
      </c>
      <c r="M5" s="17" t="s">
        <v>668</v>
      </c>
      <c r="N5" s="17" t="s">
        <v>671</v>
      </c>
      <c r="O5" s="17">
        <f>O6*(-1)</f>
        <v>237.27011778149355</v>
      </c>
      <c r="P5" s="17" t="s">
        <v>637</v>
      </c>
      <c r="Q5" s="17" t="s">
        <v>637</v>
      </c>
      <c r="S5" s="32"/>
    </row>
    <row r="6" spans="1:19">
      <c r="A6" s="16" t="s">
        <v>626</v>
      </c>
      <c r="B6" s="17" t="s">
        <v>191</v>
      </c>
      <c r="C6" s="17">
        <f>'lokale energieproductie'!O35</f>
        <v>64445.276625784958</v>
      </c>
      <c r="D6" s="920">
        <f>('lokale energieproductie'!P35)*(-1)</f>
        <v>-107118.97083900536</v>
      </c>
      <c r="E6" s="920">
        <f>('lokale energieproductie'!X35)*(-1)</f>
        <v>0</v>
      </c>
      <c r="F6" s="920">
        <f>('lokale energieproductie'!S35)*(-1)</f>
        <v>0</v>
      </c>
      <c r="G6" s="224"/>
      <c r="H6" s="223"/>
      <c r="I6" s="223"/>
      <c r="J6" s="223"/>
      <c r="K6" s="223"/>
      <c r="L6" s="920" t="s">
        <v>668</v>
      </c>
      <c r="M6" s="920" t="s">
        <v>668</v>
      </c>
      <c r="N6" s="17" t="s">
        <v>671</v>
      </c>
      <c r="O6" s="920">
        <f>('lokale energieproductie'!V35+'lokale energieproductie'!R35+'lokale energieproductie'!T35+'lokale energieproductie'!U35+'lokale energieproductie'!Q35)*(-1)</f>
        <v>-237.27011778149355</v>
      </c>
      <c r="P6" s="223"/>
      <c r="Q6" s="223"/>
      <c r="S6" s="32"/>
    </row>
    <row r="7" spans="1:19" s="812" customFormat="1">
      <c r="A7" s="16" t="s">
        <v>484</v>
      </c>
      <c r="B7" s="17">
        <f>MWh_eigenverbruikPV_landbouw</f>
        <v>585.0097565187059</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11289.761476518706</v>
      </c>
      <c r="C9" s="21">
        <f>C5+C6</f>
        <v>64445.276625784958</v>
      </c>
      <c r="D9" s="21">
        <f>MAX((D5+D6),0)</f>
        <v>23635.439762214664</v>
      </c>
      <c r="E9" s="21">
        <f>MAX((E5+E6),0)</f>
        <v>418.97416476623198</v>
      </c>
      <c r="F9" s="21">
        <f>MAX((F5+F6),0)</f>
        <v>42414.71063254046</v>
      </c>
      <c r="G9" s="21" t="s">
        <v>637</v>
      </c>
      <c r="H9" s="21" t="s">
        <v>637</v>
      </c>
      <c r="I9" s="21" t="s">
        <v>637</v>
      </c>
      <c r="J9" s="21">
        <f>MAX((J5+J6),0)</f>
        <v>1348.9663734844082</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4.3121776183438057E-2</v>
      </c>
      <c r="C11" s="31">
        <f>'EF ele_warmte'!B23</f>
        <v>0.11621345698080822</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486.83456755484082</v>
      </c>
      <c r="C13" s="23">
        <f>C9*C11</f>
        <v>7489.4083827669456</v>
      </c>
      <c r="D13" s="23">
        <f>D9*D11</f>
        <v>4774.3588319673627</v>
      </c>
      <c r="E13" s="23">
        <f>E9*E11</f>
        <v>95.107135401934656</v>
      </c>
      <c r="F13" s="23">
        <f>F9*F11</f>
        <v>11324.727738888303</v>
      </c>
      <c r="G13" s="23" t="s">
        <v>637</v>
      </c>
      <c r="H13" s="23" t="s">
        <v>637</v>
      </c>
      <c r="I13" s="23" t="s">
        <v>637</v>
      </c>
      <c r="J13" s="23">
        <f>J9*J11</f>
        <v>477.5340962134805</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1.8502341689415673</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839.51862214134599</v>
      </c>
      <c r="C26" s="222">
        <f>B26*'GWP N2O_CH4'!B5</f>
        <v>23506.521419957688</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362.77868322282905</v>
      </c>
      <c r="C27" s="222">
        <f>B27*'GWP N2O_CH4'!B5</f>
        <v>10157.803130239214</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12.493942126501874</v>
      </c>
      <c r="C28" s="222">
        <f>B28*'GWP N2O_CH4'!B4</f>
        <v>3310.8946635229968</v>
      </c>
      <c r="D28" s="50"/>
    </row>
    <row r="29" spans="1:4">
      <c r="A29" s="41" t="s">
        <v>241</v>
      </c>
      <c r="B29" s="222">
        <f>B34*'ha_N2O bodem landbouw'!B4</f>
        <v>42.255925352763818</v>
      </c>
      <c r="C29" s="222">
        <f>B29*'GWP N2O_CH4'!B4</f>
        <v>11197.820218482411</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1.0276626313220677E-2</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4.4952338688624499E-2</v>
      </c>
      <c r="C5" s="922" t="s">
        <v>667</v>
      </c>
      <c r="D5" s="924">
        <f>SUM(D6:D11)</f>
        <v>1.0033651900879275E-2</v>
      </c>
      <c r="E5" s="924">
        <f>SUM(E6:E11)</f>
        <v>4.9297218390373099E-3</v>
      </c>
      <c r="F5" s="923" t="s">
        <v>667</v>
      </c>
      <c r="G5" s="924">
        <f>SUM(G6:G11)</f>
        <v>2.7320537782475682</v>
      </c>
      <c r="H5" s="924">
        <f>SUM(H6:H11)</f>
        <v>0.73674280983690033</v>
      </c>
      <c r="I5" s="922" t="s">
        <v>667</v>
      </c>
      <c r="J5" s="922" t="s">
        <v>667</v>
      </c>
      <c r="K5" s="922" t="s">
        <v>667</v>
      </c>
      <c r="L5" s="922" t="s">
        <v>667</v>
      </c>
      <c r="M5" s="922" t="s">
        <v>667</v>
      </c>
      <c r="N5" s="924">
        <f>SUM(N6:N11)</f>
        <v>0.3862965476616062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1.2410207571781044E-2</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3.2284443616139042E-3</v>
      </c>
      <c r="E6" s="926">
        <f>vkm_GW_PW*SUMIFS(TableVerdeelsleutelVkm[LPG],TableVerdeelsleutelVkm[Voertuigtype],"Lichte voertuigen")*SUMIFS(TableECFTransport[EnergieConsumptieFactor (PJ per km)],TableECFTransport[Index],CONCATENATE($A6,"_LPG_LPG"))</f>
        <v>1.5059001449397392E-3</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0.32721663915690058</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0.2355009168975726</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5.8105294069931118E-2</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5.1687919669430435E-5</v>
      </c>
      <c r="C7" s="926"/>
      <c r="D7" s="926">
        <f>vkm_GW_ZV*SUMIFS(TableVerdeelsleutelVkm[CNG],TableVerdeelsleutelVkm[Voertuigtype],"Zware voertuigen")*SUMIFS(TableECFTransport[EnergieConsumptieFactor (PJ per km)],TableECFTransport[Index],CONCATENATE($A7,"_CNG_CNG"))</f>
        <v>7.0217023609432215E-7</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0.50166323518339451</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1.6202709207084858E-6</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6.0056740732665571E-2</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9.7942735831542289E-3</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3.5188037380498912E-3</v>
      </c>
      <c r="E8" s="927">
        <f>vkm_NGW_PW*SUMIFS(TableVerdeelsleutelVkm[LPG],TableVerdeelsleutelVkm[Voertuigtype],"Lichte voertuigen")*SUMIFS(TableECFTransport[EnergieConsumptieFactor (PJ per km)],TableECFTransport[Index],CONCATENATE($A8,"_LPG_LPG"))</f>
        <v>1.4538086014102172E-3</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0.29563323235053202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0.23202207427347935</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5.4044613177947481E-2</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3.3833135896026385E-5</v>
      </c>
      <c r="C9" s="926"/>
      <c r="D9" s="927">
        <f>vkm_NGW_ZV*SUMIFS(TableVerdeelsleutelVkm[CNG],TableVerdeelsleutelVkm[Voertuigtype],"Zware voertuigen")*SUMIFS(TableECFTransport[EnergieConsumptieFactor (PJ per km)],TableECFTransport[Index],CONCATENATE($A9,"_CNG_CNG"))</f>
        <v>5.9671112723066492E-7</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0.42631831879050797</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1.2801394576957036E-6</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5.1036797282102614E-2</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2.2574659735653133E-2</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3.2839971036287626E-3</v>
      </c>
      <c r="E10" s="927">
        <f>vkm_SW_PW*SUMIFS(TableVerdeelsleutelVkm[LPG],TableVerdeelsleutelVkm[Voertuigtype],"Lichte voertuigen")*SUMIFS(TableECFTransport[EnergieConsumptieFactor (PJ per km)],TableECFTransport[Index],CONCATENATE($A10,"_LPG_LPG"))</f>
        <v>1.9700130926873531E-3</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0.38974666489490845</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0.26921408938260594</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6.8301368882082075E-2</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8.7676742470633903E-5</v>
      </c>
      <c r="C11" s="929"/>
      <c r="D11" s="930">
        <f>vkm_SW_ZV*SUMIFS(TableVerdeelsleutelVkm[CNG],TableVerdeelsleutelVkm[Voertuigtype],"Zware voertuigen")*SUMIFS(TableECFTransport[EnergieConsumptieFactor (PJ per km)],TableECFTransport[Index],CONCATENATE($A11,"_CNG_CNG"))</f>
        <v>1.1078162233920861E-6</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0.7914756878713245</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2.8288728640186707E-6</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9.4751733516877323E-2</v>
      </c>
      <c r="O11" s="929"/>
      <c r="P11" s="929"/>
      <c r="Q11" s="931"/>
      <c r="S11" s="705"/>
    </row>
    <row r="12" spans="1:19">
      <c r="A12" s="285" t="s">
        <v>442</v>
      </c>
      <c r="B12" s="369">
        <f>('Eigen vloot'!B27)*(-1)</f>
        <v>0</v>
      </c>
      <c r="C12" s="369"/>
      <c r="D12" s="369">
        <f>('Eigen vloot'!D27)*(-1)</f>
        <v>-116.55213287547971</v>
      </c>
      <c r="E12" s="369">
        <f>('Eigen vloot'!E27)*(-1)</f>
        <v>0</v>
      </c>
      <c r="F12" s="369"/>
      <c r="G12" s="369">
        <f>('Eigen vloot'!G27)*(-1)</f>
        <v>-358.81830411924483</v>
      </c>
      <c r="H12" s="369">
        <f>('Eigen vloot'!H27)*(-1)</f>
        <v>-80.563313520509766</v>
      </c>
      <c r="I12" s="369"/>
      <c r="J12" s="369"/>
      <c r="K12" s="369"/>
      <c r="L12" s="932"/>
      <c r="M12" s="369"/>
      <c r="N12" s="369">
        <f>('Eigen vloot'!N27)*(-1)</f>
        <v>-49.432633585735303</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12486.760746840138</v>
      </c>
      <c r="C14" s="21" t="s">
        <v>667</v>
      </c>
      <c r="D14" s="21">
        <f>MAX(((D5)*10^9/3600)+D12,0)</f>
        <v>2670.5733951465409</v>
      </c>
      <c r="E14" s="21">
        <f>MAX(((E5)*10^9/3600)+E12,0)</f>
        <v>1369.3671775103639</v>
      </c>
      <c r="F14" s="21" t="s">
        <v>667</v>
      </c>
      <c r="G14" s="21">
        <f>MAX(((G5)*10^9/3600)+G12,0)</f>
        <v>758545.00898687192</v>
      </c>
      <c r="H14" s="21">
        <f>MAX(((H5)*10^9/3600)+H12,0)</f>
        <v>204570.21719672959</v>
      </c>
      <c r="I14" s="21" t="s">
        <v>667</v>
      </c>
      <c r="J14" s="21" t="s">
        <v>667</v>
      </c>
      <c r="K14" s="21" t="s">
        <v>667</v>
      </c>
      <c r="L14" s="882" t="s">
        <v>667</v>
      </c>
      <c r="M14" s="21" t="s">
        <v>667</v>
      </c>
      <c r="N14" s="21">
        <f>MAX(((N5)*10^9/3600)+N12,0)</f>
        <v>107255.16393908266</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4.3121776183438057E-2</v>
      </c>
      <c r="C16" s="55">
        <f>'EF ele_warmte'!B23</f>
        <v>0.11621345698080822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538.45130218138024</v>
      </c>
      <c r="C18" s="23" t="s">
        <v>667</v>
      </c>
      <c r="D18" s="23">
        <f t="shared" ref="D18:N18" si="0">D14*D16</f>
        <v>539.45582581960127</v>
      </c>
      <c r="E18" s="23">
        <f>E14*E16</f>
        <v>310.84634929485264</v>
      </c>
      <c r="F18" s="23" t="s">
        <v>667</v>
      </c>
      <c r="G18" s="23">
        <f t="shared" si="0"/>
        <v>202531.51739949483</v>
      </c>
      <c r="H18" s="23">
        <f t="shared" si="0"/>
        <v>50937.984081985669</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2.1827152140651974E-4</v>
      </c>
      <c r="C50" s="937" t="s">
        <v>667</v>
      </c>
      <c r="D50" s="937" t="s">
        <v>667</v>
      </c>
      <c r="E50" s="937" t="s">
        <v>667</v>
      </c>
      <c r="F50" s="937" t="s">
        <v>667</v>
      </c>
      <c r="G50" s="937">
        <f t="shared" ref="G50:N50" si="1">SUM(G51:G52)</f>
        <v>1.2286496898952592E-2</v>
      </c>
      <c r="H50" s="937" t="s">
        <v>667</v>
      </c>
      <c r="I50" s="937" t="s">
        <v>667</v>
      </c>
      <c r="J50" s="937" t="s">
        <v>667</v>
      </c>
      <c r="K50" s="937" t="s">
        <v>667</v>
      </c>
      <c r="L50" s="937" t="s">
        <v>667</v>
      </c>
      <c r="M50" s="937" t="s">
        <v>667</v>
      </c>
      <c r="N50" s="937">
        <f t="shared" si="1"/>
        <v>1.4708778850202736E-3</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2.1827152140651974E-4</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1.2286496898952592E-2</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1.4708778850202736E-3</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60.630978168477711</v>
      </c>
      <c r="C54" s="21" t="s">
        <v>667</v>
      </c>
      <c r="D54" s="21" t="s">
        <v>667</v>
      </c>
      <c r="E54" s="21" t="s">
        <v>667</v>
      </c>
      <c r="F54" s="21" t="s">
        <v>667</v>
      </c>
      <c r="G54" s="21">
        <f t="shared" ref="G54:N54" si="2">(G50)*10^9/3600</f>
        <v>3412.9158052646089</v>
      </c>
      <c r="H54" s="21" t="s">
        <v>667</v>
      </c>
      <c r="I54" s="21" t="s">
        <v>667</v>
      </c>
      <c r="J54" s="21" t="s">
        <v>667</v>
      </c>
      <c r="K54" s="21" t="s">
        <v>667</v>
      </c>
      <c r="L54" s="21" t="s">
        <v>667</v>
      </c>
      <c r="M54" s="21" t="s">
        <v>667</v>
      </c>
      <c r="N54" s="21">
        <f t="shared" si="2"/>
        <v>408.57719028340938</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4.3121776183438057E-2</v>
      </c>
      <c r="C56" s="55">
        <f>'EF ele_warmte'!B23</f>
        <v>0.11621345698080822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2.6145154703640148</v>
      </c>
      <c r="C58" s="23" t="s">
        <v>667</v>
      </c>
      <c r="D58" s="23" t="s">
        <v>667</v>
      </c>
      <c r="E58" s="23" t="s">
        <v>667</v>
      </c>
      <c r="F58" s="23" t="s">
        <v>667</v>
      </c>
      <c r="G58" s="23">
        <f t="shared" ref="G58:N58" si="3">G54*G56</f>
        <v>911.24852000565068</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0.91242034061035304</v>
      </c>
      <c r="C64" s="167"/>
    </row>
    <row r="65" spans="1:13">
      <c r="A65" s="260" t="s">
        <v>597</v>
      </c>
      <c r="B65" s="817">
        <f>bus_pct_hybride</f>
        <v>8.6197160096226591E-2</v>
      </c>
      <c r="C65" s="271" t="s">
        <v>771</v>
      </c>
    </row>
    <row r="66" spans="1:13" s="15" customFormat="1">
      <c r="A66" s="261" t="s">
        <v>775</v>
      </c>
      <c r="B66" s="817">
        <f>bus_pct_elektrisch</f>
        <v>1.3824992934203741E-3</v>
      </c>
      <c r="C66" s="271" t="s">
        <v>771</v>
      </c>
      <c r="L66" s="812"/>
    </row>
    <row r="67" spans="1:13">
      <c r="A67" s="263" t="s">
        <v>272</v>
      </c>
      <c r="B67" s="264">
        <f>SUM(B64:B65)</f>
        <v>0.99861750070657962</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7"/>
  <sheetViews>
    <sheetView showGridLines="0" zoomScale="65" zoomScaleNormal="65" workbookViewId="0">
      <selection activeCell="M30" sqref="M30"/>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257688.93716737276</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70991.113790392192</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N31+'Eigen informatie GS &amp; warmtenet'!B13</f>
        <v>193910.81773935223</v>
      </c>
      <c r="C8" s="445">
        <f>B45+IF(ISERROR(('Eigen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111559.6360171562</v>
      </c>
      <c r="D8" s="446">
        <f>J45</f>
        <v>0</v>
      </c>
      <c r="E8" s="446">
        <f>E45+IF(ISERROR('Eigen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I45+IF(ISERROR('Eigen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G45+F45+IF(ISERROR('Eigen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H45+D45++IF(ISERROR('Eigen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4.6501787209228209E-4</v>
      </c>
      <c r="K8" s="446">
        <f>C45+IF(ISERROR('Eigen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112609.39205265185</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22535.046475465555</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522590.8686971172</v>
      </c>
      <c r="C10" s="456">
        <f t="shared" ref="C10:M10" si="0">SUM(C8:C9)</f>
        <v>111559.6360171562</v>
      </c>
      <c r="D10" s="456">
        <f t="shared" si="0"/>
        <v>0</v>
      </c>
      <c r="E10" s="456">
        <f t="shared" si="0"/>
        <v>0</v>
      </c>
      <c r="F10" s="456">
        <f t="shared" si="0"/>
        <v>0</v>
      </c>
      <c r="G10" s="456">
        <f t="shared" si="0"/>
        <v>0</v>
      </c>
      <c r="H10" s="456">
        <f t="shared" si="0"/>
        <v>0</v>
      </c>
      <c r="I10" s="456">
        <f t="shared" si="0"/>
        <v>0</v>
      </c>
      <c r="J10" s="456">
        <f t="shared" si="0"/>
        <v>4.6501787209228209E-4</v>
      </c>
      <c r="K10" s="456">
        <f t="shared" si="0"/>
        <v>112609.39205265185</v>
      </c>
      <c r="L10" s="456">
        <f t="shared" si="0"/>
        <v>0</v>
      </c>
      <c r="M10" s="456">
        <f t="shared" si="0"/>
        <v>0</v>
      </c>
      <c r="N10" s="457">
        <f>SUM(N4:N9)</f>
        <v>22535.046475465555</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O31+'Eigen informatie GS &amp; warmtenet'!B12</f>
        <v>223085.66646541783</v>
      </c>
      <c r="C17" s="471">
        <f>B46+IF(ISERROR(('Eigen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128344.33912284041</v>
      </c>
      <c r="D17" s="472">
        <f>J46+IF(ISERROR(('Eigen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E46+IF(ISERROR(('Eigen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I46+IF(ISERROR(('Eigen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G46+F46+IF(ISERROR(('Eigen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H46+D46+IF(ISERROR(('Eigen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5.349821279877179E-4</v>
      </c>
      <c r="K17" s="472">
        <f>+C46+IF(ISERROR(('Eigen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129552.03618448357</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25925.556502813764</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223085.66646541783</v>
      </c>
      <c r="C20" s="455">
        <f>SUM(C17:C19)</f>
        <v>128344.33912284041</v>
      </c>
      <c r="D20" s="455">
        <f t="shared" ref="D20:K20" si="2">SUM(D17:D19)</f>
        <v>0</v>
      </c>
      <c r="E20" s="455">
        <f t="shared" si="2"/>
        <v>0</v>
      </c>
      <c r="F20" s="455">
        <f t="shared" si="2"/>
        <v>0</v>
      </c>
      <c r="G20" s="455">
        <f t="shared" si="2"/>
        <v>0</v>
      </c>
      <c r="H20" s="455">
        <f t="shared" si="2"/>
        <v>0</v>
      </c>
      <c r="I20" s="455">
        <f t="shared" si="2"/>
        <v>0</v>
      </c>
      <c r="J20" s="455">
        <f t="shared" si="2"/>
        <v>5.349821279877179E-4</v>
      </c>
      <c r="K20" s="455">
        <f t="shared" si="2"/>
        <v>129552.03618448357</v>
      </c>
      <c r="L20" s="455"/>
      <c r="M20" s="455">
        <f>SUM(M17:M19)</f>
        <v>0</v>
      </c>
      <c r="N20" s="479">
        <f>SUM(N17:N19)</f>
        <v>25925.556502813764</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46003</v>
      </c>
      <c r="C28" s="619"/>
      <c r="D28" s="526"/>
      <c r="E28" s="525"/>
      <c r="F28" s="525"/>
      <c r="G28" s="525"/>
      <c r="H28" s="525"/>
      <c r="I28" s="525"/>
      <c r="J28" s="618"/>
      <c r="K28" s="618"/>
      <c r="L28" s="525"/>
      <c r="M28" s="525">
        <v>9008.9400000000023</v>
      </c>
      <c r="N28" s="525">
        <v>49367.788103935789</v>
      </c>
      <c r="O28" s="525">
        <v>50840.273402553954</v>
      </c>
      <c r="P28" s="525">
        <v>94542.24933593288</v>
      </c>
      <c r="Q28" s="525">
        <v>28540.532602283245</v>
      </c>
      <c r="R28" s="525">
        <v>0</v>
      </c>
      <c r="S28" s="525">
        <v>0</v>
      </c>
      <c r="T28" s="525">
        <v>0</v>
      </c>
      <c r="U28" s="525">
        <v>0</v>
      </c>
      <c r="V28" s="525">
        <v>1.00000000008E-3</v>
      </c>
      <c r="W28" s="525">
        <v>0</v>
      </c>
      <c r="X28" s="525">
        <v>0</v>
      </c>
      <c r="Y28" s="525">
        <v>0</v>
      </c>
      <c r="Z28" s="525"/>
      <c r="AA28" s="527" t="s">
        <v>334</v>
      </c>
    </row>
    <row r="29" spans="1:27" s="484" customFormat="1" ht="12.75">
      <c r="A29" s="483"/>
      <c r="B29" s="619">
        <v>46003</v>
      </c>
      <c r="C29" s="619"/>
      <c r="D29" s="526"/>
      <c r="E29" s="525"/>
      <c r="F29" s="525"/>
      <c r="G29" s="525"/>
      <c r="H29" s="525"/>
      <c r="I29" s="525"/>
      <c r="J29" s="618"/>
      <c r="K29" s="618"/>
      <c r="L29" s="525"/>
      <c r="M29" s="525">
        <v>16012.740000000011</v>
      </c>
      <c r="N29" s="525">
        <v>100184.87602002284</v>
      </c>
      <c r="O29" s="525">
        <v>107800.11643707892</v>
      </c>
      <c r="P29" s="525">
        <v>38242.754965058361</v>
      </c>
      <c r="Q29" s="525">
        <v>213383.6255170707</v>
      </c>
      <c r="R29" s="525">
        <v>0</v>
      </c>
      <c r="S29" s="525">
        <v>0</v>
      </c>
      <c r="T29" s="525">
        <v>0</v>
      </c>
      <c r="U29" s="525">
        <v>0</v>
      </c>
      <c r="V29" s="525">
        <v>0</v>
      </c>
      <c r="W29" s="525">
        <v>0</v>
      </c>
      <c r="X29" s="525">
        <v>0</v>
      </c>
      <c r="Y29" s="525">
        <v>0</v>
      </c>
      <c r="Z29" s="525"/>
      <c r="AA29" s="527" t="s">
        <v>136</v>
      </c>
    </row>
    <row r="30" spans="1:27" s="484" customFormat="1" ht="12.75">
      <c r="A30" s="483"/>
      <c r="B30" s="619">
        <v>46003</v>
      </c>
      <c r="C30" s="619"/>
      <c r="D30" s="526"/>
      <c r="E30" s="525"/>
      <c r="F30" s="525"/>
      <c r="G30" s="525"/>
      <c r="H30" s="525"/>
      <c r="I30" s="525"/>
      <c r="J30" s="618"/>
      <c r="K30" s="618"/>
      <c r="L30" s="525"/>
      <c r="M30" s="525">
        <v>14099.52</v>
      </c>
      <c r="N30" s="525">
        <v>44358.153615393603</v>
      </c>
      <c r="O30" s="525">
        <v>64445.276625784958</v>
      </c>
      <c r="P30" s="525">
        <v>107118.97083900536</v>
      </c>
      <c r="Q30" s="525">
        <v>237.27011778149355</v>
      </c>
      <c r="R30" s="525">
        <v>0</v>
      </c>
      <c r="S30" s="525">
        <v>0</v>
      </c>
      <c r="T30" s="525">
        <v>0</v>
      </c>
      <c r="U30" s="525">
        <v>0</v>
      </c>
      <c r="V30" s="525">
        <v>0</v>
      </c>
      <c r="W30" s="525">
        <v>0</v>
      </c>
      <c r="X30" s="525">
        <v>0</v>
      </c>
      <c r="Y30" s="525">
        <v>0</v>
      </c>
      <c r="Z30" s="525"/>
      <c r="AA30" s="527" t="s">
        <v>92</v>
      </c>
    </row>
    <row r="31" spans="1:27" s="465" customFormat="1">
      <c r="A31" s="485" t="s">
        <v>243</v>
      </c>
      <c r="B31" s="486"/>
      <c r="C31" s="486"/>
      <c r="D31" s="486"/>
      <c r="E31" s="486"/>
      <c r="F31" s="486"/>
      <c r="G31" s="486"/>
      <c r="H31" s="486"/>
      <c r="I31" s="486"/>
      <c r="J31" s="486"/>
      <c r="K31" s="486"/>
      <c r="L31" s="487"/>
      <c r="M31" s="487">
        <f>SUM(M28:M30)</f>
        <v>39121.200000000012</v>
      </c>
      <c r="N31" s="487">
        <f>SUM(N28:N30)</f>
        <v>193910.81773935223</v>
      </c>
      <c r="O31" s="487">
        <f>SUM(O28:O30)</f>
        <v>223085.66646541783</v>
      </c>
      <c r="P31" s="487">
        <f>SUM(P28:P30)</f>
        <v>239903.97513999662</v>
      </c>
      <c r="Q31" s="487">
        <f>SUM(Q28:Q30)</f>
        <v>242161.42823713543</v>
      </c>
      <c r="R31" s="487">
        <f>SUM(R28:R30)</f>
        <v>0</v>
      </c>
      <c r="S31" s="487">
        <f>SUM(S28:S30)</f>
        <v>0</v>
      </c>
      <c r="T31" s="487">
        <f>SUM(T28:T30)</f>
        <v>0</v>
      </c>
      <c r="U31" s="487">
        <f>SUM(U28:U30)</f>
        <v>0</v>
      </c>
      <c r="V31" s="487">
        <f>SUM(V28:V30)</f>
        <v>1.00000000008E-3</v>
      </c>
      <c r="W31" s="487">
        <f>SUM(W28:W30)</f>
        <v>0</v>
      </c>
      <c r="X31" s="487">
        <f>SUM(X28:X30)</f>
        <v>0</v>
      </c>
      <c r="Y31" s="488"/>
      <c r="Z31" s="488"/>
      <c r="AA31" s="489"/>
    </row>
    <row r="32" spans="1:27" s="465" customFormat="1">
      <c r="A32" s="485" t="s">
        <v>634</v>
      </c>
      <c r="B32" s="486"/>
      <c r="C32" s="486"/>
      <c r="D32" s="486"/>
      <c r="E32" s="486"/>
      <c r="F32" s="486"/>
      <c r="G32" s="486"/>
      <c r="H32" s="486"/>
      <c r="I32" s="486"/>
      <c r="J32" s="486"/>
      <c r="K32" s="486"/>
      <c r="L32" s="487"/>
      <c r="M32" s="487">
        <f>SUMIF($AA$28:$AA$30,"huishoudens",M28:M30)</f>
        <v>0</v>
      </c>
      <c r="N32" s="487">
        <f>SUMIF($AA$28:$AA$30,"huishoudens",N28:N30)</f>
        <v>0</v>
      </c>
      <c r="O32" s="487">
        <f>SUMIF($AA$28:$AA$30,"huishoudens",O28:O30)</f>
        <v>0</v>
      </c>
      <c r="P32" s="487">
        <f>SUMIF($AA$28:$AA$30,"huishoudens",P28:P30)</f>
        <v>0</v>
      </c>
      <c r="Q32" s="487">
        <f>SUMIF($AA$28:$AA$30,"huishoudens",Q28:Q30)</f>
        <v>0</v>
      </c>
      <c r="R32" s="487">
        <f>SUMIF($AA$28:$AA$30,"huishoudens",R28:R30)</f>
        <v>0</v>
      </c>
      <c r="S32" s="487">
        <f>SUMIF($AA$28:$AA$30,"huishoudens",S28:S30)</f>
        <v>0</v>
      </c>
      <c r="T32" s="487">
        <f>SUMIF($AA$28:$AA$30,"huishoudens",T28:T30)</f>
        <v>0</v>
      </c>
      <c r="U32" s="487">
        <f>SUMIF($AA$28:$AA$30,"huishoudens",U28:U30)</f>
        <v>0</v>
      </c>
      <c r="V32" s="487">
        <f>SUMIF($AA$28:$AA$30,"huishoudens",V28:V30)</f>
        <v>0</v>
      </c>
      <c r="W32" s="487">
        <f>SUMIF($AA$28:$AA$30,"huishoudens",W28:W30)</f>
        <v>0</v>
      </c>
      <c r="X32" s="487">
        <f>SUMIF($AA$28:$AA$30,"huishoudens",X28:X30)</f>
        <v>0</v>
      </c>
      <c r="Y32" s="488"/>
      <c r="Z32" s="488"/>
      <c r="AA32" s="489"/>
    </row>
    <row r="33" spans="1:28" s="465" customFormat="1">
      <c r="A33" s="485" t="s">
        <v>248</v>
      </c>
      <c r="B33" s="486"/>
      <c r="C33" s="486"/>
      <c r="D33" s="486"/>
      <c r="E33" s="486"/>
      <c r="F33" s="486"/>
      <c r="G33" s="486"/>
      <c r="H33" s="486"/>
      <c r="I33" s="486"/>
      <c r="J33" s="486"/>
      <c r="K33" s="486"/>
      <c r="L33" s="487"/>
      <c r="M33" s="487">
        <f>SUMIF($AA$28:$AA$30,"industrie",M28:M30)</f>
        <v>9008.9400000000023</v>
      </c>
      <c r="N33" s="487">
        <f>SUMIF($AA$28:$AA$30,"industrie",N28:N30)</f>
        <v>49367.788103935789</v>
      </c>
      <c r="O33" s="487">
        <f>SUMIF($AA$28:$AA$30,"industrie",O28:O30)</f>
        <v>50840.273402553954</v>
      </c>
      <c r="P33" s="487">
        <f>SUMIF($AA$28:$AA$30,"industrie",P28:P30)</f>
        <v>94542.24933593288</v>
      </c>
      <c r="Q33" s="487">
        <f>SUMIF($AA$28:$AA$30,"industrie",Q28:Q30)</f>
        <v>28540.532602283245</v>
      </c>
      <c r="R33" s="487">
        <f>SUMIF($AA$28:$AA$30,"industrie",R28:R30)</f>
        <v>0</v>
      </c>
      <c r="S33" s="487">
        <f>SUMIF($AA$28:$AA$30,"industrie",S28:S30)</f>
        <v>0</v>
      </c>
      <c r="T33" s="487">
        <f>SUMIF($AA$28:$AA$30,"industrie",T28:T30)</f>
        <v>0</v>
      </c>
      <c r="U33" s="487">
        <f>SUMIF($AA$28:$AA$30,"industrie",U28:U30)</f>
        <v>0</v>
      </c>
      <c r="V33" s="487">
        <f>SUMIF($AA$28:$AA$30,"industrie",V28:V30)</f>
        <v>1.00000000008E-3</v>
      </c>
      <c r="W33" s="487">
        <f>SUMIF($AA$28:$AA$30,"industrie",W28:W30)</f>
        <v>0</v>
      </c>
      <c r="X33" s="487">
        <f>SUMIF($AA$28:$AA$30,"industrie",X28:X30)</f>
        <v>0</v>
      </c>
      <c r="Y33" s="488"/>
      <c r="Z33" s="488"/>
      <c r="AA33" s="489"/>
    </row>
    <row r="34" spans="1:28" s="465" customFormat="1">
      <c r="A34" s="485" t="s">
        <v>249</v>
      </c>
      <c r="B34" s="486"/>
      <c r="C34" s="486"/>
      <c r="D34" s="486"/>
      <c r="E34" s="486"/>
      <c r="F34" s="486"/>
      <c r="G34" s="486"/>
      <c r="H34" s="486"/>
      <c r="I34" s="486"/>
      <c r="J34" s="486"/>
      <c r="K34" s="486"/>
      <c r="L34" s="487"/>
      <c r="M34" s="487">
        <f>SUMIF($AA$28:$AA$30,"tertiair",M28:M30)</f>
        <v>16012.740000000011</v>
      </c>
      <c r="N34" s="487">
        <f>SUMIF($AA$28:$AA$30,"tertiair",N28:N30)</f>
        <v>100184.87602002284</v>
      </c>
      <c r="O34" s="487">
        <f>SUMIF($AA$28:$AA$30,"tertiair",O28:O30)</f>
        <v>107800.11643707892</v>
      </c>
      <c r="P34" s="487">
        <f>SUMIF($AA$28:$AA$30,"tertiair",P28:P30)</f>
        <v>38242.754965058361</v>
      </c>
      <c r="Q34" s="487">
        <f>SUMIF($AA$28:$AA$30,"tertiair",Q28:Q30)</f>
        <v>213383.6255170707</v>
      </c>
      <c r="R34" s="487">
        <f>SUMIF($AA$28:$AA$30,"tertiair",R28:R30)</f>
        <v>0</v>
      </c>
      <c r="S34" s="487">
        <f>SUMIF($AA$28:$AA$30,"tertiair",S28:S30)</f>
        <v>0</v>
      </c>
      <c r="T34" s="487">
        <f>SUMIF($AA$28:$AA$30,"tertiair",T28:T30)</f>
        <v>0</v>
      </c>
      <c r="U34" s="487">
        <f>SUMIF($AA$28:$AA$30,"tertiair",U28:U30)</f>
        <v>0</v>
      </c>
      <c r="V34" s="487">
        <f>SUMIF($AA$28:$AA$30,"tertiair",V28:V30)</f>
        <v>0</v>
      </c>
      <c r="W34" s="487">
        <f>SUMIF($AA$28:$AA$30,"tertiair",W28:W30)</f>
        <v>0</v>
      </c>
      <c r="X34" s="487">
        <f>SUMIF($AA$28:$AA$30,"tertiair",X28:X30)</f>
        <v>0</v>
      </c>
      <c r="Y34" s="488"/>
      <c r="Z34" s="488"/>
      <c r="AA34" s="489"/>
    </row>
    <row r="35" spans="1:28" s="465" customFormat="1" ht="15.75" thickBot="1">
      <c r="A35" s="490" t="s">
        <v>250</v>
      </c>
      <c r="B35" s="491"/>
      <c r="C35" s="491"/>
      <c r="D35" s="491"/>
      <c r="E35" s="491"/>
      <c r="F35" s="491"/>
      <c r="G35" s="491"/>
      <c r="H35" s="491"/>
      <c r="I35" s="491"/>
      <c r="J35" s="491"/>
      <c r="K35" s="491"/>
      <c r="L35" s="492"/>
      <c r="M35" s="492">
        <f>SUMIF($AA$28:$AA$30,"landbouw",M28:M30)</f>
        <v>14099.52</v>
      </c>
      <c r="N35" s="492">
        <f>SUMIF($AA$28:$AA$30,"landbouw",N28:N30)</f>
        <v>44358.153615393603</v>
      </c>
      <c r="O35" s="492">
        <f>SUMIF($AA$28:$AA$30,"landbouw",O28:O30)</f>
        <v>64445.276625784958</v>
      </c>
      <c r="P35" s="492">
        <f>SUMIF($AA$28:$AA$30,"landbouw",P28:P30)</f>
        <v>107118.97083900536</v>
      </c>
      <c r="Q35" s="492">
        <f>SUMIF($AA$28:$AA$30,"landbouw",Q28:Q30)</f>
        <v>237.27011778149355</v>
      </c>
      <c r="R35" s="492">
        <f>SUMIF($AA$28:$AA$30,"landbouw",R28:R30)</f>
        <v>0</v>
      </c>
      <c r="S35" s="492">
        <f>SUMIF($AA$28:$AA$30,"landbouw",S28:S30)</f>
        <v>0</v>
      </c>
      <c r="T35" s="492">
        <f>SUMIF($AA$28:$AA$30,"landbouw",T28:T30)</f>
        <v>0</v>
      </c>
      <c r="U35" s="492">
        <f>SUMIF($AA$28:$AA$30,"landbouw",U28:U30)</f>
        <v>0</v>
      </c>
      <c r="V35" s="492">
        <f>SUMIF($AA$28:$AA$30,"landbouw",V28:V30)</f>
        <v>0</v>
      </c>
      <c r="W35" s="492">
        <f>SUMIF($AA$28:$AA$30,"landbouw",W28:W30)</f>
        <v>0</v>
      </c>
      <c r="X35" s="492">
        <f>SUMIF($AA$28:$AA$30,"landbouw",X28:X30)</f>
        <v>0</v>
      </c>
      <c r="Y35" s="493"/>
      <c r="Z35" s="493"/>
      <c r="AA35" s="494"/>
    </row>
    <row r="36" spans="1:28" s="433" customFormat="1">
      <c r="A36" s="495"/>
      <c r="B36" s="496"/>
      <c r="C36" s="496"/>
      <c r="D36" s="496"/>
      <c r="E36" s="496"/>
      <c r="F36" s="496"/>
      <c r="G36" s="496"/>
      <c r="H36" s="496"/>
      <c r="I36" s="496"/>
      <c r="J36" s="496"/>
      <c r="K36" s="496"/>
      <c r="L36" s="480"/>
      <c r="M36" s="480"/>
      <c r="N36" s="480"/>
      <c r="O36" s="481"/>
      <c r="P36" s="481"/>
    </row>
    <row r="37" spans="1:28" s="497" customFormat="1">
      <c r="A37" s="495"/>
      <c r="B37" s="480"/>
      <c r="C37" s="480"/>
      <c r="D37" s="480"/>
      <c r="E37" s="480"/>
      <c r="F37" s="480"/>
      <c r="G37" s="480"/>
      <c r="H37" s="480"/>
      <c r="I37" s="480"/>
      <c r="J37" s="480"/>
      <c r="K37" s="480"/>
      <c r="L37" s="480"/>
      <c r="M37" s="480"/>
      <c r="N37" s="480"/>
      <c r="O37" s="480"/>
      <c r="P37" s="480"/>
      <c r="Q37" s="480"/>
      <c r="R37" s="480"/>
      <c r="S37" s="480"/>
      <c r="T37" s="480"/>
      <c r="U37" s="480"/>
      <c r="V37" s="480"/>
      <c r="W37" s="480"/>
      <c r="X37" s="480"/>
      <c r="Y37" s="480"/>
      <c r="Z37" s="480"/>
    </row>
    <row r="38" spans="1:28" s="497" customFormat="1" ht="15.75" thickBot="1">
      <c r="A38" s="495"/>
      <c r="B38" s="480"/>
      <c r="C38" s="480"/>
      <c r="D38" s="480"/>
      <c r="E38" s="480"/>
      <c r="F38" s="480"/>
      <c r="G38" s="480"/>
      <c r="H38" s="480"/>
      <c r="I38" s="480"/>
      <c r="J38" s="480"/>
      <c r="K38" s="480"/>
      <c r="L38" s="480"/>
      <c r="M38" s="480"/>
      <c r="N38" s="480"/>
      <c r="O38" s="480"/>
      <c r="P38" s="480"/>
      <c r="Q38" s="480"/>
      <c r="R38" s="480"/>
      <c r="S38" s="480"/>
      <c r="T38" s="480"/>
      <c r="U38" s="480"/>
      <c r="V38" s="480"/>
      <c r="W38" s="480"/>
      <c r="X38" s="480"/>
      <c r="Y38" s="480"/>
      <c r="Z38" s="480"/>
      <c r="AA38" s="480"/>
      <c r="AB38" s="480"/>
    </row>
    <row r="39" spans="1:28">
      <c r="A39" s="498" t="s">
        <v>693</v>
      </c>
      <c r="B39" s="499"/>
      <c r="C39" s="499"/>
      <c r="D39" s="499"/>
      <c r="E39" s="499"/>
      <c r="F39" s="499"/>
      <c r="G39" s="499"/>
      <c r="H39" s="499"/>
      <c r="I39" s="499"/>
      <c r="J39" s="500"/>
      <c r="K39" s="501"/>
      <c r="L39" s="502"/>
      <c r="M39" s="502"/>
      <c r="N39" s="502"/>
      <c r="O39" s="502"/>
      <c r="P39" s="502"/>
    </row>
    <row r="40" spans="1:28">
      <c r="A40" s="504"/>
      <c r="B40" s="496"/>
      <c r="C40" s="496"/>
      <c r="D40" s="496"/>
      <c r="E40" s="496"/>
      <c r="F40" s="496"/>
      <c r="G40" s="496"/>
      <c r="H40" s="496"/>
      <c r="I40" s="496"/>
      <c r="J40" s="505"/>
      <c r="K40" s="496"/>
      <c r="L40" s="502"/>
      <c r="M40" s="502"/>
      <c r="N40" s="502"/>
      <c r="O40" s="502"/>
      <c r="P40" s="502"/>
    </row>
    <row r="41" spans="1:28">
      <c r="A41" s="506"/>
      <c r="B41" s="507" t="s">
        <v>244</v>
      </c>
      <c r="C41" s="507" t="s">
        <v>245</v>
      </c>
      <c r="D41" s="507"/>
      <c r="E41" s="507"/>
      <c r="F41" s="507"/>
      <c r="G41" s="507"/>
      <c r="H41" s="507"/>
      <c r="I41" s="507"/>
      <c r="J41" s="508"/>
      <c r="K41" s="507"/>
      <c r="L41" s="507"/>
      <c r="M41" s="507"/>
      <c r="N41" s="507"/>
      <c r="O41" s="507"/>
      <c r="P41" s="502"/>
    </row>
    <row r="42" spans="1:28">
      <c r="A42" s="504" t="s">
        <v>243</v>
      </c>
      <c r="B42" s="509">
        <f>IF(ISERROR(O31/(O31+N31)),0,O31/(O31+N31))</f>
        <v>0.53498212794491928</v>
      </c>
      <c r="C42" s="510">
        <f>IF(ISERROR(N31/(O31+N31)),0,N31/(N31+O31))</f>
        <v>0.46501787205508066</v>
      </c>
      <c r="D42" s="480"/>
      <c r="E42" s="480"/>
      <c r="F42" s="480"/>
      <c r="G42" s="480"/>
      <c r="H42" s="480"/>
      <c r="I42" s="480"/>
      <c r="J42" s="511"/>
      <c r="K42" s="480"/>
      <c r="L42" s="512"/>
      <c r="M42" s="512"/>
      <c r="N42" s="512"/>
      <c r="O42" s="512"/>
      <c r="P42" s="502"/>
    </row>
    <row r="43" spans="1:28">
      <c r="A43" s="504"/>
      <c r="B43" s="513"/>
      <c r="C43" s="513"/>
      <c r="D43" s="513"/>
      <c r="E43" s="513"/>
      <c r="F43" s="513"/>
      <c r="G43" s="513"/>
      <c r="H43" s="513"/>
      <c r="I43" s="513"/>
      <c r="J43" s="514"/>
      <c r="K43" s="513"/>
      <c r="L43" s="515"/>
      <c r="M43" s="515"/>
      <c r="N43" s="515"/>
      <c r="O43" s="515"/>
      <c r="P43" s="502"/>
    </row>
    <row r="44" spans="1:28" ht="30">
      <c r="A44" s="516"/>
      <c r="B44" s="517" t="s">
        <v>435</v>
      </c>
      <c r="C44" s="517" t="s">
        <v>83</v>
      </c>
      <c r="D44" s="517" t="s">
        <v>84</v>
      </c>
      <c r="E44" s="517" t="s">
        <v>85</v>
      </c>
      <c r="F44" s="517" t="s">
        <v>86</v>
      </c>
      <c r="G44" s="517" t="s">
        <v>87</v>
      </c>
      <c r="H44" s="517" t="s">
        <v>88</v>
      </c>
      <c r="I44" s="517" t="s">
        <v>89</v>
      </c>
      <c r="J44" s="518" t="s">
        <v>618</v>
      </c>
      <c r="K44" s="507"/>
      <c r="L44" s="515"/>
      <c r="M44" s="515"/>
      <c r="N44" s="515"/>
      <c r="O44" s="502"/>
      <c r="P44" s="502"/>
    </row>
    <row r="45" spans="1:28">
      <c r="A45" s="506" t="s">
        <v>246</v>
      </c>
      <c r="B45" s="519">
        <f t="shared" ref="B45:J45" si="3">$C$42*P31</f>
        <v>111559.6360171562</v>
      </c>
      <c r="C45" s="519">
        <f t="shared" si="3"/>
        <v>112609.39205265185</v>
      </c>
      <c r="D45" s="519">
        <f t="shared" si="3"/>
        <v>0</v>
      </c>
      <c r="E45" s="519">
        <f t="shared" si="3"/>
        <v>0</v>
      </c>
      <c r="F45" s="519">
        <f t="shared" si="3"/>
        <v>0</v>
      </c>
      <c r="G45" s="519">
        <f t="shared" si="3"/>
        <v>0</v>
      </c>
      <c r="H45" s="519">
        <f t="shared" si="3"/>
        <v>4.6501787209228209E-4</v>
      </c>
      <c r="I45" s="519">
        <f t="shared" si="3"/>
        <v>0</v>
      </c>
      <c r="J45" s="519">
        <f t="shared" si="3"/>
        <v>0</v>
      </c>
      <c r="K45" s="480"/>
      <c r="L45" s="515"/>
      <c r="M45" s="515"/>
      <c r="N45" s="515"/>
      <c r="O45" s="502"/>
      <c r="P45" s="502"/>
    </row>
    <row r="46" spans="1:28" ht="15.75" thickBot="1">
      <c r="A46" s="520" t="s">
        <v>247</v>
      </c>
      <c r="B46" s="521">
        <f t="shared" ref="B46:J46" si="4">$B$42*P31</f>
        <v>128344.33912284041</v>
      </c>
      <c r="C46" s="521">
        <f t="shared" si="4"/>
        <v>129552.03618448357</v>
      </c>
      <c r="D46" s="521">
        <f t="shared" si="4"/>
        <v>0</v>
      </c>
      <c r="E46" s="521">
        <f t="shared" si="4"/>
        <v>0</v>
      </c>
      <c r="F46" s="521">
        <f t="shared" si="4"/>
        <v>0</v>
      </c>
      <c r="G46" s="521">
        <f t="shared" si="4"/>
        <v>0</v>
      </c>
      <c r="H46" s="521">
        <f t="shared" si="4"/>
        <v>5.349821279877179E-4</v>
      </c>
      <c r="I46" s="521">
        <f t="shared" si="4"/>
        <v>0</v>
      </c>
      <c r="J46" s="521">
        <f t="shared" si="4"/>
        <v>0</v>
      </c>
      <c r="K46" s="480"/>
      <c r="L46" s="515"/>
      <c r="M46" s="515"/>
      <c r="N46" s="515"/>
      <c r="O46" s="502"/>
      <c r="P46" s="502"/>
    </row>
    <row r="47" spans="1:28">
      <c r="J47" s="461"/>
      <c r="K47" s="461"/>
      <c r="L47" s="461"/>
      <c r="M47" s="461"/>
      <c r="N47"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2024-08-06T14:01:30Z</dcterms:modified>
</cp:coreProperties>
</file>