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85FB3A52-EF65-4094-90E1-CC1B3DA772A8}"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O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8" i="16"/>
  <c r="B9" i="15"/>
  <c r="P11" i="48"/>
  <c r="Q10" i="14"/>
  <c r="Q9" i="14" s="1"/>
  <c r="J9" i="15" l="1"/>
  <c r="H9" i="15"/>
  <c r="L13" i="13"/>
  <c r="M62" i="14" s="1"/>
  <c r="M66" i="14" s="1"/>
  <c r="L4" i="48"/>
  <c r="L22" i="48" s="1"/>
  <c r="M16" i="14"/>
  <c r="M20" i="14" s="1"/>
  <c r="C41" i="18"/>
  <c r="B41" i="18"/>
  <c r="C36" i="16"/>
  <c r="E13" i="16" s="1"/>
  <c r="O13" i="15"/>
  <c r="E10" i="15"/>
  <c r="H10" i="15"/>
  <c r="F8" i="15"/>
  <c r="H8" i="15"/>
  <c r="H5" i="15" s="1"/>
  <c r="H17" i="15" s="1"/>
  <c r="M6" i="13"/>
  <c r="M9" i="13" s="1"/>
  <c r="M13" i="13" s="1"/>
  <c r="B12" i="16"/>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B10"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O13" i="16"/>
  <c r="D32" i="48"/>
  <c r="B5" i="22"/>
  <c r="B14" i="22" s="1"/>
  <c r="F13" i="16"/>
  <c r="J8" i="18"/>
  <c r="J10" i="18" s="1"/>
  <c r="J13" i="16"/>
  <c r="G5" i="22"/>
  <c r="G14" i="22" s="1"/>
  <c r="E5" i="22"/>
  <c r="H5" i="22"/>
  <c r="H14" i="22"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K10" i="18"/>
  <c r="L103" i="14"/>
  <c r="G45" i="18"/>
  <c r="I17" i="18" s="1"/>
  <c r="J114" i="14" s="1"/>
  <c r="K17" i="18"/>
  <c r="K20" i="18" s="1"/>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O5" i="16"/>
  <c r="O19" i="16" s="1"/>
  <c r="F5" i="15"/>
  <c r="B5" i="15"/>
  <c r="J15" i="14"/>
  <c r="J13" i="14" s="1"/>
  <c r="J20" i="14" s="1"/>
  <c r="J42" i="14" s="1"/>
  <c r="I5" i="48"/>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B17" i="15" l="1"/>
  <c r="B5" i="48" s="1"/>
  <c r="K103" i="14"/>
  <c r="K8" i="59" s="1"/>
  <c r="N14" i="22"/>
  <c r="O31" i="14" s="1"/>
  <c r="O30" i="14" s="1"/>
  <c r="O37" i="14" s="1"/>
  <c r="O42" i="14" s="1"/>
  <c r="F17" i="15"/>
  <c r="F5" i="48" s="1"/>
  <c r="F23" i="48" s="1"/>
  <c r="P62" i="14"/>
  <c r="O13" i="13"/>
  <c r="S22" i="14"/>
  <c r="D103" i="14"/>
  <c r="E14" i="22"/>
  <c r="E18" i="22" s="1"/>
  <c r="S23" i="14"/>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P66"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E9" i="48" l="1"/>
  <c r="E27" i="48" s="1"/>
  <c r="E33" i="48" s="1"/>
  <c r="N9" i="48"/>
  <c r="N27" i="48" s="1"/>
  <c r="N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8" i="19"/>
  <c r="C10" i="19" s="1"/>
  <c r="D56" i="14" s="1"/>
  <c r="D55" i="14" s="1"/>
  <c r="C29" i="20"/>
  <c r="C22" i="59"/>
  <c r="C11" i="17"/>
  <c r="C13" i="17" s="1"/>
  <c r="D85" i="14" s="1"/>
  <c r="D87" i="14" s="1"/>
  <c r="C19" i="15"/>
  <c r="C21" i="15" s="1"/>
  <c r="D61" i="14" s="1"/>
  <c r="D59" i="14" s="1"/>
  <c r="C56" i="22"/>
  <c r="C11" i="13"/>
  <c r="C16" i="22"/>
  <c r="B4" i="6"/>
  <c r="C17" i="48" l="1"/>
  <c r="C13" i="13"/>
  <c r="D62" i="14" s="1"/>
  <c r="D66" i="14" s="1"/>
  <c r="D72" i="14"/>
  <c r="D73" i="14"/>
  <c r="B13" i="6"/>
  <c r="B56" i="22" s="1"/>
  <c r="D71" i="14" l="1"/>
  <c r="D83" i="14" s="1"/>
  <c r="D88" i="14" s="1"/>
  <c r="D90" i="14" s="1"/>
  <c r="C28" i="48"/>
  <c r="C29" i="48"/>
  <c r="C31" i="48"/>
  <c r="C24" i="48"/>
  <c r="C27" i="48"/>
  <c r="C30" i="48"/>
  <c r="C32" i="48"/>
  <c r="C26" i="48"/>
  <c r="C22" i="48"/>
  <c r="C23" i="48"/>
  <c r="C25"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<sst xmlns="http://schemas.openxmlformats.org/spreadsheetml/2006/main" count="3028" uniqueCount="783">
  <si>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</si>
  <si>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</si>
  <si>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</si>
  <si>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</si>
  <si>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</si>
  <si>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</si>
  <si>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</si>
  <si>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</si>
  <si>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</si>
  <si>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</si>
  <si>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</si>
  <si>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</si>
  <si>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</si>
  <si>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</si>
  <si>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</si>
  <si>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</si>
  <si>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</si>
  <si>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</si>
  <si>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</si>
  <si>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</si>
  <si>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</si>
  <si>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</si>
  <si>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</si>
  <si>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</si>
  <si>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</si>
  <si>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</si>
  <si>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</si>
  <si>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</si>
  <si>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</si>
  <si>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</si>
  <si>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</si>
  <si>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</si>
  <si>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</si>
  <si>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</si>
  <si>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</si>
  <si>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</si>
  <si>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</si>
  <si>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</si>
  <si>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</si>
  <si>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</si>
  <si>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</si>
  <si>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</si>
  <si>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</si>
  <si>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</si>
  <si>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</si>
  <si>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</si>
  <si>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</si>
  <si>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</si>
  <si>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</si>
  <si>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</si>
  <si>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</si>
  <si>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</si>
  <si>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</si>
  <si>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</si>
  <si>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</si>
  <si>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</si>
  <si>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</si>
  <si>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</si>
  <si>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</si>
  <si>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</si>
  <si>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</si>
  <si>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</si>
  <si>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</si>
  <si>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</si>
  <si>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</si>
  <si>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</si>
  <si>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</si>
  <si>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</si>
  <si>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</si>
  <si>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</si>
  <si>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</si>
  <si>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</si>
  <si>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</si>
  <si>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</si>
  <si>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</si>
  <si>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</si>
  <si>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</si>
  <si>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</si>
  <si>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</si>
  <si>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</si>
  <si>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</si>
  <si>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</si>
  <si>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</si>
  <si>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</si>
  <si>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</si>
  <si>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</si>
  <si>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</si>
  <si>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</si>
  <si>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</si>
  <si>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</si>
  <si>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</si>
  <si>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</si>
  <si>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</si>
  <si>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</si>
  <si>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</si>
  <si>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</si>
  <si>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</si>
  <si>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</si>
  <si>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</si>
  <si>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</si>
  <si>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</si>
  <si>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</si>
  <si>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</si>
  <si>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</si>
  <si>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</si>
  <si>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</si>
  <si>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</si>
  <si>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</si>
  <si>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</si>
  <si>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</si>
  <si>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</si>
  <si>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</si>
  <si>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</si>
  <si>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</si>
  <si>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</si>
  <si>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</si>
  <si>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</si>
  <si>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</si>
  <si>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</si>
  <si>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</si>
  <si>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</si>
  <si>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</si>
  <si>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</si>
  <si>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</si>
  <si>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</si>
  <si>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</si>
  <si>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</si>
  <si>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</si>
  <si>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</si>
  <si>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</si>
  <si>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</si>
  <si>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</si>
  <si>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</si>
  <si>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</si>
  <si>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</si>
  <si>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</si>
  <si>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</si>
  <si>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</si>
  <si>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</si>
  <si>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</si>
  <si>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</si>
  <si>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</si>
  <si>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</si>
  <si>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</si>
  <si>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</si>
  <si>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</si>
  <si>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</si>
  <si>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</si>
  <si>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</si>
  <si>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</si>
  <si>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</si>
  <si>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</si>
  <si>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</si>
  <si>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</si>
  <si>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</si>
  <si>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</si>
  <si>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</si>
  <si>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</si>
  <si>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</si>
  <si>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</si>
  <si>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</si>
  <si>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</si>
  <si>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</si>
  <si>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</si>
  <si>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</si>
  <si>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</si>
  <si>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</si>
  <si>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</si>
  <si>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</si>
  <si>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</si>
  <si>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</si>
  <si>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</si>
  <si>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</si>
  <si>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</si>
  <si>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</si>
  <si>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</si>
  <si>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</si>
  <si>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</si>
  <si>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</si>
  <si>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</si>
  <si>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</si>
  <si>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</si>
  <si>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</si>
  <si>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</si>
  <si>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</si>
  <si>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</si>
  <si>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</si>
  <si>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</si>
  <si>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</si>
  <si>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</si>
  <si>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</si>
  <si>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</si>
  <si>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</si>
  <si>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</si>
  <si>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</si>
  <si>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</si>
  <si>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</si>
  <si>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</si>
  <si>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</si>
  <si>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</si>
  <si>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</si>
  <si>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</si>
  <si>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</si>
  <si>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</si>
  <si>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</si>
  <si>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</si>
  <si>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</si>
  <si>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</si>
  <si>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</si>
  <si>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</si>
  <si>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</si>
  <si>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</si>
  <si>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</si>
  <si>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</si>
  <si>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</si>
  <si>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</si>
  <si>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</si>
  <si>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</si>
  <si>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</si>
  <si>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</si>
  <si>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</si>
  <si>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</si>
  <si>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</si>
  <si>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</si>
  <si>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</si>
  <si>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</si>
  <si>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</si>
  <si>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</si>
  <si>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</si>
  <si>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</si>
  <si>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</si>
  <si>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</si>
  <si>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</si>
  <si>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</si>
  <si>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</si>
  <si>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</si>
  <si>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</si>
  <si>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</si>
  <si>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</si>
  <si>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</si>
  <si>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</si>
  <si>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</si>
  <si>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</si>
  <si>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</si>
  <si>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</si>
  <si>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</si>
  <si>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</si>
  <si>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</si>
  <si>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</si>
  <si>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</si>
  <si>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</si>
  <si>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</si>
  <si>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</si>
  <si>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</si>
  <si>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</si>
  <si>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</si>
  <si>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</si>
  <si>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</si>
  <si>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</si>
  <si>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</si>
  <si>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</si>
  <si>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</si>
  <si>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</si>
  <si>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</si>
  <si>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</si>
  <si>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</si>
  <si>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</si>
  <si>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</si>
  <si>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</si>
  <si>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</si>
  <si>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</si>
  <si>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</si>
  <si>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</si>
  <si>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</si>
  <si>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</si>
  <si>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</si>
  <si>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</si>
  <si>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</si>
  <si>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</si>
  <si>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</si>
  <si>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</si>
  <si>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</si>
  <si>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</si>
  <si>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</si>
  <si>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</si>
  <si>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</si>
  <si>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</si>
  <si>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</si>
  <si>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</si>
  <si>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</si>
  <si>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</si>
  <si>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</si>
  <si>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</si>
  <si>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</si>
  <si>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</si>
  <si>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</si>
  <si>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</si>
  <si>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</si>
  <si>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</si>
  <si>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</si>
  <si>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</si>
  <si>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</si>
  <si>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</si>
  <si>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</si>
  <si>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</si>
  <si>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</si>
  <si>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</si>
  <si>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</si>
  <si>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</si>
  <si>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</si>
  <si>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</si>
  <si>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</si>
  <si>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</si>
  <si>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</si>
  <si>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</si>
  <si>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</si>
  <si>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</si>
  <si>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</si>
  <si>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</si>
  <si>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</si>
  <si>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</si>
  <si>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</si>
  <si>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</si>
  <si>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</si>
  <si>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</si>
  <si>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</si>
  <si>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</si>
  <si>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</si>
  <si>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</si>
  <si>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</si>
  <si>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</si>
  <si>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</si>
  <si>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</si>
  <si>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</si>
  <si>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</si>
  <si>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</si>
  <si>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</si>
  <si>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</si>
  <si>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</si>
  <si>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</si>
  <si>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</si>
  <si>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</si>
  <si>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</si>
  <si>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</si>
  <si>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</si>
  <si>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</si>
  <si>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</si>
  <si>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</si>
  <si>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</si>
  <si>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</si>
  <si>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</si>
  <si>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</si>
  <si>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</si>
  <si>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</si>
  <si>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</si>
  <si>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</si>
  <si>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</si>
  <si>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</si>
  <si>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</si>
  <si>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</si>
  <si>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</si>
  <si>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</si>
  <si>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</si>
  <si>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</si>
  <si>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</si>
  <si>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</si>
  <si>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</si>
  <si>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</si>
  <si>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</si>
  <si>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</si>
  <si>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</si>
  <si>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</si>
  <si>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</si>
  <si>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</si>
  <si>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</si>
  <si>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</si>
  <si>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</si>
  <si>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</si>
  <si>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</si>
  <si>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</si>
  <si>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</si>
  <si>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</si>
  <si>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</si>
  <si>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</si>
  <si>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</si>
  <si>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</si>
  <si>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</si>
  <si>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</si>
  <si>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</si>
  <si>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</si>
  <si>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</si>
  <si>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</si>
  <si>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</si>
  <si>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</si>
  <si>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</si>
  <si>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</si>
  <si>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</si>
  <si>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</si>
  <si>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</si>
  <si>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</si>
  <si>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</si>
  <si>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</si>
  <si>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</si>
  <si>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</si>
  <si>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</si>
  <si>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</si>
  <si>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</si>
  <si>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</si>
  <si>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</si>
  <si>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</si>
  <si>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</si>
  <si>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</si>
  <si>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</si>
  <si>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</si>
  <si>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</si>
  <si>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</si>
  <si>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</si>
  <si>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</si>
  <si>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</si>
  <si>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</si>
  <si>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</si>
  <si>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</si>
  <si>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</si>
  <si>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</si>
  <si>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</si>
  <si>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</si>
  <si>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</si>
  <si>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</si>
  <si>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</si>
  <si>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</si>
  <si>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</si>
  <si>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</si>
  <si>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</si>
  <si>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</si>
  <si>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</si>
  <si>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</si>
  <si>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</si>
  <si>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</si>
  <si>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</si>
  <si>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</si>
  <si>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</si>
  <si>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</si>
  <si>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</si>
  <si>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</si>
  <si>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</si>
  <si>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</si>
  <si>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</si>
  <si>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</si>
  <si>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</si>
  <si>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</si>
  <si>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</si>
  <si>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</si>
  <si>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</si>
  <si>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</si>
  <si>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</si>
  <si>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</si>
  <si>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</si>
  <si>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</si>
  <si>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</si>
  <si>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</si>
  <si>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</si>
  <si>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</si>
  <si>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</si>
  <si>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</si>
  <si>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</si>
  <si>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</si>
  <si>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</si>
  <si>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</si>
  <si>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</si>
  <si>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</si>
  <si>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</si>
  <si>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</si>
  <si>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</si>
  <si>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</si>
  <si>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</si>
  <si>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</si>
  <si>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</si>
  <si>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</si>
  <si>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</si>
  <si>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</si>
  <si>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</si>
  <si>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</si>
  <si>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</si>
  <si>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</si>
  <si>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</si>
  <si>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</si>
  <si>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</si>
  <si>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</si>
  <si>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</si>
  <si>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</si>
  <si>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</si>
  <si>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</si>
  <si>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</si>
  <si>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</si>
  <si>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</si>
  <si>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</si>
  <si>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</si>
  <si>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</si>
  <si>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</si>
  <si>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</si>
  <si>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</si>
  <si>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</si>
  <si>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</si>
  <si>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</si>
  <si>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</si>
  <si>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</si>
  <si>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</si>
  <si>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</si>
  <si>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</si>
  <si>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</si>
  <si>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</si>
  <si>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</si>
  <si>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</si>
  <si>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</si>
  <si>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</si>
  <si>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</si>
  <si>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</si>
  <si>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</si>
  <si>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</si>
  <si>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</si>
  <si>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</si>
  <si>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</si>
  <si>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</si>
  <si>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</si>
  <si>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</si>
  <si>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</si>
  <si>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</si>
  <si>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</si>
  <si>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</si>
  <si>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</si>
  <si>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</si>
  <si>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</si>
  <si>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</si>
  <si>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</si>
  <si>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</si>
  <si>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</si>
  <si>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</si>
  <si>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</si>
  <si>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</si>
  <si>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</si>
  <si>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</si>
  <si>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</si>
  <si>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</si>
  <si>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</si>
  <si>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</si>
  <si>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</si>
  <si>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</si>
  <si>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</si>
  <si>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</si>
  <si>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</si>
  <si>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</si>
  <si>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</si>
  <si>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</si>
  <si>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</si>
  <si>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</si>
  <si>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</si>
  <si>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</si>
  <si>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</si>
  <si>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</si>
  <si>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</si>
  <si>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</si>
  <si>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</si>
  <si>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</si>
  <si>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</si>
  <si>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</si>
  <si>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</si>
  <si>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</si>
  <si>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</si>
  <si>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</si>
  <si>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</si>
  <si>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</si>
  <si>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</si>
  <si>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</si>
  <si>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</si>
  <si>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</si>
  <si>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</si>
  <si>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</si>
  <si>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</si>
  <si>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</si>
  <si>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</si>
  <si>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</si>
  <si>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</si>
  <si>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</si>
  <si>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</si>
  <si>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</si>
  <si>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</si>
  <si>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</si>
  <si>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</si>
  <si>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</si>
  <si>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</si>
  <si>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</si>
  <si>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</si>
  <si>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</si>
  <si>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</si>
  <si>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</si>
  <si>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</si>
  <si>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</si>
  <si>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</si>
  <si>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</si>
  <si>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</si>
  <si>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</si>
  <si>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</si>
  <si>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</si>
  <si>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</si>
  <si>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</si>
  <si>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</si>
  <si>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</si>
  <si>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</si>
  <si>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</si>
  <si>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</si>
  <si>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</si>
  <si>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</si>
  <si>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</si>
  <si>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</si>
  <si>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</si>
  <si>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</si>
  <si>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</si>
  <si>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</si>
  <si>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</si>
  <si>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</si>
  <si>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</si>
  <si>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</si>
  <si>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</si>
  <si>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</si>
  <si>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</si>
  <si>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</si>
  <si>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</si>
  <si>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</si>
  <si>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</si>
  <si>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</si>
  <si>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</si>
  <si>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</si>
  <si>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</si>
  <si>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</si>
  <si>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</si>
  <si>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</si>
  <si>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</si>
  <si>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</si>
  <si>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</si>
  <si>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</si>
  <si>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</si>
  <si>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</si>
  <si>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</si>
  <si>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</si>
  <si>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</si>
  <si>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</si>
  <si>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</si>
  <si>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</si>
  <si>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</si>
  <si>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</si>
  <si>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</si>
  <si>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</si>
  <si>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</si>
  <si>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</si>
  <si>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</si>
  <si>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</si>
  <si>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</si>
  <si>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</si>
  <si>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</si>
  <si>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</si>
  <si>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</si>
  <si>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</si>
  <si>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</si>
  <si>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</si>
  <si>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</si>
  <si>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</si>
  <si>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</si>
  <si>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</si>
  <si>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</si>
  <si>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</si>
  <si>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</si>
  <si>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</si>
  <si>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</si>
  <si>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</si>
  <si>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</si>
  <si>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</si>
  <si>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</si>
  <si>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</si>
  <si>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</si>
  <si>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</si>
  <si>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</si>
  <si>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</si>
  <si>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</si>
  <si>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</si>
  <si>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</si>
  <si>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</si>
  <si>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</si>
  <si>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</si>
  <si>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</si>
  <si>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</si>
  <si>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</si>
  <si>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</si>
  <si>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</si>
  <si>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</si>
  <si>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</si>
  <si>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</si>
  <si>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</si>
  <si>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</si>
  <si>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</si>
  <si>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</si>
  <si>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</si>
  <si>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</si>
  <si>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</si>
  <si>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</si>
  <si>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</si>
  <si>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</si>
  <si>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</si>
  <si>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</si>
  <si>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</si>
  <si>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</si>
  <si>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</si>
  <si>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</si>
  <si>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</si>
  <si>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</si>
  <si>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</si>
  <si>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</si>
  <si>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</si>
  <si>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</si>
  <si>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</si>
  <si>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</si>
  <si>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</si>
  <si>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</si>
  <si>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</si>
  <si>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</si>
  <si>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</si>
  <si>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</si>
  <si>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</si>
  <si>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</si>
  <si>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</si>
  <si>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</si>
  <si>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</si>
  <si>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</si>
  <si>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</si>
  <si>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</si>
  <si>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</si>
  <si>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</si>
  <si>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</si>
  <si>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</si>
  <si>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</si>
  <si>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</si>
  <si>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</si>
  <si>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</si>
  <si>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</si>
  <si>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</si>
  <si>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</si>
  <si>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</si>
  <si>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</si>
  <si>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</si>
  <si>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</si>
  <si>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</si>
  <si>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</si>
  <si>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</si>
  <si>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</si>
  <si>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</si>
  <si>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</si>
  <si>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</si>
  <si>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</si>
  <si>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</si>
  <si>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</si>
  <si>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</si>
  <si>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</si>
  <si>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</si>
  <si>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</si>
  <si>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</si>
  <si>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</si>
  <si>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</si>
  <si>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</si>
  <si>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</si>
  <si>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</si>
  <si>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</si>
  <si>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</si>
  <si>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</si>
  <si>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</si>
  <si>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</si>
  <si>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</si>
  <si>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</si>
  <si>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</si>
  <si>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</si>
  <si>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</si>
  <si>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</si>
  <si>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45061</t>
  </si>
  <si>
    <t>WORTEGEM-PETEGEM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</si>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</sst>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2C4122FB-FD0A-4526-B2FC-CF6EB465A61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AD20396D-30E9-4B11-A82F-E306876B1AAD}"/>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42505.303431542983</c:v>
                </c:pt>
                <c:pt idx="1">
                  <c:v>9243.5700579167715</c:v>
                </c:pt>
                <c:pt idx="2">
                  <c:v>0</c:v>
                </c:pt>
                <c:pt idx="3">
                  <c:v>7354.77531968115</c:v>
                </c:pt>
                <c:pt idx="4">
                  <c:v>5222.7989851690909</c:v>
                </c:pt>
                <c:pt idx="5">
                  <c:v>36572.433158026914</c:v>
                </c:pt>
                <c:pt idx="6">
                  <c:v>519.03862043524009</c:v>
                </c:pt>
                <c:pt idx="7">
                  <c:v>568.65135067337428</c:v>
                </c:pt>
                <c:pt idx="8">
                  <c:v>491.43</c:v>
                </c:pt>
                <c:pt idx="9">
                  <c:v>177.88398100000001</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42505.303431542983</c:v>
                </c:pt>
                <c:pt idx="1">
                  <c:v>9243.5700579167715</c:v>
                </c:pt>
                <c:pt idx="2">
                  <c:v>0</c:v>
                </c:pt>
                <c:pt idx="3">
                  <c:v>7354.77531968115</c:v>
                </c:pt>
                <c:pt idx="4">
                  <c:v>5222.7989851690909</c:v>
                </c:pt>
                <c:pt idx="5">
                  <c:v>36572.433158026914</c:v>
                </c:pt>
                <c:pt idx="6">
                  <c:v>519.03862043524009</c:v>
                </c:pt>
                <c:pt idx="7">
                  <c:v>568.65135067337428</c:v>
                </c:pt>
                <c:pt idx="8">
                  <c:v>491.43</c:v>
                </c:pt>
                <c:pt idx="9">
                  <c:v>177.88398100000001</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8394.8714812035978</c:v>
                </c:pt>
                <c:pt idx="1">
                  <c:v>1541.6115439508853</c:v>
                </c:pt>
                <c:pt idx="2">
                  <c:v>0</c:v>
                </c:pt>
                <c:pt idx="3">
                  <c:v>1754.3168510948365</c:v>
                </c:pt>
                <c:pt idx="4">
                  <c:v>1024.1823684546532</c:v>
                </c:pt>
                <c:pt idx="5">
                  <c:v>8562.2662005704824</c:v>
                </c:pt>
                <c:pt idx="6">
                  <c:v>123.01702211290504</c:v>
                </c:pt>
                <c:pt idx="7">
                  <c:v>98.946730914888363</c:v>
                </c:pt>
                <c:pt idx="8">
                  <c:v>71.741946628319383</c:v>
                </c:pt>
                <c:pt idx="9">
                  <c:v>42.044090378717449</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8394.8714812035978</c:v>
                </c:pt>
                <c:pt idx="1">
                  <c:v>1541.6115439508853</c:v>
                </c:pt>
                <c:pt idx="2">
                  <c:v>0</c:v>
                </c:pt>
                <c:pt idx="3">
                  <c:v>1754.3168510948365</c:v>
                </c:pt>
                <c:pt idx="4">
                  <c:v>1024.1823684546532</c:v>
                </c:pt>
                <c:pt idx="5">
                  <c:v>8562.2662005704824</c:v>
                </c:pt>
                <c:pt idx="6">
                  <c:v>123.01702211290504</c:v>
                </c:pt>
                <c:pt idx="7">
                  <c:v>98.946730914888363</c:v>
                </c:pt>
                <c:pt idx="8">
                  <c:v>71.741946628319383</c:v>
                </c:pt>
                <c:pt idx="9">
                  <c:v>42.044090378717449</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45061</v>
      </c>
      <c r="B6" s="336"/>
      <c r="C6" s="337"/>
    </row>
    <row r="7" spans="1:7" s="334" customFormat="1" ht="15.75" customHeight="1">
      <c r="A7" s="338" t="str">
        <f>txtMunicipality</f>
        <v>WORTEGEM-PETEGEM</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781.55094522476372</v>
      </c>
      <c r="D9" s="531">
        <f t="shared" ref="D9:R9" si="0">SUM(D10:D11)</f>
        <v>0</v>
      </c>
      <c r="E9" s="531">
        <f t="shared" si="0"/>
        <v>273.45401828932603</v>
      </c>
      <c r="F9" s="531">
        <f t="shared" si="0"/>
        <v>0</v>
      </c>
      <c r="G9" s="531">
        <f t="shared" si="0"/>
        <v>5.0763871592844962</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1060.0813506733741</v>
      </c>
      <c r="T9" s="66"/>
    </row>
    <row r="10" spans="1:20" s="382" customFormat="1">
      <c r="A10" s="870" t="s">
        <v>197</v>
      </c>
      <c r="B10" s="639"/>
      <c r="C10" s="531">
        <f>'Eigen gebouwen'!B6</f>
        <v>290.12094522476372</v>
      </c>
      <c r="D10" s="531">
        <f>'Eigen gebouwen'!C6</f>
        <v>0</v>
      </c>
      <c r="E10" s="531">
        <f>'Eigen gebouwen'!D6</f>
        <v>273.45401828932603</v>
      </c>
      <c r="F10" s="531">
        <f>'Eigen gebouwen'!E6</f>
        <v>0</v>
      </c>
      <c r="G10" s="531">
        <f>'Eigen gebouwen'!F6</f>
        <v>5.0763871592844962</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568.65135067337428</v>
      </c>
      <c r="T10" s="66"/>
    </row>
    <row r="11" spans="1:20" s="382" customFormat="1">
      <c r="A11" s="870" t="s">
        <v>410</v>
      </c>
      <c r="B11" s="639"/>
      <c r="C11" s="531">
        <f>'Eigen openbare verlichting'!B6</f>
        <v>491.43</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491.43</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6101.3454877642616</v>
      </c>
      <c r="D13" s="868">
        <f t="shared" ref="D13:P13" si="1">SUM(D14:D15)</f>
        <v>0</v>
      </c>
      <c r="E13" s="868">
        <f t="shared" si="1"/>
        <v>2367.351150810674</v>
      </c>
      <c r="F13" s="868">
        <f t="shared" si="1"/>
        <v>6.8638578544897104</v>
      </c>
      <c r="G13" s="868">
        <f t="shared" si="1"/>
        <v>640.8952965094453</v>
      </c>
      <c r="H13" s="868">
        <f t="shared" si="1"/>
        <v>0</v>
      </c>
      <c r="I13" s="868">
        <f t="shared" si="1"/>
        <v>6.7214250793526914E-2</v>
      </c>
      <c r="J13" s="868">
        <f t="shared" si="1"/>
        <v>0</v>
      </c>
      <c r="K13" s="868">
        <f t="shared" si="1"/>
        <v>3.2025397644372777E-3</v>
      </c>
      <c r="L13" s="868">
        <f t="shared" si="1"/>
        <v>0</v>
      </c>
      <c r="M13" s="868">
        <f t="shared" si="1"/>
        <v>0</v>
      </c>
      <c r="N13" s="868">
        <f t="shared" si="1"/>
        <v>0</v>
      </c>
      <c r="O13" s="868">
        <f t="shared" si="1"/>
        <v>0</v>
      </c>
      <c r="P13" s="868">
        <f t="shared" si="1"/>
        <v>127.04384818734142</v>
      </c>
      <c r="Q13" s="868">
        <f t="shared" ref="Q13" si="2">SUM(Q14:Q15)</f>
        <v>0</v>
      </c>
      <c r="R13" s="869">
        <f t="shared" ref="R13" si="3">SUM(R14:R15)</f>
        <v>0</v>
      </c>
      <c r="S13" s="562">
        <f t="shared" ref="S13" si="4">SUM(C13:R13)</f>
        <v>9243.5700579167715</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6101.3454877642616</v>
      </c>
      <c r="D15" s="531">
        <f>tertiair!C17</f>
        <v>0</v>
      </c>
      <c r="E15" s="531">
        <f>tertiair!D17</f>
        <v>2367.351150810674</v>
      </c>
      <c r="F15" s="531">
        <f>tertiair!E17</f>
        <v>6.8638578544897104</v>
      </c>
      <c r="G15" s="531">
        <f>tertiair!F17</f>
        <v>640.8952965094453</v>
      </c>
      <c r="H15" s="531" t="str">
        <f>tertiair!G17</f>
        <v>NE</v>
      </c>
      <c r="I15" s="531">
        <f>tertiair!H17</f>
        <v>6.7214250793526914E-2</v>
      </c>
      <c r="J15" s="531" t="str">
        <f>tertiair!I17</f>
        <v>NE</v>
      </c>
      <c r="K15" s="531">
        <f>tertiair!J17</f>
        <v>3.2025397644372777E-3</v>
      </c>
      <c r="L15" s="531" t="str">
        <f>tertiair!K17</f>
        <v>NE</v>
      </c>
      <c r="M15" s="531" t="str">
        <f>tertiair!L17</f>
        <v>IE</v>
      </c>
      <c r="N15" s="531" t="str">
        <f>tertiair!M17</f>
        <v>IE</v>
      </c>
      <c r="O15" s="531" t="str">
        <f>tertiair!N17</f>
        <v>IE</v>
      </c>
      <c r="P15" s="531">
        <f>tertiair!O17</f>
        <v>127.04384818734142</v>
      </c>
      <c r="Q15" s="531" t="str">
        <f>tertiair!P17</f>
        <v>NE</v>
      </c>
      <c r="R15" s="869" t="str">
        <f>tertiair!Q17</f>
        <v>NE</v>
      </c>
      <c r="S15" s="562">
        <f>SUM(C15:R15)</f>
        <v>9243.5700579167715</v>
      </c>
      <c r="T15" s="66"/>
    </row>
    <row r="16" spans="1:20" s="382" customFormat="1">
      <c r="A16" s="634" t="s">
        <v>644</v>
      </c>
      <c r="B16" s="639"/>
      <c r="C16" s="531">
        <f>huishoudens!B9</f>
        <v>9385.8900201402139</v>
      </c>
      <c r="D16" s="531">
        <f>huishoudens!C9</f>
        <v>48.294000003863509</v>
      </c>
      <c r="E16" s="531">
        <f>huishoudens!D9</f>
        <v>11386.898248740001</v>
      </c>
      <c r="F16" s="531">
        <f>huishoudens!E9</f>
        <v>1028.1956578813113</v>
      </c>
      <c r="G16" s="531">
        <f>huishoudens!F9</f>
        <v>16630.773300475081</v>
      </c>
      <c r="H16" s="531" t="str">
        <f>huishoudens!G9</f>
        <v>NE</v>
      </c>
      <c r="I16" s="531" t="str">
        <f>huishoudens!H9</f>
        <v>NE</v>
      </c>
      <c r="J16" s="531" t="str">
        <f>huishoudens!I9</f>
        <v xml:space="preserve">NE </v>
      </c>
      <c r="K16" s="531">
        <f>huishoudens!J9</f>
        <v>133.93356386793559</v>
      </c>
      <c r="L16" s="531" t="str">
        <f>huishoudens!K9</f>
        <v>NE</v>
      </c>
      <c r="M16" s="531">
        <f>huishoudens!L9</f>
        <v>0</v>
      </c>
      <c r="N16" s="531">
        <f>huishoudens!M9</f>
        <v>0</v>
      </c>
      <c r="O16" s="531" t="str">
        <f>huishoudens!N9</f>
        <v>NE</v>
      </c>
      <c r="P16" s="531">
        <f>huishoudens!O9</f>
        <v>3891.3186404345779</v>
      </c>
      <c r="Q16" s="531" t="str">
        <f>huishoudens!P9</f>
        <v>NE</v>
      </c>
      <c r="R16" s="869" t="str">
        <f>huishoudens!Q9</f>
        <v>NE</v>
      </c>
      <c r="S16" s="562">
        <f>SUM(C16:R16)</f>
        <v>42505.303431542983</v>
      </c>
      <c r="T16" s="66"/>
    </row>
    <row r="17" spans="1:20" s="382" customFormat="1">
      <c r="A17" s="634" t="s">
        <v>495</v>
      </c>
      <c r="B17" s="643" t="s">
        <v>493</v>
      </c>
      <c r="C17" s="531">
        <f>industrie!B19</f>
        <v>2505.0222268678526</v>
      </c>
      <c r="D17" s="531">
        <f>industrie!C19</f>
        <v>0</v>
      </c>
      <c r="E17" s="531">
        <f>industrie!D19</f>
        <v>407.92305309000005</v>
      </c>
      <c r="F17" s="531">
        <f>industrie!E19</f>
        <v>36.296498661059843</v>
      </c>
      <c r="G17" s="531">
        <f>industrie!F19</f>
        <v>2124.5239494956777</v>
      </c>
      <c r="H17" s="531" t="str">
        <f>industrie!G19</f>
        <v>NE</v>
      </c>
      <c r="I17" s="531">
        <f>industrie!H19</f>
        <v>0</v>
      </c>
      <c r="J17" s="531" t="str">
        <f>industrie!I19</f>
        <v>NE</v>
      </c>
      <c r="K17" s="531">
        <f>industrie!J19</f>
        <v>1.684461643315935</v>
      </c>
      <c r="L17" s="531" t="str">
        <f>industrie!K19</f>
        <v>NE</v>
      </c>
      <c r="M17" s="531" t="str">
        <f>industrie!L19</f>
        <v>IE</v>
      </c>
      <c r="N17" s="531" t="str">
        <f>industrie!M19</f>
        <v>IE</v>
      </c>
      <c r="O17" s="531" t="str">
        <f>industrie!N19</f>
        <v>IE</v>
      </c>
      <c r="P17" s="531">
        <f>industrie!O19</f>
        <v>147.34879541118437</v>
      </c>
      <c r="Q17" s="531" t="str">
        <f>industrie!P19</f>
        <v>NE</v>
      </c>
      <c r="R17" s="869" t="str">
        <f>industrie!Q19</f>
        <v>NE</v>
      </c>
      <c r="S17" s="562">
        <f>SUM(C17:R17)</f>
        <v>5222.7989851690909</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18773.808679997092</v>
      </c>
      <c r="D20" s="564">
        <f>SUM(D9,D13,D16,D17,D18,D19)</f>
        <v>48.294000003863509</v>
      </c>
      <c r="E20" s="564">
        <f t="shared" ref="E20:R20" si="5">SUM(E9,E13,E16,E17,E18,E19)</f>
        <v>14435.626470930001</v>
      </c>
      <c r="F20" s="564">
        <f t="shared" si="5"/>
        <v>1071.3560143968607</v>
      </c>
      <c r="G20" s="564">
        <f t="shared" si="5"/>
        <v>19401.268933639487</v>
      </c>
      <c r="H20" s="564">
        <f t="shared" si="5"/>
        <v>0</v>
      </c>
      <c r="I20" s="564">
        <f t="shared" si="5"/>
        <v>6.7214250793526914E-2</v>
      </c>
      <c r="J20" s="564">
        <f t="shared" si="5"/>
        <v>0</v>
      </c>
      <c r="K20" s="564">
        <f t="shared" si="5"/>
        <v>135.62122805101595</v>
      </c>
      <c r="L20" s="564">
        <f t="shared" si="5"/>
        <v>0</v>
      </c>
      <c r="M20" s="564">
        <f t="shared" si="5"/>
        <v>0</v>
      </c>
      <c r="N20" s="564">
        <f t="shared" si="5"/>
        <v>0</v>
      </c>
      <c r="O20" s="564">
        <f t="shared" si="5"/>
        <v>0</v>
      </c>
      <c r="P20" s="564">
        <f t="shared" si="5"/>
        <v>4165.7112840331038</v>
      </c>
      <c r="Q20" s="564">
        <f t="shared" si="5"/>
        <v>0</v>
      </c>
      <c r="R20" s="564">
        <f t="shared" si="5"/>
        <v>0</v>
      </c>
      <c r="S20" s="564">
        <f>SUM(C20:R20)</f>
        <v>58031.753825302214</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9.2470210000000002</v>
      </c>
      <c r="F22" s="531">
        <f t="shared" si="6"/>
        <v>0</v>
      </c>
      <c r="G22" s="531">
        <f t="shared" si="6"/>
        <v>0</v>
      </c>
      <c r="H22" s="531">
        <f t="shared" si="6"/>
        <v>146.59158901021152</v>
      </c>
      <c r="I22" s="531">
        <f t="shared" si="6"/>
        <v>4.1615978754657377</v>
      </c>
      <c r="J22" s="531">
        <f t="shared" si="6"/>
        <v>0</v>
      </c>
      <c r="K22" s="531">
        <f t="shared" si="6"/>
        <v>0</v>
      </c>
      <c r="L22" s="531">
        <f t="shared" si="6"/>
        <v>0</v>
      </c>
      <c r="M22" s="531">
        <f t="shared" si="6"/>
        <v>0</v>
      </c>
      <c r="N22" s="531">
        <f t="shared" si="6"/>
        <v>17.883773114322757</v>
      </c>
      <c r="O22" s="531">
        <f t="shared" si="6"/>
        <v>0</v>
      </c>
      <c r="P22" s="531">
        <f t="shared" si="6"/>
        <v>0</v>
      </c>
      <c r="Q22" s="531">
        <f t="shared" si="6"/>
        <v>0</v>
      </c>
      <c r="R22" s="869">
        <f t="shared" si="6"/>
        <v>0</v>
      </c>
      <c r="S22" s="950">
        <f>SUM(C22:R22)</f>
        <v>177.88398100000001</v>
      </c>
      <c r="T22" s="66"/>
    </row>
    <row r="23" spans="1:20" s="382" customFormat="1">
      <c r="A23" s="870" t="s">
        <v>645</v>
      </c>
      <c r="B23" s="639"/>
      <c r="C23" s="531">
        <f>'Eigen vloot'!B27</f>
        <v>0</v>
      </c>
      <c r="D23" s="531" t="str">
        <f>'Eigen vloot'!C27</f>
        <v>NO</v>
      </c>
      <c r="E23" s="531">
        <f>'Eigen vloot'!D27</f>
        <v>9.2470210000000002</v>
      </c>
      <c r="F23" s="531">
        <f>'Eigen vloot'!E27</f>
        <v>0</v>
      </c>
      <c r="G23" s="531" t="str">
        <f>'Eigen vloot'!F27</f>
        <v>NO</v>
      </c>
      <c r="H23" s="531">
        <f>'Eigen vloot'!G27</f>
        <v>146.59158901021152</v>
      </c>
      <c r="I23" s="531">
        <f>'Eigen vloot'!H27</f>
        <v>4.1615978754657377</v>
      </c>
      <c r="J23" s="531" t="str">
        <f>'Eigen vloot'!I27</f>
        <v>NO</v>
      </c>
      <c r="K23" s="531" t="str">
        <f>'Eigen vloot'!J27</f>
        <v>NO</v>
      </c>
      <c r="L23" s="531" t="str">
        <f>'Eigen vloot'!K27</f>
        <v>NO</v>
      </c>
      <c r="M23" s="531" t="str">
        <f>'Eigen vloot'!M27</f>
        <v>NO</v>
      </c>
      <c r="N23" s="531">
        <f>'Eigen vloot'!N27</f>
        <v>17.883773114322757</v>
      </c>
      <c r="O23" s="531" t="str">
        <f>'Eigen vloot'!O27</f>
        <v>NO</v>
      </c>
      <c r="P23" s="531" t="str">
        <f>'Eigen vloot'!P27</f>
        <v>NO</v>
      </c>
      <c r="Q23" s="531" t="str">
        <f>'Eigen vloot'!Q27</f>
        <v>NO</v>
      </c>
      <c r="R23" s="869">
        <f>'Eigen vloot'!R27</f>
        <v>0</v>
      </c>
      <c r="S23" s="562">
        <f>SUM(C23:R23)</f>
        <v>177.88398100000001</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8.1063406210798181</v>
      </c>
      <c r="D25" s="531">
        <f t="shared" ref="D25:R25" si="7">SUM(D26:D29)</f>
        <v>0</v>
      </c>
      <c r="E25" s="531">
        <f t="shared" si="7"/>
        <v>0</v>
      </c>
      <c r="F25" s="531">
        <f t="shared" si="7"/>
        <v>0</v>
      </c>
      <c r="G25" s="531">
        <f t="shared" si="7"/>
        <v>0</v>
      </c>
      <c r="H25" s="531">
        <f t="shared" si="7"/>
        <v>456.305652065591</v>
      </c>
      <c r="I25" s="531">
        <f t="shared" si="7"/>
        <v>0</v>
      </c>
      <c r="J25" s="531">
        <f t="shared" si="7"/>
        <v>0</v>
      </c>
      <c r="K25" s="531">
        <f t="shared" si="7"/>
        <v>0</v>
      </c>
      <c r="L25" s="531">
        <f t="shared" si="7"/>
        <v>0</v>
      </c>
      <c r="M25" s="531">
        <f t="shared" si="7"/>
        <v>0</v>
      </c>
      <c r="N25" s="531">
        <f t="shared" si="7"/>
        <v>0</v>
      </c>
      <c r="O25" s="531">
        <f t="shared" si="7"/>
        <v>54.626627748569234</v>
      </c>
      <c r="P25" s="531">
        <f t="shared" si="7"/>
        <v>0</v>
      </c>
      <c r="Q25" s="531">
        <f t="shared" si="7"/>
        <v>0</v>
      </c>
      <c r="R25" s="869">
        <f t="shared" si="7"/>
        <v>0</v>
      </c>
      <c r="S25" s="562">
        <f>SUM(C25:R25)</f>
        <v>519.03862043524009</v>
      </c>
      <c r="T25" s="66"/>
    </row>
    <row r="26" spans="1:20" s="382" customFormat="1">
      <c r="A26" s="870" t="s">
        <v>645</v>
      </c>
      <c r="B26" s="867"/>
      <c r="C26" s="868">
        <f>transport!B51*10^9/3600</f>
        <v>8.1063406210798181</v>
      </c>
      <c r="D26" s="868">
        <f>transport!C51*10^9/3600</f>
        <v>0</v>
      </c>
      <c r="E26" s="868">
        <f>transport!D51*10^9/3600</f>
        <v>0</v>
      </c>
      <c r="F26" s="868">
        <f>transport!E51*10^9/3600</f>
        <v>0</v>
      </c>
      <c r="G26" s="868">
        <f>transport!F51*10^9/3600</f>
        <v>0</v>
      </c>
      <c r="H26" s="868">
        <f>transport!G51*10^9/3600</f>
        <v>456.305652065591</v>
      </c>
      <c r="I26" s="868">
        <f>transport!H51*10^9/3600</f>
        <v>0</v>
      </c>
      <c r="J26" s="868">
        <f>transport!I51*10^9/3600</f>
        <v>0</v>
      </c>
      <c r="K26" s="868">
        <f>transport!J51*10^9/3600</f>
        <v>0</v>
      </c>
      <c r="L26" s="868">
        <f>transport!K51*10^9/3600</f>
        <v>0</v>
      </c>
      <c r="M26" s="868">
        <f>transport!L51*10^9/3600</f>
        <v>0</v>
      </c>
      <c r="N26" s="868">
        <f>transport!M51*10^9/3600</f>
        <v>0</v>
      </c>
      <c r="O26" s="868">
        <f>transport!N51*10^9/3600</f>
        <v>54.626627748569234</v>
      </c>
      <c r="P26" s="868">
        <f>transport!O51*10^9/3600</f>
        <v>0</v>
      </c>
      <c r="Q26" s="868">
        <f>transport!P51*10^9/3600</f>
        <v>0</v>
      </c>
      <c r="R26" s="868">
        <f>transport!Q51*10^9/3600</f>
        <v>0</v>
      </c>
      <c r="S26" s="562">
        <f>SUM(C26:R26)</f>
        <v>519.03862043524009</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537.71924173722903</v>
      </c>
      <c r="D30" s="868">
        <f t="shared" ref="D30:R30" si="9">SUM(D31:D35)</f>
        <v>0</v>
      </c>
      <c r="E30" s="868">
        <f t="shared" si="9"/>
        <v>164.89289235118522</v>
      </c>
      <c r="F30" s="868">
        <f t="shared" si="9"/>
        <v>74.584827006418905</v>
      </c>
      <c r="G30" s="868">
        <f t="shared" si="9"/>
        <v>0</v>
      </c>
      <c r="H30" s="868">
        <f t="shared" si="9"/>
        <v>20558.363397796715</v>
      </c>
      <c r="I30" s="868">
        <f t="shared" si="9"/>
        <v>11825.078398019474</v>
      </c>
      <c r="J30" s="868">
        <f t="shared" si="9"/>
        <v>0</v>
      </c>
      <c r="K30" s="868">
        <f t="shared" si="9"/>
        <v>0</v>
      </c>
      <c r="L30" s="868">
        <f t="shared" si="9"/>
        <v>0</v>
      </c>
      <c r="M30" s="868">
        <f t="shared" si="9"/>
        <v>0</v>
      </c>
      <c r="N30" s="868">
        <f t="shared" si="9"/>
        <v>0</v>
      </c>
      <c r="O30" s="868">
        <f t="shared" si="9"/>
        <v>3411.7944011158888</v>
      </c>
      <c r="P30" s="868">
        <f t="shared" si="9"/>
        <v>0</v>
      </c>
      <c r="Q30" s="868">
        <f t="shared" si="9"/>
        <v>0</v>
      </c>
      <c r="R30" s="869">
        <f t="shared" si="9"/>
        <v>0</v>
      </c>
      <c r="S30" s="562">
        <f>SUM(C30:R30)</f>
        <v>36572.433158026914</v>
      </c>
      <c r="T30" s="66"/>
    </row>
    <row r="31" spans="1:20" s="382" customFormat="1">
      <c r="A31" s="870" t="s">
        <v>645</v>
      </c>
      <c r="B31" s="639"/>
      <c r="C31" s="531">
        <f>transport!B14</f>
        <v>537.71924173722903</v>
      </c>
      <c r="D31" s="531" t="str">
        <f>transport!C14</f>
        <v>NO</v>
      </c>
      <c r="E31" s="531">
        <f>transport!D14</f>
        <v>164.89289235118522</v>
      </c>
      <c r="F31" s="531">
        <f>transport!E14</f>
        <v>74.584827006418905</v>
      </c>
      <c r="G31" s="531" t="str">
        <f>transport!F14</f>
        <v>NO</v>
      </c>
      <c r="H31" s="531">
        <f>transport!G14</f>
        <v>20558.363397796715</v>
      </c>
      <c r="I31" s="531">
        <f>transport!H14</f>
        <v>11825.078398019474</v>
      </c>
      <c r="J31" s="531" t="str">
        <f>transport!I14</f>
        <v>NO</v>
      </c>
      <c r="K31" s="531" t="str">
        <f>transport!J14</f>
        <v>NO</v>
      </c>
      <c r="L31" s="531" t="str">
        <f>transport!K14</f>
        <v>NO</v>
      </c>
      <c r="M31" s="531" t="str">
        <f>transport!L14</f>
        <v>NO</v>
      </c>
      <c r="N31" s="531" t="str">
        <f>transport!M14</f>
        <v>NO</v>
      </c>
      <c r="O31" s="531">
        <f>transport!N14</f>
        <v>3411.7944011158888</v>
      </c>
      <c r="P31" s="531" t="str">
        <f>transport!O14</f>
        <v>NO</v>
      </c>
      <c r="Q31" s="531" t="str">
        <f>transport!P14</f>
        <v>NO</v>
      </c>
      <c r="R31" s="869" t="str">
        <f>transport!Q14</f>
        <v>NO</v>
      </c>
      <c r="S31" s="562">
        <f>SUM(C31:R31)</f>
        <v>36572.433158026914</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545.82558235830879</v>
      </c>
      <c r="D37" s="637">
        <f t="shared" ref="D37:R37" si="10">SUM(D22,D25,D30,D36)</f>
        <v>0</v>
      </c>
      <c r="E37" s="637">
        <f t="shared" si="10"/>
        <v>174.13991335118521</v>
      </c>
      <c r="F37" s="637">
        <f t="shared" si="10"/>
        <v>74.584827006418905</v>
      </c>
      <c r="G37" s="637">
        <f t="shared" si="10"/>
        <v>0</v>
      </c>
      <c r="H37" s="637">
        <f t="shared" si="10"/>
        <v>21161.260638872518</v>
      </c>
      <c r="I37" s="637">
        <f t="shared" si="10"/>
        <v>11829.239995894939</v>
      </c>
      <c r="J37" s="637">
        <f t="shared" si="10"/>
        <v>0</v>
      </c>
      <c r="K37" s="637">
        <f t="shared" si="10"/>
        <v>0</v>
      </c>
      <c r="L37" s="637">
        <f t="shared" si="10"/>
        <v>0</v>
      </c>
      <c r="M37" s="637">
        <f t="shared" si="10"/>
        <v>0</v>
      </c>
      <c r="N37" s="637">
        <f t="shared" si="10"/>
        <v>17.883773114322757</v>
      </c>
      <c r="O37" s="637">
        <f t="shared" si="10"/>
        <v>3466.4210288644581</v>
      </c>
      <c r="P37" s="637">
        <f t="shared" si="10"/>
        <v>0</v>
      </c>
      <c r="Q37" s="637">
        <f t="shared" si="10"/>
        <v>0</v>
      </c>
      <c r="R37" s="637">
        <f t="shared" si="10"/>
        <v>0</v>
      </c>
      <c r="S37" s="637">
        <f>SUM(C37:R37)</f>
        <v>37269.355759462152</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1500.33339652007</v>
      </c>
      <c r="D39" s="531">
        <f>+landbouw!C9</f>
        <v>183.53510238200886</v>
      </c>
      <c r="E39" s="531">
        <f>+landbouw!D9</f>
        <v>62.691533519999993</v>
      </c>
      <c r="F39" s="531">
        <f>+landbouw!E9</f>
        <v>53.181446869850916</v>
      </c>
      <c r="G39" s="531">
        <f>+landbouw!F9</f>
        <v>5383.8061381734906</v>
      </c>
      <c r="H39" s="531" t="str">
        <f>+landbouw!G9</f>
        <v>NE</v>
      </c>
      <c r="I39" s="531" t="str">
        <f>+landbouw!H9</f>
        <v>NE</v>
      </c>
      <c r="J39" s="531" t="str">
        <f>+landbouw!I9</f>
        <v>NE</v>
      </c>
      <c r="K39" s="531">
        <f>+landbouw!J9</f>
        <v>171.22770221572992</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7354.77531968115</v>
      </c>
      <c r="T39" s="66"/>
    </row>
    <row r="40" spans="1:20" s="382" customFormat="1" ht="15" thickBot="1">
      <c r="A40" s="654" t="s">
        <v>537</v>
      </c>
      <c r="B40" s="748"/>
      <c r="C40" s="749">
        <f>IF(Onbekend_ele_kWh="---",0,Onbekend_ele_kWh)/1000+IF(REST_rest_ele_kWh="---",0,REST_rest_ele_kWh)/1000</f>
        <v>354.45309000000003</v>
      </c>
      <c r="D40" s="749" t="s">
        <v>637</v>
      </c>
      <c r="E40" s="749">
        <f>IF(onbekend_gas_kWh="---",0,onbekend_gas_kWh)/1000+IF(REST_rest_gas_kWh="---",0,REST_rest_gas_kWh)/1000</f>
        <v>165.05667000000003</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519.50976000000003</v>
      </c>
      <c r="T40" s="66"/>
    </row>
    <row r="41" spans="1:20" s="382" customFormat="1" ht="15.75" thickBot="1">
      <c r="A41" s="537" t="s">
        <v>538</v>
      </c>
      <c r="B41" s="642"/>
      <c r="C41" s="637">
        <f>SUM(C39:C40)</f>
        <v>1854.78648652007</v>
      </c>
      <c r="D41" s="637">
        <f t="shared" ref="D41:R41" si="11">SUM(D39:D40)</f>
        <v>183.53510238200886</v>
      </c>
      <c r="E41" s="637">
        <f t="shared" si="11"/>
        <v>227.74820352</v>
      </c>
      <c r="F41" s="637">
        <f t="shared" si="11"/>
        <v>53.181446869850916</v>
      </c>
      <c r="G41" s="637">
        <f t="shared" si="11"/>
        <v>5383.8061381734906</v>
      </c>
      <c r="H41" s="637">
        <f t="shared" si="11"/>
        <v>0</v>
      </c>
      <c r="I41" s="637">
        <f t="shared" si="11"/>
        <v>0</v>
      </c>
      <c r="J41" s="637">
        <f t="shared" si="11"/>
        <v>0</v>
      </c>
      <c r="K41" s="637">
        <f t="shared" si="11"/>
        <v>171.22770221572992</v>
      </c>
      <c r="L41" s="637">
        <f t="shared" si="11"/>
        <v>0</v>
      </c>
      <c r="M41" s="637">
        <f t="shared" si="11"/>
        <v>0</v>
      </c>
      <c r="N41" s="637">
        <f t="shared" si="11"/>
        <v>0</v>
      </c>
      <c r="O41" s="637">
        <f t="shared" si="11"/>
        <v>0</v>
      </c>
      <c r="P41" s="637">
        <f t="shared" si="11"/>
        <v>0</v>
      </c>
      <c r="Q41" s="637">
        <f t="shared" si="11"/>
        <v>0</v>
      </c>
      <c r="R41" s="637">
        <f t="shared" si="11"/>
        <v>0</v>
      </c>
      <c r="S41" s="637">
        <f>SUM(C41:R41)</f>
        <v>7874.2850796811499</v>
      </c>
      <c r="T41" s="66"/>
    </row>
    <row r="42" spans="1:20" s="382" customFormat="1" ht="17.25" thickTop="1" thickBot="1">
      <c r="A42" s="538" t="s">
        <v>96</v>
      </c>
      <c r="B42" s="630"/>
      <c r="C42" s="539">
        <f t="shared" ref="C42:S42" si="12">C37+C20+C41</f>
        <v>21174.420748875469</v>
      </c>
      <c r="D42" s="539">
        <f t="shared" si="12"/>
        <v>231.82910238587237</v>
      </c>
      <c r="E42" s="539">
        <f t="shared" si="12"/>
        <v>14837.514587801186</v>
      </c>
      <c r="F42" s="539">
        <f t="shared" si="12"/>
        <v>1199.1222882731306</v>
      </c>
      <c r="G42" s="539">
        <f t="shared" si="12"/>
        <v>24785.075071812978</v>
      </c>
      <c r="H42" s="539">
        <f t="shared" si="12"/>
        <v>21161.260638872518</v>
      </c>
      <c r="I42" s="539">
        <f t="shared" si="12"/>
        <v>11829.307210145733</v>
      </c>
      <c r="J42" s="539">
        <f t="shared" si="12"/>
        <v>0</v>
      </c>
      <c r="K42" s="539">
        <f t="shared" si="12"/>
        <v>306.84893026674587</v>
      </c>
      <c r="L42" s="539">
        <f t="shared" si="12"/>
        <v>0</v>
      </c>
      <c r="M42" s="539">
        <f t="shared" si="12"/>
        <v>0</v>
      </c>
      <c r="N42" s="539">
        <f t="shared" si="12"/>
        <v>17.883773114322757</v>
      </c>
      <c r="O42" s="539">
        <f t="shared" si="12"/>
        <v>3466.4210288644581</v>
      </c>
      <c r="P42" s="539">
        <f t="shared" si="12"/>
        <v>4165.7112840331038</v>
      </c>
      <c r="Q42" s="539">
        <f t="shared" si="12"/>
        <v>0</v>
      </c>
      <c r="R42" s="539">
        <f t="shared" si="12"/>
        <v>0</v>
      </c>
      <c r="S42" s="539">
        <f t="shared" si="12"/>
        <v>103175.39466444553</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114.09557047723493</v>
      </c>
      <c r="D55" s="531">
        <f t="shared" ref="D55:R55" si="13">SUM(D56:D58)</f>
        <v>0</v>
      </c>
      <c r="E55" s="531">
        <f t="shared" si="13"/>
        <v>55.23771169444386</v>
      </c>
      <c r="F55" s="531">
        <f t="shared" si="13"/>
        <v>0</v>
      </c>
      <c r="G55" s="531">
        <f t="shared" si="13"/>
        <v>1.3553953715289606</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170.68867754320775</v>
      </c>
    </row>
    <row r="56" spans="1:19">
      <c r="A56" s="899" t="s">
        <v>197</v>
      </c>
      <c r="B56" s="652"/>
      <c r="C56" s="531">
        <f>'Eigen gebouwen'!B10</f>
        <v>42.353623848915547</v>
      </c>
      <c r="D56" s="531">
        <f>'Eigen gebouwen'!C10</f>
        <v>0</v>
      </c>
      <c r="E56" s="531">
        <f>'Eigen gebouwen'!D10</f>
        <v>55.23771169444386</v>
      </c>
      <c r="F56" s="531">
        <f>'Eigen gebouwen'!E10</f>
        <v>0</v>
      </c>
      <c r="G56" s="531">
        <f>'Eigen gebouwen'!F10</f>
        <v>1.3553953715289606</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98.946730914888363</v>
      </c>
    </row>
    <row r="57" spans="1:19">
      <c r="A57" s="900" t="s">
        <v>410</v>
      </c>
      <c r="B57" s="652"/>
      <c r="C57" s="531">
        <f>'Eigen openbare verlichting'!B10</f>
        <v>71.741946628319383</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71.741946628319383</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890.71160153861365</v>
      </c>
      <c r="D59" s="868">
        <f t="shared" ref="D59:R59" si="15">SUM(D60:D61)</f>
        <v>0</v>
      </c>
      <c r="E59" s="868">
        <f t="shared" si="15"/>
        <v>478.20493246375617</v>
      </c>
      <c r="F59" s="868">
        <f t="shared" si="15"/>
        <v>1.5580957329691643</v>
      </c>
      <c r="G59" s="868">
        <f t="shared" si="15"/>
        <v>171.1190441680219</v>
      </c>
      <c r="H59" s="868">
        <f t="shared" si="15"/>
        <v>0</v>
      </c>
      <c r="I59" s="868">
        <f t="shared" si="15"/>
        <v>1.6736348447588201E-2</v>
      </c>
      <c r="J59" s="868">
        <f t="shared" si="15"/>
        <v>0</v>
      </c>
      <c r="K59" s="868">
        <f t="shared" si="15"/>
        <v>1.1336990766107962E-3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1541.6115439508853</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890.71160153861365</v>
      </c>
      <c r="D61" s="531">
        <f>tertiair!C21</f>
        <v>0</v>
      </c>
      <c r="E61" s="531">
        <f>tertiair!D21</f>
        <v>478.20493246375617</v>
      </c>
      <c r="F61" s="531">
        <f>tertiair!E21</f>
        <v>1.5580957329691643</v>
      </c>
      <c r="G61" s="531">
        <f>tertiair!F21</f>
        <v>171.1190441680219</v>
      </c>
      <c r="H61" s="531" t="str">
        <f>tertiair!G21</f>
        <v>NE</v>
      </c>
      <c r="I61" s="531">
        <f>tertiair!H21</f>
        <v>1.6736348447588201E-2</v>
      </c>
      <c r="J61" s="531" t="str">
        <f>tertiair!I21</f>
        <v>NE</v>
      </c>
      <c r="K61" s="531">
        <f>tertiair!J21</f>
        <v>1.1336990766107962E-3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1541.6115439508853</v>
      </c>
    </row>
    <row r="62" spans="1:19" ht="14.45" customHeight="1">
      <c r="A62" s="647" t="s">
        <v>644</v>
      </c>
      <c r="B62" s="652"/>
      <c r="C62" s="531">
        <f>huishoudens!B13</f>
        <v>1370.2094314229387</v>
      </c>
      <c r="D62" s="531">
        <f>huishoudens!C13</f>
        <v>3.2792363600250276</v>
      </c>
      <c r="E62" s="531">
        <f>huishoudens!D13</f>
        <v>2300.1534462454802</v>
      </c>
      <c r="F62" s="531">
        <f>huishoudens!E13</f>
        <v>233.40041433905768</v>
      </c>
      <c r="G62" s="531">
        <f>huishoudens!F13</f>
        <v>4440.4164712268466</v>
      </c>
      <c r="H62" s="531" t="str">
        <f>huishoudens!G13</f>
        <v>NE</v>
      </c>
      <c r="I62" s="531" t="str">
        <f>huishoudens!H13</f>
        <v>NE</v>
      </c>
      <c r="J62" s="531" t="str">
        <f>huishoudens!I13</f>
        <v>NE</v>
      </c>
      <c r="K62" s="531">
        <f>huishoudens!J13</f>
        <v>47.412481609249198</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8394.8714812035978</v>
      </c>
    </row>
    <row r="63" spans="1:19">
      <c r="A63" s="647" t="s">
        <v>496</v>
      </c>
      <c r="B63" s="660" t="s">
        <v>493</v>
      </c>
      <c r="C63" s="531">
        <f>industrie!B23</f>
        <v>365.69841259733278</v>
      </c>
      <c r="D63" s="531">
        <f>industrie!C23</f>
        <v>0</v>
      </c>
      <c r="E63" s="531">
        <f>industrie!D23</f>
        <v>82.400456724180017</v>
      </c>
      <c r="F63" s="531">
        <f>industrie!E23</f>
        <v>8.2393051960605845</v>
      </c>
      <c r="G63" s="531">
        <f>industrie!F23</f>
        <v>567.24789451534593</v>
      </c>
      <c r="H63" s="531" t="str">
        <f>industrie!G23</f>
        <v>NE</v>
      </c>
      <c r="I63" s="531">
        <f>industrie!H23</f>
        <v>0</v>
      </c>
      <c r="J63" s="531" t="str">
        <f>industrie!I23</f>
        <v>NE</v>
      </c>
      <c r="K63" s="531">
        <f>industrie!J23</f>
        <v>0.59629942173384098</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1024.1823684546532</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2740.7150160361198</v>
      </c>
      <c r="D66" s="564">
        <f t="shared" ref="D66:E66" si="17">SUM(D55,D59,D62,D63,D64,D65)</f>
        <v>3.2792363600250276</v>
      </c>
      <c r="E66" s="564">
        <f t="shared" si="17"/>
        <v>2915.9965471278601</v>
      </c>
      <c r="F66" s="564">
        <f t="shared" ref="F66" si="18">SUM(F55,F59,F62,F63,F64,F65)</f>
        <v>243.19781526808742</v>
      </c>
      <c r="G66" s="564">
        <f t="shared" ref="G66" si="19">SUM(G55,G59,G62,G63,G64,G65)</f>
        <v>5180.1388052817438</v>
      </c>
      <c r="H66" s="564">
        <f t="shared" ref="H66" si="20">SUM(H55,H59,H62,H63,H64,H65)</f>
        <v>0</v>
      </c>
      <c r="I66" s="564">
        <f t="shared" ref="I66" si="21">SUM(I55,I59,I62,I63,I64,I65)</f>
        <v>1.6736348447588201E-2</v>
      </c>
      <c r="J66" s="564">
        <f t="shared" ref="J66" si="22">SUM(J55,J59,J62,J63,J64,J65)</f>
        <v>0</v>
      </c>
      <c r="K66" s="564">
        <f t="shared" ref="K66" si="23">SUM(K55,K59,K62,K63,K64,K65)</f>
        <v>48.009914730059648</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11131.354071152342</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1.8678982420000001</v>
      </c>
      <c r="F68" s="531">
        <f t="shared" si="31"/>
        <v>0</v>
      </c>
      <c r="G68" s="531">
        <f t="shared" si="31"/>
        <v>0</v>
      </c>
      <c r="H68" s="531">
        <f t="shared" si="31"/>
        <v>39.13995426572648</v>
      </c>
      <c r="I68" s="531">
        <f t="shared" si="31"/>
        <v>1.0362378709909688</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42.044090378717449</v>
      </c>
    </row>
    <row r="69" spans="1:19">
      <c r="A69" s="900" t="s">
        <v>645</v>
      </c>
      <c r="B69" s="652"/>
      <c r="C69" s="531">
        <f>'Eigen vloot'!B31</f>
        <v>0</v>
      </c>
      <c r="D69" s="531" t="str">
        <f>'Eigen vloot'!C31</f>
        <v>NO</v>
      </c>
      <c r="E69" s="531">
        <f>'Eigen vloot'!D31</f>
        <v>1.8678982420000001</v>
      </c>
      <c r="F69" s="531">
        <f>'Eigen vloot'!E31</f>
        <v>0</v>
      </c>
      <c r="G69" s="531" t="str">
        <f>'Eigen vloot'!F31</f>
        <v>NO</v>
      </c>
      <c r="H69" s="531">
        <f>'Eigen vloot'!G31</f>
        <v>39.13995426572648</v>
      </c>
      <c r="I69" s="531">
        <f>'Eigen vloot'!H31</f>
        <v>1.0362378709909688</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42.044090378717449</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1.1834130113922343</v>
      </c>
      <c r="D71" s="531">
        <f t="shared" ref="D71:R71" si="32">SUM(D72:D75)</f>
        <v>0</v>
      </c>
      <c r="E71" s="531">
        <f t="shared" si="32"/>
        <v>0</v>
      </c>
      <c r="F71" s="531">
        <f t="shared" si="32"/>
        <v>0</v>
      </c>
      <c r="G71" s="531">
        <f t="shared" si="32"/>
        <v>0</v>
      </c>
      <c r="H71" s="531">
        <f t="shared" si="32"/>
        <v>121.83360910151283</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123.01702211290507</v>
      </c>
    </row>
    <row r="72" spans="1:19">
      <c r="A72" s="904" t="s">
        <v>645</v>
      </c>
      <c r="B72" s="903"/>
      <c r="C72" s="876">
        <f>transport!B51*transport!B56*10^9/3600</f>
        <v>1.1834130113922343</v>
      </c>
      <c r="D72" s="876">
        <f>transport!C51*transport!C56*10^9/3600</f>
        <v>0</v>
      </c>
      <c r="E72" s="876">
        <f>transport!D51*transport!D56*10^9/3600</f>
        <v>0</v>
      </c>
      <c r="F72" s="876">
        <f>transport!E51*transport!E56*10^9/3600</f>
        <v>0</v>
      </c>
      <c r="G72" s="876">
        <f>transport!F51*transport!F56*10^9/3600</f>
        <v>0</v>
      </c>
      <c r="H72" s="876">
        <f>transport!G51*transport!G56*10^9/3600</f>
        <v>121.83360910151283</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123.01702211290507</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78.499532266513341</v>
      </c>
      <c r="D76" s="876">
        <f t="shared" ref="D76:R76" si="34">SUM(D77:D81)</f>
        <v>0</v>
      </c>
      <c r="E76" s="876">
        <f t="shared" si="34"/>
        <v>33.30836425493942</v>
      </c>
      <c r="F76" s="876">
        <f t="shared" si="34"/>
        <v>16.930755730457093</v>
      </c>
      <c r="G76" s="876">
        <f t="shared" si="34"/>
        <v>0</v>
      </c>
      <c r="H76" s="876">
        <f t="shared" si="34"/>
        <v>5489.0830272117228</v>
      </c>
      <c r="I76" s="876">
        <f t="shared" si="34"/>
        <v>2944.4445211068492</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8562.2662005704824</v>
      </c>
    </row>
    <row r="77" spans="1:19">
      <c r="A77" s="905" t="s">
        <v>645</v>
      </c>
      <c r="B77" s="658"/>
      <c r="C77" s="536">
        <f>transport!B18</f>
        <v>78.499532266513341</v>
      </c>
      <c r="D77" s="536" t="str">
        <f>transport!C18</f>
        <v>NO</v>
      </c>
      <c r="E77" s="536">
        <f>transport!D18</f>
        <v>33.30836425493942</v>
      </c>
      <c r="F77" s="536">
        <f>transport!E18</f>
        <v>16.930755730457093</v>
      </c>
      <c r="G77" s="536" t="str">
        <f>transport!F18</f>
        <v>NO</v>
      </c>
      <c r="H77" s="536">
        <f>transport!G18</f>
        <v>5489.0830272117228</v>
      </c>
      <c r="I77" s="536">
        <f>transport!H18</f>
        <v>2944.4445211068492</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8562.2662005704824</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79.682945277905574</v>
      </c>
      <c r="D83" s="564">
        <f t="shared" ref="D83:R83" si="35">SUM(D68,D71,D76,D82)</f>
        <v>0</v>
      </c>
      <c r="E83" s="564">
        <f t="shared" si="35"/>
        <v>35.176262496939422</v>
      </c>
      <c r="F83" s="564">
        <f t="shared" si="35"/>
        <v>16.930755730457093</v>
      </c>
      <c r="G83" s="564">
        <f t="shared" si="35"/>
        <v>0</v>
      </c>
      <c r="H83" s="564">
        <f t="shared" si="35"/>
        <v>5650.0565905789617</v>
      </c>
      <c r="I83" s="564">
        <f t="shared" si="35"/>
        <v>2945.4807589778402</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8727.3273130621037</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219.0278136414708</v>
      </c>
      <c r="D85" s="536">
        <f>+landbouw!C13</f>
        <v>12.462313766179054</v>
      </c>
      <c r="E85" s="536">
        <f>+landbouw!D13</f>
        <v>12.66368977104</v>
      </c>
      <c r="F85" s="536">
        <f>+landbouw!E13</f>
        <v>12.072188439456159</v>
      </c>
      <c r="G85" s="536">
        <f>+landbouw!F13</f>
        <v>1437.476238892322</v>
      </c>
      <c r="H85" s="536" t="str">
        <f>+landbouw!G13</f>
        <v>NE</v>
      </c>
      <c r="I85" s="536" t="str">
        <f>+landbouw!H13</f>
        <v>NE</v>
      </c>
      <c r="J85" s="536" t="str">
        <f>+landbouw!I13</f>
        <v>NE</v>
      </c>
      <c r="K85" s="536">
        <f>+landbouw!J13</f>
        <v>60.614606584368389</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1754.3168510948365</v>
      </c>
    </row>
    <row r="86" spans="1:20" ht="15" thickBot="1">
      <c r="A86" s="650" t="s">
        <v>537</v>
      </c>
      <c r="B86" s="658"/>
      <c r="C86" s="536">
        <f>C40*'EF ele_warmte'!B13</f>
        <v>51.745222442713889</v>
      </c>
      <c r="D86" s="536" t="s">
        <v>637</v>
      </c>
      <c r="E86" s="536">
        <f>E40*EF_CO2_aardgas</f>
        <v>33.341447340000009</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85.086669782713898</v>
      </c>
    </row>
    <row r="87" spans="1:20" ht="15.75" thickBot="1">
      <c r="A87" s="648" t="s">
        <v>538</v>
      </c>
      <c r="B87" s="659"/>
      <c r="C87" s="564">
        <f>SUM(C85:C86)</f>
        <v>270.7730360841847</v>
      </c>
      <c r="D87" s="564">
        <f t="shared" ref="D87:R87" si="36">SUM(D85:D86)</f>
        <v>12.462313766179054</v>
      </c>
      <c r="E87" s="564">
        <f t="shared" si="36"/>
        <v>46.005137111040007</v>
      </c>
      <c r="F87" s="564">
        <f t="shared" si="36"/>
        <v>12.072188439456159</v>
      </c>
      <c r="G87" s="564">
        <f t="shared" si="36"/>
        <v>1437.476238892322</v>
      </c>
      <c r="H87" s="564">
        <f t="shared" si="36"/>
        <v>0</v>
      </c>
      <c r="I87" s="564">
        <f t="shared" si="36"/>
        <v>0</v>
      </c>
      <c r="J87" s="564">
        <f t="shared" si="36"/>
        <v>0</v>
      </c>
      <c r="K87" s="564">
        <f t="shared" si="36"/>
        <v>60.614606584368389</v>
      </c>
      <c r="L87" s="564">
        <f t="shared" si="36"/>
        <v>0</v>
      </c>
      <c r="M87" s="564">
        <f t="shared" si="36"/>
        <v>0</v>
      </c>
      <c r="N87" s="564">
        <f t="shared" si="36"/>
        <v>0</v>
      </c>
      <c r="O87" s="564">
        <f t="shared" si="36"/>
        <v>0</v>
      </c>
      <c r="P87" s="564">
        <f t="shared" si="36"/>
        <v>0</v>
      </c>
      <c r="Q87" s="564">
        <f t="shared" si="36"/>
        <v>0</v>
      </c>
      <c r="R87" s="565">
        <f t="shared" si="36"/>
        <v>0</v>
      </c>
      <c r="S87" s="566">
        <f>SUM(S85:S86)</f>
        <v>1839.4035208775504</v>
      </c>
    </row>
    <row r="88" spans="1:20" ht="16.5" thickBot="1">
      <c r="A88" s="661" t="s">
        <v>96</v>
      </c>
      <c r="B88" s="662"/>
      <c r="C88" s="569">
        <f t="shared" ref="C88:S88" si="37">C66+C83+C87</f>
        <v>3091.1709973982101</v>
      </c>
      <c r="D88" s="569">
        <f t="shared" si="37"/>
        <v>15.741550126204082</v>
      </c>
      <c r="E88" s="569">
        <f t="shared" si="37"/>
        <v>2997.1779467358392</v>
      </c>
      <c r="F88" s="569">
        <f t="shared" si="37"/>
        <v>272.20075943800072</v>
      </c>
      <c r="G88" s="569">
        <f t="shared" si="37"/>
        <v>6617.6150441740656</v>
      </c>
      <c r="H88" s="569">
        <f t="shared" si="37"/>
        <v>5650.0565905789617</v>
      </c>
      <c r="I88" s="569">
        <f t="shared" si="37"/>
        <v>2945.4974953262877</v>
      </c>
      <c r="J88" s="569">
        <f t="shared" si="37"/>
        <v>0</v>
      </c>
      <c r="K88" s="569">
        <f t="shared" si="37"/>
        <v>108.62452131442804</v>
      </c>
      <c r="L88" s="569">
        <f t="shared" si="37"/>
        <v>0</v>
      </c>
      <c r="M88" s="569">
        <f t="shared" si="37"/>
        <v>0</v>
      </c>
      <c r="N88" s="569">
        <f t="shared" si="37"/>
        <v>0</v>
      </c>
      <c r="O88" s="569">
        <f t="shared" si="37"/>
        <v>0</v>
      </c>
      <c r="P88" s="569">
        <f t="shared" si="37"/>
        <v>0</v>
      </c>
      <c r="Q88" s="569">
        <f t="shared" si="37"/>
        <v>0</v>
      </c>
      <c r="R88" s="569">
        <f t="shared" si="37"/>
        <v>0</v>
      </c>
      <c r="S88" s="569">
        <f t="shared" si="37"/>
        <v>21698.084905091997</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0.14598609492362977</v>
      </c>
      <c r="D90" s="613">
        <f t="shared" si="38"/>
        <v>6.7901527306967524E-2</v>
      </c>
      <c r="E90" s="758">
        <f t="shared" si="38"/>
        <v>0.20199999999999999</v>
      </c>
      <c r="F90" s="613">
        <f t="shared" si="38"/>
        <v>0.22700000000000006</v>
      </c>
      <c r="G90" s="613">
        <f t="shared" si="38"/>
        <v>0.26700000000000002</v>
      </c>
      <c r="H90" s="613">
        <f t="shared" si="38"/>
        <v>0.26699999999999996</v>
      </c>
      <c r="I90" s="613">
        <f t="shared" si="38"/>
        <v>0.24900000000000003</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7138.7976232012124</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53.564070813164221</v>
      </c>
      <c r="C103" s="582">
        <f>'lokale energieproductie'!B8*IFERROR(SUM(D103:F103,I103)/SUM(D103:F103,I103:L103),0)</f>
        <v>16.336779192427834</v>
      </c>
      <c r="D103" s="754">
        <f>'lokale energieproductie'!C8</f>
        <v>0</v>
      </c>
      <c r="E103" s="755">
        <f>'lokale energieproductie'!D8</f>
        <v>0</v>
      </c>
      <c r="F103" s="755">
        <f>'lokale energieproductie'!E8</f>
        <v>17.776683428595316</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58.28514413868232</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4.7463744754349495</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7192.3616940143766</v>
      </c>
      <c r="C105" s="587">
        <f>SUM(C99:C104)</f>
        <v>16.336779192427834</v>
      </c>
      <c r="D105" s="588">
        <f t="shared" ref="D105:N105" si="39">SUM(D103:D104)</f>
        <v>0</v>
      </c>
      <c r="E105" s="588">
        <f t="shared" si="39"/>
        <v>0</v>
      </c>
      <c r="F105" s="588">
        <f t="shared" si="39"/>
        <v>17.776683428595316</v>
      </c>
      <c r="G105" s="588">
        <f t="shared" si="39"/>
        <v>0</v>
      </c>
      <c r="H105" s="588">
        <f t="shared" si="39"/>
        <v>0</v>
      </c>
      <c r="I105" s="588">
        <f t="shared" si="39"/>
        <v>0</v>
      </c>
      <c r="J105" s="588">
        <f t="shared" si="39"/>
        <v>0</v>
      </c>
      <c r="K105" s="588">
        <f t="shared" si="39"/>
        <v>0</v>
      </c>
      <c r="L105" s="588">
        <f t="shared" si="39"/>
        <v>58.28514413868232</v>
      </c>
      <c r="M105" s="588">
        <f t="shared" si="39"/>
        <v>0</v>
      </c>
      <c r="N105" s="588">
        <f t="shared" si="39"/>
        <v>0</v>
      </c>
      <c r="O105" s="589">
        <f>SUM(O103:O104)</f>
        <v>4.7463744754349495</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177.64748863219475</v>
      </c>
      <c r="C114" s="600">
        <f>'lokale energieproductie'!B17*IFERROR(SUM(D114:F114,I114)/SUM(D114:F114,I114:L114),0)</f>
        <v>54.181613753677595</v>
      </c>
      <c r="D114" s="610">
        <f>'lokale energieproductie'!C17</f>
        <v>0</v>
      </c>
      <c r="E114" s="610">
        <f>'lokale energieproductie'!D17</f>
        <v>0</v>
      </c>
      <c r="F114" s="610">
        <f>'lokale energieproductie'!E17</f>
        <v>58.957116577543381</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193.30512643295384</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15.741550126204084</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177.64748863219475</v>
      </c>
      <c r="C117" s="587">
        <f>SUM(C114:C116)</f>
        <v>54.181613753677595</v>
      </c>
      <c r="D117" s="587">
        <f t="shared" ref="D117:N117" si="40">SUM(D114:D116)</f>
        <v>0</v>
      </c>
      <c r="E117" s="587">
        <f t="shared" si="40"/>
        <v>0</v>
      </c>
      <c r="F117" s="587">
        <f t="shared" si="40"/>
        <v>58.957116577543381</v>
      </c>
      <c r="G117" s="587">
        <f t="shared" si="40"/>
        <v>0</v>
      </c>
      <c r="H117" s="587">
        <f t="shared" si="40"/>
        <v>0</v>
      </c>
      <c r="I117" s="587">
        <f t="shared" si="40"/>
        <v>0</v>
      </c>
      <c r="J117" s="587">
        <f t="shared" si="40"/>
        <v>0</v>
      </c>
      <c r="K117" s="587">
        <f t="shared" si="40"/>
        <v>0</v>
      </c>
      <c r="L117" s="587">
        <f t="shared" si="40"/>
        <v>193.30512643295384</v>
      </c>
      <c r="M117" s="587">
        <f t="shared" si="40"/>
        <v>0</v>
      </c>
      <c r="N117" s="587">
        <f t="shared" si="40"/>
        <v>0</v>
      </c>
      <c r="O117" s="587">
        <f>SUM(O114:O116)</f>
        <v>15.741550126204084</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9385.8900201402139</v>
      </c>
      <c r="C4" s="955">
        <f>huishoudens!C9</f>
        <v>48.294000003863509</v>
      </c>
      <c r="D4" s="955">
        <f>huishoudens!D9</f>
        <v>11386.898248740001</v>
      </c>
      <c r="E4" s="955">
        <f>huishoudens!E9</f>
        <v>1028.1956578813113</v>
      </c>
      <c r="F4" s="955">
        <f>huishoudens!F9</f>
        <v>16630.773300475081</v>
      </c>
      <c r="G4" s="955" t="str">
        <f>huishoudens!G9</f>
        <v>NE</v>
      </c>
      <c r="H4" s="955" t="str">
        <f>huishoudens!H9</f>
        <v>NE</v>
      </c>
      <c r="I4" s="955" t="str">
        <f>huishoudens!I9</f>
        <v xml:space="preserve">NE </v>
      </c>
      <c r="J4" s="955">
        <f>huishoudens!J9</f>
        <v>133.93356386793559</v>
      </c>
      <c r="K4" s="955" t="str">
        <f>huishoudens!K9</f>
        <v>NE</v>
      </c>
      <c r="L4" s="955">
        <f>huishoudens!L9</f>
        <v>0</v>
      </c>
      <c r="M4" s="955">
        <f>huishoudens!M9</f>
        <v>0</v>
      </c>
      <c r="N4" s="955" t="str">
        <f>huishoudens!N9</f>
        <v>NE</v>
      </c>
      <c r="O4" s="955">
        <f>huishoudens!O9</f>
        <v>3891.3186404345779</v>
      </c>
      <c r="P4" s="955" t="str">
        <f>huishoudens!P9</f>
        <v>NE</v>
      </c>
      <c r="Q4" s="956" t="str">
        <f>huishoudens!Q9</f>
        <v>NE</v>
      </c>
      <c r="R4" s="957">
        <f>SUM(B4:Q4)</f>
        <v>42505.303431542983</v>
      </c>
    </row>
    <row r="5" spans="1:18">
      <c r="A5" s="385" t="s">
        <v>136</v>
      </c>
      <c r="B5" s="955">
        <f>tertiair!B17</f>
        <v>6101.3454877642616</v>
      </c>
      <c r="C5" s="955">
        <f>tertiair!C17</f>
        <v>0</v>
      </c>
      <c r="D5" s="955">
        <f>tertiair!D17</f>
        <v>2367.351150810674</v>
      </c>
      <c r="E5" s="955">
        <f>tertiair!E17</f>
        <v>6.8638578544897104</v>
      </c>
      <c r="F5" s="955">
        <f>tertiair!F17</f>
        <v>640.8952965094453</v>
      </c>
      <c r="G5" s="955" t="str">
        <f>tertiair!G17</f>
        <v>NE</v>
      </c>
      <c r="H5" s="955">
        <f>tertiair!H17</f>
        <v>6.7214250793526914E-2</v>
      </c>
      <c r="I5" s="955" t="str">
        <f>tertiair!I17</f>
        <v>NE</v>
      </c>
      <c r="J5" s="955">
        <f>tertiair!J17</f>
        <v>3.2025397644372777E-3</v>
      </c>
      <c r="K5" s="955" t="str">
        <f>tertiair!K17</f>
        <v>NE</v>
      </c>
      <c r="L5" s="955" t="str">
        <f>tertiair!L17</f>
        <v>IE</v>
      </c>
      <c r="M5" s="955" t="str">
        <f>tertiair!M17</f>
        <v>IE</v>
      </c>
      <c r="N5" s="955" t="str">
        <f>tertiair!N17</f>
        <v>IE</v>
      </c>
      <c r="O5" s="955">
        <f>tertiair!O17</f>
        <v>127.04384818734142</v>
      </c>
      <c r="P5" s="955" t="str">
        <f>tertiair!P17</f>
        <v>NE</v>
      </c>
      <c r="Q5" s="956" t="str">
        <f>tertiair!Q17</f>
        <v>NE</v>
      </c>
      <c r="R5" s="958">
        <f t="shared" ref="R5:R14" si="0">SUM(B5:Q5)</f>
        <v>9243.5700579167715</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1500.33339652007</v>
      </c>
      <c r="C7" s="955">
        <f>landbouw!C9</f>
        <v>183.53510238200886</v>
      </c>
      <c r="D7" s="955">
        <f>landbouw!D9</f>
        <v>62.691533519999993</v>
      </c>
      <c r="E7" s="955">
        <f>landbouw!E9</f>
        <v>53.181446869850916</v>
      </c>
      <c r="F7" s="955">
        <f>landbouw!F9</f>
        <v>5383.8061381734906</v>
      </c>
      <c r="G7" s="955" t="str">
        <f>landbouw!G9</f>
        <v>NE</v>
      </c>
      <c r="H7" s="955" t="str">
        <f>landbouw!H9</f>
        <v>NE</v>
      </c>
      <c r="I7" s="955" t="str">
        <f>landbouw!I9</f>
        <v>NE</v>
      </c>
      <c r="J7" s="955">
        <f>landbouw!J9</f>
        <v>171.22770221572992</v>
      </c>
      <c r="K7" s="955" t="str">
        <f>landbouw!K9</f>
        <v>NE</v>
      </c>
      <c r="L7" s="955" t="str">
        <f>landbouw!L9</f>
        <v>IE</v>
      </c>
      <c r="M7" s="955" t="str">
        <f>landbouw!M9</f>
        <v>IE</v>
      </c>
      <c r="N7" s="955" t="str">
        <f>landbouw!N9</f>
        <v>IE</v>
      </c>
      <c r="O7" s="955">
        <f>landbouw!O9</f>
        <v>0</v>
      </c>
      <c r="P7" s="955" t="str">
        <f>landbouw!P9</f>
        <v>NE</v>
      </c>
      <c r="Q7" s="956" t="str">
        <f>landbouw!Q9</f>
        <v>NE</v>
      </c>
      <c r="R7" s="958">
        <f t="shared" si="0"/>
        <v>7354.77531968115</v>
      </c>
    </row>
    <row r="8" spans="1:18">
      <c r="A8" s="385" t="s">
        <v>492</v>
      </c>
      <c r="B8" s="955">
        <f>industrie!B19</f>
        <v>2505.0222268678526</v>
      </c>
      <c r="C8" s="955">
        <f>industrie!C19</f>
        <v>0</v>
      </c>
      <c r="D8" s="955">
        <f>industrie!D19</f>
        <v>407.92305309000005</v>
      </c>
      <c r="E8" s="955">
        <f>industrie!E19</f>
        <v>36.296498661059843</v>
      </c>
      <c r="F8" s="955">
        <f>industrie!F19</f>
        <v>2124.5239494956777</v>
      </c>
      <c r="G8" s="955" t="str">
        <f>industrie!G19</f>
        <v>NE</v>
      </c>
      <c r="H8" s="955">
        <f>industrie!H19</f>
        <v>0</v>
      </c>
      <c r="I8" s="955" t="str">
        <f>industrie!I19</f>
        <v>NE</v>
      </c>
      <c r="J8" s="955">
        <f>industrie!J19</f>
        <v>1.684461643315935</v>
      </c>
      <c r="K8" s="955" t="str">
        <f>industrie!K19</f>
        <v>NE</v>
      </c>
      <c r="L8" s="955" t="str">
        <f>industrie!L19</f>
        <v>IE</v>
      </c>
      <c r="M8" s="955" t="str">
        <f>industrie!M19</f>
        <v>IE</v>
      </c>
      <c r="N8" s="955" t="str">
        <f>industrie!N19</f>
        <v>IE</v>
      </c>
      <c r="O8" s="955">
        <f>industrie!O19</f>
        <v>147.34879541118437</v>
      </c>
      <c r="P8" s="955" t="str">
        <f>industrie!P19</f>
        <v>NE</v>
      </c>
      <c r="Q8" s="956" t="str">
        <f>industrie!Q19</f>
        <v>NE</v>
      </c>
      <c r="R8" s="958">
        <f t="shared" si="0"/>
        <v>5222.7989851690909</v>
      </c>
    </row>
    <row r="9" spans="1:18" s="389" customFormat="1">
      <c r="A9" s="388" t="s">
        <v>457</v>
      </c>
      <c r="B9" s="959">
        <f>transport!B14</f>
        <v>537.71924173722903</v>
      </c>
      <c r="C9" s="959" t="str">
        <f>transport!C14</f>
        <v>NO</v>
      </c>
      <c r="D9" s="959">
        <f>transport!D14</f>
        <v>164.89289235118522</v>
      </c>
      <c r="E9" s="959">
        <f>transport!E14</f>
        <v>74.584827006418905</v>
      </c>
      <c r="F9" s="959" t="str">
        <f>transport!F14</f>
        <v>NO</v>
      </c>
      <c r="G9" s="959">
        <f>transport!G14</f>
        <v>20558.363397796715</v>
      </c>
      <c r="H9" s="959">
        <f>transport!H14</f>
        <v>11825.078398019474</v>
      </c>
      <c r="I9" s="959" t="str">
        <f>transport!I14</f>
        <v>NO</v>
      </c>
      <c r="J9" s="959" t="str">
        <f>transport!J14</f>
        <v>NO</v>
      </c>
      <c r="K9" s="959" t="str">
        <f>transport!K14</f>
        <v>NO</v>
      </c>
      <c r="L9" s="959" t="str">
        <f>transport!L14</f>
        <v>NO</v>
      </c>
      <c r="M9" s="959" t="str">
        <f>transport!M14</f>
        <v>NO</v>
      </c>
      <c r="N9" s="959">
        <f>transport!N14</f>
        <v>3411.7944011158888</v>
      </c>
      <c r="O9" s="959" t="str">
        <f>transport!O14</f>
        <v>NO</v>
      </c>
      <c r="P9" s="959" t="str">
        <f>transport!P14</f>
        <v>NO</v>
      </c>
      <c r="Q9" s="959" t="str">
        <f>transport!Q14</f>
        <v>NO</v>
      </c>
      <c r="R9" s="960">
        <f>SUM(B9:Q9)</f>
        <v>36572.433158026914</v>
      </c>
    </row>
    <row r="10" spans="1:18">
      <c r="A10" s="385" t="s">
        <v>447</v>
      </c>
      <c r="B10" s="955">
        <f>transport!B54</f>
        <v>8.1063406210798181</v>
      </c>
      <c r="C10" s="955" t="str">
        <f>transport!C54</f>
        <v>NO</v>
      </c>
      <c r="D10" s="955" t="str">
        <f>transport!D54</f>
        <v>NO</v>
      </c>
      <c r="E10" s="955" t="str">
        <f>transport!E54</f>
        <v>NO</v>
      </c>
      <c r="F10" s="955" t="str">
        <f>transport!F54</f>
        <v>NO</v>
      </c>
      <c r="G10" s="955">
        <f>transport!G54</f>
        <v>456.305652065591</v>
      </c>
      <c r="H10" s="955" t="str">
        <f>transport!H54</f>
        <v>NO</v>
      </c>
      <c r="I10" s="955" t="str">
        <f>transport!I54</f>
        <v>NO</v>
      </c>
      <c r="J10" s="955" t="str">
        <f>transport!J54</f>
        <v>NO</v>
      </c>
      <c r="K10" s="955" t="str">
        <f>transport!K54</f>
        <v>NO</v>
      </c>
      <c r="L10" s="955" t="str">
        <f>transport!L54</f>
        <v>NO</v>
      </c>
      <c r="M10" s="955" t="str">
        <f>transport!M54</f>
        <v>NO</v>
      </c>
      <c r="N10" s="955">
        <f>transport!N54</f>
        <v>54.626627748569234</v>
      </c>
      <c r="O10" s="955" t="str">
        <f>transport!O54</f>
        <v>NO</v>
      </c>
      <c r="P10" s="955" t="str">
        <f>transport!P54</f>
        <v>NO</v>
      </c>
      <c r="Q10" s="956" t="str">
        <f>transport!Q54</f>
        <v xml:space="preserve">NO </v>
      </c>
      <c r="R10" s="958">
        <f t="shared" si="0"/>
        <v>519.03862043524009</v>
      </c>
    </row>
    <row r="11" spans="1:18">
      <c r="A11" s="385" t="s">
        <v>448</v>
      </c>
      <c r="B11" s="955">
        <f>'Eigen gebouwen'!B6</f>
        <v>290.12094522476372</v>
      </c>
      <c r="C11" s="955">
        <f>'Eigen gebouwen'!C6</f>
        <v>0</v>
      </c>
      <c r="D11" s="955">
        <f>'Eigen gebouwen'!D6</f>
        <v>273.45401828932603</v>
      </c>
      <c r="E11" s="955">
        <f>'Eigen gebouwen'!E6</f>
        <v>0</v>
      </c>
      <c r="F11" s="955">
        <f>'Eigen gebouwen'!F6</f>
        <v>5.0763871592844962</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568.65135067337428</v>
      </c>
    </row>
    <row r="12" spans="1:18">
      <c r="A12" s="385" t="s">
        <v>449</v>
      </c>
      <c r="B12" s="955">
        <f>'Eigen openbare verlichting'!B6</f>
        <v>491.43</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491.43</v>
      </c>
    </row>
    <row r="13" spans="1:18">
      <c r="A13" s="385" t="s">
        <v>450</v>
      </c>
      <c r="B13" s="955">
        <f>'Eigen vloot'!B27</f>
        <v>0</v>
      </c>
      <c r="C13" s="955" t="str">
        <f>'Eigen vloot'!C27</f>
        <v>NO</v>
      </c>
      <c r="D13" s="955">
        <f>'Eigen vloot'!D27</f>
        <v>9.2470210000000002</v>
      </c>
      <c r="E13" s="955">
        <f>'Eigen vloot'!E27</f>
        <v>0</v>
      </c>
      <c r="F13" s="955" t="str">
        <f>'Eigen vloot'!F27</f>
        <v>NO</v>
      </c>
      <c r="G13" s="955">
        <f>'Eigen vloot'!G27</f>
        <v>146.59158901021152</v>
      </c>
      <c r="H13" s="955">
        <f>'Eigen vloot'!H27</f>
        <v>4.1615978754657377</v>
      </c>
      <c r="I13" s="955" t="str">
        <f>'Eigen vloot'!I27</f>
        <v>NO</v>
      </c>
      <c r="J13" s="955" t="str">
        <f>'Eigen vloot'!J27</f>
        <v>NO</v>
      </c>
      <c r="K13" s="955" t="str">
        <f>'Eigen vloot'!K27</f>
        <v>NO</v>
      </c>
      <c r="L13" s="955" t="str">
        <f>'Eigen vloot'!L27</f>
        <v>NO</v>
      </c>
      <c r="M13" s="955" t="str">
        <f>'Eigen vloot'!M27</f>
        <v>NO</v>
      </c>
      <c r="N13" s="955">
        <f>'Eigen vloot'!N27</f>
        <v>17.883773114322757</v>
      </c>
      <c r="O13" s="955" t="str">
        <f>'Eigen vloot'!O27</f>
        <v>NO</v>
      </c>
      <c r="P13" s="955" t="str">
        <f>'Eigen vloot'!P27</f>
        <v>NO</v>
      </c>
      <c r="Q13" s="955" t="str">
        <f>'Eigen vloot'!Q27</f>
        <v>NO</v>
      </c>
      <c r="R13" s="958">
        <f t="shared" si="0"/>
        <v>177.88398100000001</v>
      </c>
    </row>
    <row r="14" spans="1:18">
      <c r="A14" s="390" t="s">
        <v>553</v>
      </c>
      <c r="B14" s="961">
        <f>'SECAP template'!C40</f>
        <v>354.45309000000003</v>
      </c>
      <c r="C14" s="961" t="str">
        <f>'SECAP template'!D40</f>
        <v>NE</v>
      </c>
      <c r="D14" s="961">
        <f>'SECAP template'!E40</f>
        <v>165.05667000000003</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519.50976000000003</v>
      </c>
    </row>
    <row r="15" spans="1:18" s="393" customFormat="1">
      <c r="A15" s="391" t="s">
        <v>451</v>
      </c>
      <c r="B15" s="962">
        <f>SUM(B4:B14)</f>
        <v>21174.420748875469</v>
      </c>
      <c r="C15" s="962">
        <f t="shared" ref="C15:R15" si="1">SUM(C4:C14)</f>
        <v>231.82910238587237</v>
      </c>
      <c r="D15" s="962">
        <f t="shared" si="1"/>
        <v>14837.514587801183</v>
      </c>
      <c r="E15" s="962">
        <f t="shared" si="1"/>
        <v>1199.1222882731306</v>
      </c>
      <c r="F15" s="962">
        <f t="shared" si="1"/>
        <v>24785.075071812982</v>
      </c>
      <c r="G15" s="962">
        <f t="shared" si="1"/>
        <v>21161.260638872518</v>
      </c>
      <c r="H15" s="962">
        <f t="shared" si="1"/>
        <v>11829.307210145733</v>
      </c>
      <c r="I15" s="962">
        <f t="shared" si="1"/>
        <v>0</v>
      </c>
      <c r="J15" s="962">
        <f t="shared" si="1"/>
        <v>306.84893026674587</v>
      </c>
      <c r="K15" s="962">
        <f t="shared" si="1"/>
        <v>0</v>
      </c>
      <c r="L15" s="962">
        <f t="shared" si="1"/>
        <v>0</v>
      </c>
      <c r="M15" s="962">
        <f t="shared" si="1"/>
        <v>0</v>
      </c>
      <c r="N15" s="962">
        <f t="shared" si="1"/>
        <v>3484.3048019787807</v>
      </c>
      <c r="O15" s="962">
        <f t="shared" si="1"/>
        <v>4165.7112840331038</v>
      </c>
      <c r="P15" s="962">
        <f t="shared" si="1"/>
        <v>0</v>
      </c>
      <c r="Q15" s="962">
        <f t="shared" si="1"/>
        <v>0</v>
      </c>
      <c r="R15" s="962">
        <f t="shared" si="1"/>
        <v>103175.39466444553</v>
      </c>
    </row>
    <row r="17" spans="1:18">
      <c r="A17" s="394" t="s">
        <v>452</v>
      </c>
      <c r="B17" s="617">
        <f>huishoudens!B11</f>
        <v>0.14598609492362977</v>
      </c>
      <c r="C17" s="617">
        <f>huishoudens!C11</f>
        <v>6.7901527306967524E-2</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1370.2094314229387</v>
      </c>
      <c r="C22" s="955">
        <f t="shared" ref="C22:C32" si="2">IFERROR(C4*$C$17,C4)</f>
        <v>3.2792363600250276</v>
      </c>
      <c r="D22" s="955">
        <f t="shared" ref="D22:D32" si="3">IFERROR(D4*$D$17,D4)</f>
        <v>2300.1534462454802</v>
      </c>
      <c r="E22" s="955">
        <f t="shared" ref="E22:E32" si="4">IFERROR(E4*$E$17,E4)</f>
        <v>233.40041433905768</v>
      </c>
      <c r="F22" s="955">
        <f t="shared" ref="F22:F32" si="5">IFERROR(F4*$F$17,F4)</f>
        <v>4440.4164712268466</v>
      </c>
      <c r="G22" s="955" t="str">
        <f t="shared" ref="G22:G32" si="6">IFERROR(G4*$G$17,G4)</f>
        <v>NE</v>
      </c>
      <c r="H22" s="955" t="str">
        <f t="shared" ref="H22:H32" si="7">IFERROR(H4*$H$17,H4)</f>
        <v>NE</v>
      </c>
      <c r="I22" s="955" t="str">
        <f t="shared" ref="I22:I32" si="8">IFERROR(I4*$I$17,I4)</f>
        <v xml:space="preserve">NE </v>
      </c>
      <c r="J22" s="955">
        <f t="shared" ref="J22:J32" si="9">IFERROR(J4*$J$17,J4)</f>
        <v>47.412481609249198</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8394.8714812035978</v>
      </c>
    </row>
    <row r="23" spans="1:18">
      <c r="A23" s="385" t="s">
        <v>136</v>
      </c>
      <c r="B23" s="955">
        <f t="shared" ref="B23:B32" si="17">B5*$B$17</f>
        <v>890.71160153861365</v>
      </c>
      <c r="C23" s="955">
        <f t="shared" si="2"/>
        <v>0</v>
      </c>
      <c r="D23" s="955">
        <f t="shared" si="3"/>
        <v>478.20493246375617</v>
      </c>
      <c r="E23" s="955">
        <f t="shared" si="4"/>
        <v>1.5580957329691643</v>
      </c>
      <c r="F23" s="955">
        <f t="shared" si="5"/>
        <v>171.1190441680219</v>
      </c>
      <c r="G23" s="955" t="str">
        <f t="shared" si="6"/>
        <v>NE</v>
      </c>
      <c r="H23" s="955">
        <f t="shared" si="7"/>
        <v>1.6736348447588201E-2</v>
      </c>
      <c r="I23" s="955" t="str">
        <f t="shared" si="8"/>
        <v>NE</v>
      </c>
      <c r="J23" s="955">
        <f t="shared" si="9"/>
        <v>1.1336990766107962E-3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1541.6115439508853</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219.0278136414708</v>
      </c>
      <c r="C25" s="955">
        <f t="shared" si="2"/>
        <v>12.462313766179054</v>
      </c>
      <c r="D25" s="955">
        <f t="shared" si="3"/>
        <v>12.66368977104</v>
      </c>
      <c r="E25" s="955">
        <f t="shared" si="4"/>
        <v>12.072188439456159</v>
      </c>
      <c r="F25" s="955">
        <f t="shared" si="5"/>
        <v>1437.476238892322</v>
      </c>
      <c r="G25" s="955" t="str">
        <f t="shared" si="6"/>
        <v>NE</v>
      </c>
      <c r="H25" s="955" t="str">
        <f t="shared" si="7"/>
        <v>NE</v>
      </c>
      <c r="I25" s="955" t="str">
        <f t="shared" si="8"/>
        <v>NE</v>
      </c>
      <c r="J25" s="955">
        <f t="shared" si="9"/>
        <v>60.614606584368389</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1754.3168510948365</v>
      </c>
    </row>
    <row r="26" spans="1:18">
      <c r="A26" s="385" t="s">
        <v>492</v>
      </c>
      <c r="B26" s="955">
        <f t="shared" si="17"/>
        <v>365.69841259733278</v>
      </c>
      <c r="C26" s="955">
        <f t="shared" si="2"/>
        <v>0</v>
      </c>
      <c r="D26" s="955">
        <f t="shared" si="3"/>
        <v>82.400456724180017</v>
      </c>
      <c r="E26" s="955">
        <f t="shared" si="4"/>
        <v>8.2393051960605845</v>
      </c>
      <c r="F26" s="955">
        <f t="shared" si="5"/>
        <v>567.24789451534593</v>
      </c>
      <c r="G26" s="955" t="str">
        <f t="shared" si="6"/>
        <v>NE</v>
      </c>
      <c r="H26" s="955">
        <f t="shared" si="7"/>
        <v>0</v>
      </c>
      <c r="I26" s="955" t="str">
        <f t="shared" si="8"/>
        <v>NE</v>
      </c>
      <c r="J26" s="955">
        <f t="shared" si="9"/>
        <v>0.59629942173384098</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1024.1823684546532</v>
      </c>
    </row>
    <row r="27" spans="1:18" s="389" customFormat="1">
      <c r="A27" s="388" t="s">
        <v>457</v>
      </c>
      <c r="B27" s="963">
        <f t="shared" si="17"/>
        <v>78.499532266513341</v>
      </c>
      <c r="C27" s="955" t="str">
        <f t="shared" si="2"/>
        <v>NO</v>
      </c>
      <c r="D27" s="955">
        <f t="shared" si="3"/>
        <v>33.30836425493942</v>
      </c>
      <c r="E27" s="955">
        <f t="shared" si="4"/>
        <v>16.930755730457093</v>
      </c>
      <c r="F27" s="955" t="str">
        <f t="shared" si="5"/>
        <v>NO</v>
      </c>
      <c r="G27" s="955">
        <f t="shared" si="6"/>
        <v>5489.0830272117228</v>
      </c>
      <c r="H27" s="955">
        <f t="shared" si="7"/>
        <v>2944.4445211068492</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8562.2662005704824</v>
      </c>
    </row>
    <row r="28" spans="1:18" ht="16.5" customHeight="1">
      <c r="A28" s="385" t="s">
        <v>447</v>
      </c>
      <c r="B28" s="955">
        <f t="shared" si="17"/>
        <v>1.1834130113922343</v>
      </c>
      <c r="C28" s="955" t="str">
        <f t="shared" si="2"/>
        <v>NO</v>
      </c>
      <c r="D28" s="955" t="str">
        <f t="shared" si="3"/>
        <v>NO</v>
      </c>
      <c r="E28" s="955" t="str">
        <f t="shared" si="4"/>
        <v>NO</v>
      </c>
      <c r="F28" s="955" t="str">
        <f t="shared" si="5"/>
        <v>NO</v>
      </c>
      <c r="G28" s="955">
        <f t="shared" si="6"/>
        <v>121.83360910151281</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123.01702211290504</v>
      </c>
    </row>
    <row r="29" spans="1:18">
      <c r="A29" s="385" t="s">
        <v>448</v>
      </c>
      <c r="B29" s="955">
        <f t="shared" si="17"/>
        <v>42.353623848915547</v>
      </c>
      <c r="C29" s="955">
        <f t="shared" si="2"/>
        <v>0</v>
      </c>
      <c r="D29" s="955">
        <f t="shared" si="3"/>
        <v>55.23771169444386</v>
      </c>
      <c r="E29" s="955">
        <f t="shared" si="4"/>
        <v>0</v>
      </c>
      <c r="F29" s="955">
        <f t="shared" si="5"/>
        <v>1.3553953715289606</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98.946730914888363</v>
      </c>
    </row>
    <row r="30" spans="1:18">
      <c r="A30" s="385" t="s">
        <v>449</v>
      </c>
      <c r="B30" s="955">
        <f t="shared" si="17"/>
        <v>71.741946628319383</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71.741946628319383</v>
      </c>
    </row>
    <row r="31" spans="1:18">
      <c r="A31" s="385" t="s">
        <v>450</v>
      </c>
      <c r="B31" s="955">
        <f t="shared" si="17"/>
        <v>0</v>
      </c>
      <c r="C31" s="955" t="str">
        <f t="shared" si="2"/>
        <v>NO</v>
      </c>
      <c r="D31" s="955">
        <f t="shared" si="3"/>
        <v>1.8678982420000001</v>
      </c>
      <c r="E31" s="955">
        <f t="shared" si="4"/>
        <v>0</v>
      </c>
      <c r="F31" s="955" t="str">
        <f t="shared" si="5"/>
        <v>NO</v>
      </c>
      <c r="G31" s="955">
        <f t="shared" si="6"/>
        <v>39.13995426572648</v>
      </c>
      <c r="H31" s="955">
        <f t="shared" si="7"/>
        <v>1.0362378709909688</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42.044090378717449</v>
      </c>
    </row>
    <row r="32" spans="1:18">
      <c r="A32" s="385" t="s">
        <v>553</v>
      </c>
      <c r="B32" s="955">
        <f t="shared" si="17"/>
        <v>51.745222442713889</v>
      </c>
      <c r="C32" s="955" t="str">
        <f t="shared" si="2"/>
        <v>NE</v>
      </c>
      <c r="D32" s="955">
        <f t="shared" si="3"/>
        <v>33.341447340000009</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85.086669782713898</v>
      </c>
    </row>
    <row r="33" spans="1:18" s="393" customFormat="1">
      <c r="A33" s="391" t="s">
        <v>451</v>
      </c>
      <c r="B33" s="962">
        <f>SUM(B22:B32)</f>
        <v>3091.1709973982101</v>
      </c>
      <c r="C33" s="962">
        <f t="shared" ref="C33:R33" si="22">SUM(C22:C32)</f>
        <v>15.741550126204082</v>
      </c>
      <c r="D33" s="962">
        <f t="shared" si="22"/>
        <v>2997.1779467358397</v>
      </c>
      <c r="E33" s="962">
        <f t="shared" si="22"/>
        <v>272.20075943800066</v>
      </c>
      <c r="F33" s="962">
        <f t="shared" si="22"/>
        <v>6617.6150441740656</v>
      </c>
      <c r="G33" s="962">
        <f t="shared" si="22"/>
        <v>5650.0565905789617</v>
      </c>
      <c r="H33" s="962">
        <f t="shared" si="22"/>
        <v>2945.4974953262877</v>
      </c>
      <c r="I33" s="962">
        <f t="shared" si="22"/>
        <v>0</v>
      </c>
      <c r="J33" s="962">
        <f t="shared" si="22"/>
        <v>108.62452131442805</v>
      </c>
      <c r="K33" s="392">
        <f t="shared" si="22"/>
        <v>0</v>
      </c>
      <c r="L33" s="392">
        <f t="shared" si="22"/>
        <v>0</v>
      </c>
      <c r="M33" s="392">
        <f t="shared" si="22"/>
        <v>0</v>
      </c>
      <c r="N33" s="392">
        <f t="shared" si="22"/>
        <v>0</v>
      </c>
      <c r="O33" s="392">
        <f t="shared" si="22"/>
        <v>0</v>
      </c>
      <c r="P33" s="392">
        <f t="shared" si="22"/>
        <v>0</v>
      </c>
      <c r="Q33" s="392">
        <f t="shared" si="22"/>
        <v>0</v>
      </c>
      <c r="R33" s="392">
        <f t="shared" si="22"/>
        <v>21698.084905092001</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7138.7976232012124</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53.564070813164221</v>
      </c>
      <c r="C8" s="791">
        <f>'SECAP template'!C103</f>
        <v>16.336779192427834</v>
      </c>
      <c r="D8" s="791">
        <f>'SECAP template'!D103</f>
        <v>0</v>
      </c>
      <c r="E8" s="791">
        <f>'SECAP template'!E103</f>
        <v>0</v>
      </c>
      <c r="F8" s="791">
        <f>'SECAP template'!F103</f>
        <v>17.776683428595316</v>
      </c>
      <c r="G8" s="791">
        <f>'SECAP template'!G103</f>
        <v>0</v>
      </c>
      <c r="H8" s="791">
        <f>'SECAP template'!H103</f>
        <v>0</v>
      </c>
      <c r="I8" s="791">
        <f>'SECAP template'!I103</f>
        <v>0</v>
      </c>
      <c r="J8" s="791">
        <f>'SECAP template'!J103</f>
        <v>0</v>
      </c>
      <c r="K8" s="791">
        <f>'SECAP template'!K103</f>
        <v>0</v>
      </c>
      <c r="L8" s="791">
        <f>'SECAP template'!L103</f>
        <v>58.28514413868232</v>
      </c>
      <c r="M8" s="791">
        <f>'SECAP template'!M103</f>
        <v>0</v>
      </c>
      <c r="N8" s="791">
        <f>'SECAP template'!N103</f>
        <v>0</v>
      </c>
      <c r="O8" s="792">
        <f>'SECAP template'!O103</f>
        <v>4.7463744754349495</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7192.3616940143766</v>
      </c>
      <c r="C10" s="793">
        <f>SUM(C4:C9)</f>
        <v>16.336779192427834</v>
      </c>
      <c r="D10" s="793">
        <f t="shared" ref="D10:H10" si="0">SUM(D8:D9)</f>
        <v>0</v>
      </c>
      <c r="E10" s="793">
        <f t="shared" si="0"/>
        <v>0</v>
      </c>
      <c r="F10" s="793">
        <f t="shared" si="0"/>
        <v>17.776683428595316</v>
      </c>
      <c r="G10" s="793">
        <f t="shared" si="0"/>
        <v>0</v>
      </c>
      <c r="H10" s="793">
        <f t="shared" si="0"/>
        <v>0</v>
      </c>
      <c r="I10" s="793">
        <f t="shared" ref="I10:O10" si="1">SUM(I8:I9)</f>
        <v>0</v>
      </c>
      <c r="J10" s="793">
        <f t="shared" si="1"/>
        <v>0</v>
      </c>
      <c r="K10" s="793">
        <f t="shared" si="1"/>
        <v>0</v>
      </c>
      <c r="L10" s="793">
        <f t="shared" si="1"/>
        <v>58.28514413868232</v>
      </c>
      <c r="M10" s="793">
        <f t="shared" si="1"/>
        <v>0</v>
      </c>
      <c r="N10" s="793">
        <f t="shared" si="1"/>
        <v>0</v>
      </c>
      <c r="O10" s="793">
        <f t="shared" si="1"/>
        <v>4.7463744754349495</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0.14598609492362977</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177.64748863219475</v>
      </c>
      <c r="C17" s="794">
        <f>'SECAP template'!C114</f>
        <v>54.181613753677595</v>
      </c>
      <c r="D17" s="792">
        <f>'SECAP template'!D114</f>
        <v>0</v>
      </c>
      <c r="E17" s="792">
        <f>'SECAP template'!E114</f>
        <v>0</v>
      </c>
      <c r="F17" s="792">
        <f>'SECAP template'!F114</f>
        <v>58.957116577543381</v>
      </c>
      <c r="G17" s="792">
        <f>'SECAP template'!G114</f>
        <v>0</v>
      </c>
      <c r="H17" s="792">
        <f>'SECAP template'!H114</f>
        <v>0</v>
      </c>
      <c r="I17" s="792">
        <f>'SECAP template'!I114</f>
        <v>0</v>
      </c>
      <c r="J17" s="792">
        <f>'SECAP template'!J114</f>
        <v>0</v>
      </c>
      <c r="K17" s="792">
        <f>'SECAP template'!K114</f>
        <v>0</v>
      </c>
      <c r="L17" s="792">
        <f>'SECAP template'!L114</f>
        <v>193.30512643295384</v>
      </c>
      <c r="M17" s="792">
        <f>'SECAP template'!M114</f>
        <v>0</v>
      </c>
      <c r="N17" s="792">
        <f>'SECAP template'!N114</f>
        <v>0</v>
      </c>
      <c r="O17" s="792">
        <f>'SECAP template'!O114</f>
        <v>15.741550126204084</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177.64748863219475</v>
      </c>
      <c r="C20" s="793">
        <f>SUM(C17:C19)</f>
        <v>54.181613753677595</v>
      </c>
      <c r="D20" s="793">
        <f t="shared" ref="D20:H20" si="2">SUM(D17:D19)</f>
        <v>0</v>
      </c>
      <c r="E20" s="793">
        <f t="shared" si="2"/>
        <v>0</v>
      </c>
      <c r="F20" s="793">
        <f t="shared" si="2"/>
        <v>58.957116577543381</v>
      </c>
      <c r="G20" s="793">
        <f t="shared" si="2"/>
        <v>0</v>
      </c>
      <c r="H20" s="793">
        <f t="shared" si="2"/>
        <v>0</v>
      </c>
      <c r="I20" s="793">
        <f t="shared" ref="I20:O20" si="3">SUM(I17:I19)</f>
        <v>0</v>
      </c>
      <c r="J20" s="793">
        <f t="shared" si="3"/>
        <v>0</v>
      </c>
      <c r="K20" s="793">
        <f t="shared" si="3"/>
        <v>0</v>
      </c>
      <c r="L20" s="793">
        <f t="shared" si="3"/>
        <v>193.30512643295384</v>
      </c>
      <c r="M20" s="793">
        <f t="shared" si="3"/>
        <v>0</v>
      </c>
      <c r="N20" s="793">
        <f t="shared" si="3"/>
        <v>0</v>
      </c>
      <c r="O20" s="793">
        <f t="shared" si="3"/>
        <v>15.741550126204084</v>
      </c>
    </row>
    <row r="21" spans="1:15">
      <c r="B21" s="705"/>
    </row>
    <row r="22" spans="1:15">
      <c r="A22" s="394" t="s">
        <v>572</v>
      </c>
      <c r="B22" s="617" t="s">
        <v>570</v>
      </c>
      <c r="C22" s="617">
        <f>'EF ele_warmte'!B23</f>
        <v>6.7901527306967524E-2</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9.2470210000000002</v>
      </c>
      <c r="E4" s="396">
        <f>MWh_eigenvloot_vloeibaargas</f>
        <v>0</v>
      </c>
      <c r="F4" s="403"/>
      <c r="G4" s="396">
        <f>MWh_eigenvloot_diesel</f>
        <v>164.14080000000001</v>
      </c>
      <c r="H4" s="396">
        <f>MWh_eigenvloot_benzine</f>
        <v>4.4961599999999997</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9.2470210000000002</v>
      </c>
      <c r="E26" s="399">
        <f t="shared" si="0"/>
        <v>0</v>
      </c>
      <c r="F26" s="399" t="s">
        <v>667</v>
      </c>
      <c r="G26" s="399">
        <f t="shared" si="0"/>
        <v>164.14080000000001</v>
      </c>
      <c r="H26" s="399">
        <f t="shared" si="0"/>
        <v>4.4961599999999997</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9.2470210000000002</v>
      </c>
      <c r="E27" s="399">
        <f>E26</f>
        <v>0</v>
      </c>
      <c r="F27" s="399" t="s">
        <v>667</v>
      </c>
      <c r="G27" s="399">
        <f>(1-transport!C35)*'Eigen vloot'!G26</f>
        <v>146.59158901021152</v>
      </c>
      <c r="H27" s="399">
        <f>(1-transport!C42)*'Eigen vloot'!H26</f>
        <v>4.1615978754657377</v>
      </c>
      <c r="I27" s="399" t="s">
        <v>667</v>
      </c>
      <c r="J27" s="399" t="s">
        <v>667</v>
      </c>
      <c r="K27" s="399" t="s">
        <v>667</v>
      </c>
      <c r="L27" s="913" t="s">
        <v>667</v>
      </c>
      <c r="M27" s="399" t="s">
        <v>667</v>
      </c>
      <c r="N27" s="529">
        <f>G26*transport!C35+'Eigen vloot'!H26*transport!C42</f>
        <v>17.883773114322757</v>
      </c>
      <c r="O27" s="399" t="s">
        <v>667</v>
      </c>
      <c r="P27" s="399" t="s">
        <v>667</v>
      </c>
      <c r="Q27" s="399" t="s">
        <v>667</v>
      </c>
    </row>
    <row r="29" spans="1:17">
      <c r="A29" s="401" t="s">
        <v>477</v>
      </c>
      <c r="B29" s="405">
        <f>'EF ele_warmte'!B13</f>
        <v>0.14598609492362977</v>
      </c>
      <c r="C29" s="405">
        <f>'EF ele_warmte'!B23</f>
        <v>6.7901527306967524E-2</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1.8678982420000001</v>
      </c>
      <c r="E31" s="530">
        <f>E27*E29</f>
        <v>0</v>
      </c>
      <c r="F31" s="530" t="s">
        <v>667</v>
      </c>
      <c r="G31" s="530">
        <f>G27*G29</f>
        <v>39.13995426572648</v>
      </c>
      <c r="H31" s="530">
        <f>H27*H29</f>
        <v>1.0362378709909688</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2628</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2844.1600000000012</v>
      </c>
      <c r="C14" s="286"/>
      <c r="D14" s="286"/>
      <c r="E14" s="286"/>
      <c r="F14" s="286"/>
      <c r="G14" s="286"/>
    </row>
    <row r="15" spans="1:7">
      <c r="A15" s="979" t="s">
        <v>164</v>
      </c>
      <c r="B15" s="980">
        <v>32</v>
      </c>
      <c r="C15" s="286"/>
      <c r="D15" s="286"/>
      <c r="E15" s="286"/>
      <c r="F15" s="286"/>
      <c r="G15" s="286"/>
    </row>
    <row r="16" spans="1:7">
      <c r="A16" s="979" t="s">
        <v>6</v>
      </c>
      <c r="B16" s="980">
        <v>1038</v>
      </c>
      <c r="C16" s="286"/>
      <c r="D16" s="286"/>
      <c r="E16" s="286"/>
      <c r="F16" s="286"/>
      <c r="G16" s="286"/>
    </row>
    <row r="17" spans="1:7">
      <c r="A17" s="979" t="s">
        <v>7</v>
      </c>
      <c r="B17" s="980">
        <v>755</v>
      </c>
      <c r="C17" s="286"/>
      <c r="D17" s="286"/>
      <c r="E17" s="286"/>
      <c r="F17" s="286"/>
      <c r="G17" s="286"/>
    </row>
    <row r="18" spans="1:7">
      <c r="A18" s="979" t="s">
        <v>8</v>
      </c>
      <c r="B18" s="980">
        <v>991</v>
      </c>
      <c r="C18" s="286"/>
      <c r="D18" s="286"/>
      <c r="E18" s="286"/>
      <c r="F18" s="286"/>
      <c r="G18" s="286"/>
    </row>
    <row r="19" spans="1:7">
      <c r="A19" s="979" t="s">
        <v>9</v>
      </c>
      <c r="B19" s="980">
        <v>1022</v>
      </c>
      <c r="C19" s="286"/>
      <c r="D19" s="286"/>
      <c r="E19" s="286"/>
      <c r="F19" s="286"/>
      <c r="G19" s="286"/>
    </row>
    <row r="20" spans="1:7">
      <c r="A20" s="979" t="s">
        <v>10</v>
      </c>
      <c r="B20" s="980">
        <v>608</v>
      </c>
      <c r="C20" s="286"/>
      <c r="D20" s="286"/>
      <c r="E20" s="286"/>
      <c r="F20" s="286"/>
      <c r="G20" s="286"/>
    </row>
    <row r="21" spans="1:7">
      <c r="A21" s="979" t="s">
        <v>11</v>
      </c>
      <c r="B21" s="980">
        <v>6156</v>
      </c>
      <c r="C21" s="286"/>
      <c r="D21" s="286"/>
      <c r="E21" s="286"/>
      <c r="F21" s="286"/>
      <c r="G21" s="286"/>
    </row>
    <row r="22" spans="1:7">
      <c r="A22" s="979" t="s">
        <v>12</v>
      </c>
      <c r="B22" s="980">
        <v>12996</v>
      </c>
      <c r="C22" s="286"/>
      <c r="D22" s="286"/>
      <c r="E22" s="286"/>
      <c r="F22" s="286"/>
      <c r="G22" s="286"/>
    </row>
    <row r="23" spans="1:7">
      <c r="A23" s="979" t="s">
        <v>13</v>
      </c>
      <c r="B23" s="980">
        <v>392</v>
      </c>
      <c r="C23" s="286"/>
      <c r="D23" s="286"/>
      <c r="E23" s="286"/>
      <c r="F23" s="286"/>
      <c r="G23" s="286"/>
    </row>
    <row r="24" spans="1:7">
      <c r="A24" s="979" t="s">
        <v>14</v>
      </c>
      <c r="B24" s="980">
        <v>10</v>
      </c>
      <c r="C24" s="286"/>
      <c r="D24" s="286"/>
      <c r="E24" s="286"/>
      <c r="F24" s="286"/>
      <c r="G24" s="286"/>
    </row>
    <row r="25" spans="1:7">
      <c r="A25" s="979" t="s">
        <v>15</v>
      </c>
      <c r="B25" s="980">
        <v>1668</v>
      </c>
      <c r="C25" s="286"/>
      <c r="D25" s="286"/>
      <c r="E25" s="286"/>
      <c r="F25" s="286"/>
      <c r="G25" s="286"/>
    </row>
    <row r="26" spans="1:7">
      <c r="A26" s="979" t="s">
        <v>16</v>
      </c>
      <c r="B26" s="980">
        <v>234</v>
      </c>
      <c r="C26" s="286"/>
      <c r="D26" s="286"/>
      <c r="E26" s="286"/>
      <c r="F26" s="286"/>
      <c r="G26" s="286"/>
    </row>
    <row r="27" spans="1:7">
      <c r="A27" s="979" t="s">
        <v>17</v>
      </c>
      <c r="B27" s="980">
        <v>0</v>
      </c>
      <c r="C27" s="286"/>
      <c r="D27" s="286"/>
      <c r="E27" s="286"/>
      <c r="F27" s="286"/>
      <c r="G27" s="286"/>
    </row>
    <row r="28" spans="1:7">
      <c r="A28" s="983" t="s">
        <v>18</v>
      </c>
      <c r="B28" s="1240">
        <v>115019</v>
      </c>
      <c r="C28" s="286"/>
      <c r="D28" s="286"/>
      <c r="E28" s="286"/>
      <c r="F28" s="286"/>
      <c r="G28" s="286"/>
    </row>
    <row r="29" spans="1:7">
      <c r="A29" s="983" t="s">
        <v>534</v>
      </c>
      <c r="B29" s="1240">
        <v>75</v>
      </c>
      <c r="C29" s="286"/>
      <c r="D29" s="286"/>
      <c r="E29" s="286"/>
      <c r="F29" s="286"/>
      <c r="G29" s="286"/>
    </row>
    <row r="30" spans="1:7">
      <c r="A30" s="981" t="s">
        <v>535</v>
      </c>
      <c r="B30" s="982">
        <v>21</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1015</v>
      </c>
      <c r="D39" s="980">
        <v>12610075.58</v>
      </c>
      <c r="E39" s="980">
        <v>2422</v>
      </c>
      <c r="F39" s="980">
        <v>8138059.4278550167</v>
      </c>
      <c r="G39" s="286"/>
    </row>
    <row r="40" spans="1:7">
      <c r="A40" s="979" t="s">
        <v>29</v>
      </c>
      <c r="B40" s="979" t="s">
        <v>28</v>
      </c>
      <c r="C40" s="980">
        <v>0</v>
      </c>
      <c r="D40" s="980">
        <v>0</v>
      </c>
      <c r="E40" s="980">
        <v>1</v>
      </c>
      <c r="F40" s="980">
        <v>24876.19</v>
      </c>
      <c r="G40" s="286"/>
    </row>
    <row r="41" spans="1:7">
      <c r="A41" s="979" t="s">
        <v>31</v>
      </c>
      <c r="B41" s="979" t="s">
        <v>32</v>
      </c>
      <c r="C41" s="980">
        <v>21</v>
      </c>
      <c r="D41" s="980">
        <v>329960.83</v>
      </c>
      <c r="E41" s="980">
        <v>95</v>
      </c>
      <c r="F41" s="980">
        <v>2025762.4</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5</v>
      </c>
      <c r="D44" s="980">
        <v>64201.74</v>
      </c>
      <c r="E44" s="980">
        <v>10</v>
      </c>
      <c r="F44" s="980">
        <v>42350.99</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2</v>
      </c>
      <c r="D48" s="980">
        <v>57579.46</v>
      </c>
      <c r="E48" s="980">
        <v>6</v>
      </c>
      <c r="F48" s="980">
        <v>310724.39999999997</v>
      </c>
      <c r="G48" s="286"/>
    </row>
    <row r="49" spans="1:7">
      <c r="A49" s="979" t="s">
        <v>31</v>
      </c>
      <c r="B49" s="979" t="s">
        <v>39</v>
      </c>
      <c r="C49" s="980">
        <v>0</v>
      </c>
      <c r="D49" s="980">
        <v>0</v>
      </c>
      <c r="E49" s="980">
        <v>0</v>
      </c>
      <c r="F49" s="980">
        <v>0</v>
      </c>
      <c r="G49" s="286"/>
    </row>
    <row r="50" spans="1:7">
      <c r="A50" s="979" t="s">
        <v>31</v>
      </c>
      <c r="B50" s="979" t="s">
        <v>40</v>
      </c>
      <c r="C50" s="980">
        <v>0</v>
      </c>
      <c r="D50" s="980">
        <v>0</v>
      </c>
      <c r="E50" s="980">
        <v>3</v>
      </c>
      <c r="F50" s="980">
        <v>21213.52</v>
      </c>
      <c r="G50" s="286"/>
    </row>
    <row r="51" spans="1:7">
      <c r="A51" s="979" t="s">
        <v>41</v>
      </c>
      <c r="B51" s="979" t="s">
        <v>42</v>
      </c>
      <c r="C51" s="980">
        <v>4</v>
      </c>
      <c r="D51" s="980">
        <v>69425.84</v>
      </c>
      <c r="E51" s="980">
        <v>84</v>
      </c>
      <c r="F51" s="980">
        <v>1358781.1199999999</v>
      </c>
      <c r="G51" s="286"/>
    </row>
    <row r="52" spans="1:7">
      <c r="A52" s="979" t="s">
        <v>41</v>
      </c>
      <c r="B52" s="979" t="s">
        <v>28</v>
      </c>
      <c r="C52" s="980">
        <v>0</v>
      </c>
      <c r="D52" s="980">
        <v>0</v>
      </c>
      <c r="E52" s="980">
        <v>0</v>
      </c>
      <c r="F52" s="980">
        <v>0</v>
      </c>
      <c r="G52" s="286"/>
    </row>
    <row r="53" spans="1:7">
      <c r="A53" s="979" t="s">
        <v>43</v>
      </c>
      <c r="B53" s="979" t="s">
        <v>44</v>
      </c>
      <c r="C53" s="980">
        <v>15</v>
      </c>
      <c r="D53" s="980">
        <v>165056.67000000001</v>
      </c>
      <c r="E53" s="980">
        <v>92</v>
      </c>
      <c r="F53" s="980">
        <v>354453.09</v>
      </c>
      <c r="G53" s="286"/>
    </row>
    <row r="54" spans="1:7">
      <c r="A54" s="979" t="s">
        <v>45</v>
      </c>
      <c r="B54" s="979" t="s">
        <v>46</v>
      </c>
      <c r="C54" s="980">
        <v>0</v>
      </c>
      <c r="D54" s="980">
        <v>0</v>
      </c>
      <c r="E54" s="980">
        <v>0</v>
      </c>
      <c r="F54" s="980">
        <v>0</v>
      </c>
      <c r="G54" s="286"/>
    </row>
    <row r="55" spans="1:7">
      <c r="A55" s="979" t="s">
        <v>45</v>
      </c>
      <c r="B55" s="979" t="s">
        <v>28</v>
      </c>
      <c r="C55" s="980">
        <v>0</v>
      </c>
      <c r="D55" s="980">
        <v>0</v>
      </c>
      <c r="E55" s="980">
        <v>1</v>
      </c>
      <c r="F55" s="980">
        <v>491430</v>
      </c>
      <c r="G55" s="286"/>
    </row>
    <row r="56" spans="1:7">
      <c r="A56" s="979" t="s">
        <v>47</v>
      </c>
      <c r="B56" s="979" t="s">
        <v>28</v>
      </c>
      <c r="C56" s="980">
        <v>0</v>
      </c>
      <c r="D56" s="980">
        <v>0</v>
      </c>
      <c r="E56" s="980">
        <v>0</v>
      </c>
      <c r="F56" s="980">
        <v>0</v>
      </c>
      <c r="G56" s="286"/>
    </row>
    <row r="57" spans="1:7">
      <c r="A57" s="979" t="s">
        <v>48</v>
      </c>
      <c r="B57" s="979" t="s">
        <v>49</v>
      </c>
      <c r="C57" s="980">
        <v>5</v>
      </c>
      <c r="D57" s="980">
        <v>64110.65</v>
      </c>
      <c r="E57" s="980">
        <v>34</v>
      </c>
      <c r="F57" s="980">
        <v>339816.79</v>
      </c>
      <c r="G57" s="286"/>
    </row>
    <row r="58" spans="1:7">
      <c r="A58" s="979" t="s">
        <v>48</v>
      </c>
      <c r="B58" s="979" t="s">
        <v>50</v>
      </c>
      <c r="C58" s="980">
        <v>12</v>
      </c>
      <c r="D58" s="980">
        <v>475184.1</v>
      </c>
      <c r="E58" s="980">
        <v>23</v>
      </c>
      <c r="F58" s="980">
        <v>350377.69</v>
      </c>
      <c r="G58" s="286"/>
    </row>
    <row r="59" spans="1:7">
      <c r="A59" s="979" t="s">
        <v>48</v>
      </c>
      <c r="B59" s="979" t="s">
        <v>51</v>
      </c>
      <c r="C59" s="980">
        <v>14</v>
      </c>
      <c r="D59" s="980">
        <v>706849.48</v>
      </c>
      <c r="E59" s="980">
        <v>76</v>
      </c>
      <c r="F59" s="980">
        <v>3189616.39</v>
      </c>
      <c r="G59" s="286"/>
    </row>
    <row r="60" spans="1:7">
      <c r="A60" s="979" t="s">
        <v>48</v>
      </c>
      <c r="B60" s="979" t="s">
        <v>52</v>
      </c>
      <c r="C60" s="980">
        <v>10</v>
      </c>
      <c r="D60" s="980">
        <v>284352.81</v>
      </c>
      <c r="E60" s="980">
        <v>31</v>
      </c>
      <c r="F60" s="980">
        <v>405405.02</v>
      </c>
      <c r="G60" s="286"/>
    </row>
    <row r="61" spans="1:7">
      <c r="A61" s="979" t="s">
        <v>48</v>
      </c>
      <c r="B61" s="979" t="s">
        <v>53</v>
      </c>
      <c r="C61" s="980">
        <v>46</v>
      </c>
      <c r="D61" s="980">
        <v>1255728.95</v>
      </c>
      <c r="E61" s="980">
        <v>173</v>
      </c>
      <c r="F61" s="980">
        <v>1665233.6521449829</v>
      </c>
      <c r="G61" s="286"/>
    </row>
    <row r="62" spans="1:7">
      <c r="A62" s="979" t="s">
        <v>48</v>
      </c>
      <c r="B62" s="979" t="s">
        <v>54</v>
      </c>
      <c r="C62" s="980">
        <v>3</v>
      </c>
      <c r="D62" s="980">
        <v>138253.71</v>
      </c>
      <c r="E62" s="980">
        <v>7</v>
      </c>
      <c r="F62" s="980">
        <v>29216.84</v>
      </c>
      <c r="G62" s="286"/>
    </row>
    <row r="63" spans="1:7">
      <c r="A63" s="979" t="s">
        <v>48</v>
      </c>
      <c r="B63" s="979" t="s">
        <v>28</v>
      </c>
      <c r="C63" s="980">
        <v>0</v>
      </c>
      <c r="D63" s="980">
        <v>0</v>
      </c>
      <c r="E63" s="980">
        <v>2</v>
      </c>
      <c r="F63" s="980">
        <v>10576.3</v>
      </c>
      <c r="G63" s="286"/>
    </row>
    <row r="64" spans="1:7">
      <c r="A64" s="979" t="s">
        <v>55</v>
      </c>
      <c r="B64" s="979" t="s">
        <v>56</v>
      </c>
      <c r="C64" s="980">
        <v>0</v>
      </c>
      <c r="D64" s="980">
        <v>0</v>
      </c>
      <c r="E64" s="980">
        <v>0</v>
      </c>
      <c r="F64" s="980">
        <v>0</v>
      </c>
      <c r="G64" s="286"/>
    </row>
    <row r="65" spans="1:7">
      <c r="A65" s="979" t="s">
        <v>55</v>
      </c>
      <c r="B65" s="979" t="s">
        <v>28</v>
      </c>
      <c r="C65" s="980">
        <v>2</v>
      </c>
      <c r="D65" s="980">
        <v>55385.02</v>
      </c>
      <c r="E65" s="980">
        <v>1</v>
      </c>
      <c r="F65" s="980">
        <v>2544.35</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8</v>
      </c>
      <c r="F68" s="982">
        <v>78498.75</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15698580</v>
      </c>
      <c r="E73" s="384"/>
      <c r="F73" s="286"/>
      <c r="G73" s="286"/>
    </row>
    <row r="74" spans="1:7">
      <c r="A74" s="979" t="s">
        <v>63</v>
      </c>
      <c r="B74" s="979" t="s">
        <v>505</v>
      </c>
      <c r="C74" s="1250" t="s">
        <v>507</v>
      </c>
      <c r="D74" s="1251">
        <v>969805.18621609779</v>
      </c>
      <c r="E74" s="384"/>
      <c r="F74" s="286"/>
      <c r="G74" s="286"/>
    </row>
    <row r="75" spans="1:7">
      <c r="A75" s="979" t="s">
        <v>64</v>
      </c>
      <c r="B75" s="979" t="s">
        <v>504</v>
      </c>
      <c r="C75" s="1250" t="s">
        <v>508</v>
      </c>
      <c r="D75" s="1251">
        <v>23065258</v>
      </c>
      <c r="E75" s="384"/>
      <c r="F75" s="286"/>
      <c r="G75" s="286"/>
    </row>
    <row r="76" spans="1:7">
      <c r="A76" s="979" t="s">
        <v>64</v>
      </c>
      <c r="B76" s="979" t="s">
        <v>505</v>
      </c>
      <c r="C76" s="1250" t="s">
        <v>509</v>
      </c>
      <c r="D76" s="1251">
        <v>808250.18621609779</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142777.62756780433</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4527.9989942750508</v>
      </c>
      <c r="C91" s="286" t="s">
        <v>629</v>
      </c>
      <c r="D91" s="286"/>
      <c r="E91" s="286"/>
      <c r="F91" s="286"/>
      <c r="G91" s="286"/>
    </row>
    <row r="92" spans="1:7">
      <c r="A92" s="981" t="s">
        <v>68</v>
      </c>
      <c r="B92" s="986">
        <v>2610.7986289261617</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290120.94522476371</v>
      </c>
      <c r="C97" s="286"/>
      <c r="D97" s="286"/>
      <c r="E97" s="286"/>
      <c r="F97" s="286"/>
      <c r="G97" s="286"/>
    </row>
    <row r="98" spans="1:7">
      <c r="A98" s="286" t="s">
        <v>176</v>
      </c>
      <c r="B98" s="980">
        <v>0</v>
      </c>
      <c r="C98" s="286"/>
      <c r="D98" s="286"/>
      <c r="E98" s="286"/>
      <c r="F98" s="286"/>
      <c r="G98" s="286"/>
    </row>
    <row r="99" spans="1:7">
      <c r="A99" s="286" t="s">
        <v>179</v>
      </c>
      <c r="B99" s="980">
        <v>302828.37019858917</v>
      </c>
      <c r="C99" s="286"/>
      <c r="D99" s="286"/>
      <c r="E99" s="286"/>
      <c r="F99" s="286"/>
      <c r="G99" s="286"/>
    </row>
    <row r="100" spans="1:7">
      <c r="A100" s="286" t="s">
        <v>180</v>
      </c>
      <c r="B100" s="980">
        <v>0</v>
      </c>
      <c r="C100" s="286"/>
      <c r="D100" s="286"/>
      <c r="E100" s="286"/>
      <c r="F100" s="286"/>
      <c r="G100" s="286"/>
    </row>
    <row r="101" spans="1:7">
      <c r="A101" s="286" t="s">
        <v>181</v>
      </c>
      <c r="B101" s="980">
        <v>5076.3871592844962</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491430</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9.2470210000000002</v>
      </c>
      <c r="C113" s="286"/>
      <c r="D113" s="286"/>
      <c r="E113" s="286"/>
      <c r="F113" s="286"/>
      <c r="G113" s="286"/>
    </row>
    <row r="114" spans="1:7">
      <c r="A114" s="286" t="s">
        <v>727</v>
      </c>
      <c r="B114" s="980">
        <v>4.4961599999999997</v>
      </c>
      <c r="C114" s="286"/>
      <c r="D114" s="286"/>
      <c r="E114" s="286"/>
      <c r="F114" s="286"/>
      <c r="G114" s="286"/>
    </row>
    <row r="115" spans="1:7">
      <c r="A115" s="286" t="s">
        <v>728</v>
      </c>
      <c r="B115" s="980">
        <v>164.14080000000001</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1202.4294522835553</v>
      </c>
      <c r="C121" s="286"/>
      <c r="D121" s="286"/>
      <c r="E121" s="286"/>
      <c r="F121" s="286"/>
      <c r="G121" s="286"/>
    </row>
    <row r="122" spans="1:7">
      <c r="A122" s="286" t="s">
        <v>731</v>
      </c>
      <c r="B122" s="980">
        <v>104.97091686785261</v>
      </c>
      <c r="C122" s="286"/>
      <c r="D122" s="286"/>
      <c r="E122" s="286"/>
      <c r="F122" s="286"/>
      <c r="G122" s="286"/>
    </row>
    <row r="123" spans="1:7">
      <c r="A123" s="286" t="s">
        <v>3</v>
      </c>
      <c r="B123" s="980">
        <v>141.55227652007002</v>
      </c>
      <c r="C123" s="286"/>
      <c r="D123" s="286"/>
      <c r="E123" s="286"/>
      <c r="F123" s="286"/>
      <c r="G123" s="286"/>
    </row>
    <row r="124" spans="1:7">
      <c r="A124" s="981" t="s">
        <v>732</v>
      </c>
      <c r="B124" s="986">
        <v>401.22375084404263</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21174.420748875469</v>
      </c>
      <c r="C3" s="43" t="s">
        <v>150</v>
      </c>
      <c r="D3" s="43"/>
      <c r="E3" s="151"/>
      <c r="F3" s="43"/>
      <c r="G3" s="43"/>
      <c r="H3" s="43"/>
      <c r="I3" s="43"/>
      <c r="J3" s="43"/>
      <c r="K3" s="95"/>
    </row>
    <row r="4" spans="1:11">
      <c r="A4" s="304" t="s">
        <v>151</v>
      </c>
      <c r="B4" s="49">
        <f>IF(ISERROR('SECAP template'!B105+'SECAP template'!C105),0,'SECAP template'!B105+'SECAP template'!C105)</f>
        <v>7208.698473206804</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4.7463744754349495</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0.14598609492362977</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15.741550126204084</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231.82910238587237</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6.7901527306967524E-2</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290.12094522476372</v>
      </c>
      <c r="C4" s="30">
        <f>kWh_eigengeb_warmtekoude/1000</f>
        <v>0</v>
      </c>
      <c r="D4" s="30">
        <f>kWh_eigengeb_aardgas/1000*0.903</f>
        <v>273.45401828932603</v>
      </c>
      <c r="E4" s="30">
        <f>kWh_eigengeb_vloeibaargas/1000</f>
        <v>0</v>
      </c>
      <c r="F4" s="30">
        <f>kWh_eigengeb_stookolie/1000</f>
        <v>5.0763871592844962</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290.12094522476372</v>
      </c>
      <c r="C6" s="21">
        <f>SUM(C4:C4)</f>
        <v>0</v>
      </c>
      <c r="D6" s="21">
        <f>SUM(D4:D4)</f>
        <v>273.45401828932603</v>
      </c>
      <c r="E6" s="21">
        <f>SUM(E4:E4)</f>
        <v>0</v>
      </c>
      <c r="F6" s="21">
        <f>SUM(F4:F4)</f>
        <v>5.0763871592844962</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0.14598609492362977</v>
      </c>
      <c r="C8" s="917">
        <f>'EF ele_warmte'!B23</f>
        <v>6.7901527306967524E-2</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42.353623848915547</v>
      </c>
      <c r="C10" s="23">
        <f>C6*C8</f>
        <v>0</v>
      </c>
      <c r="D10" s="23">
        <f>D6*D8</f>
        <v>55.23771169444386</v>
      </c>
      <c r="E10" s="23">
        <f>E6*E8</f>
        <v>0</v>
      </c>
      <c r="F10" s="23">
        <f>F6*F8</f>
        <v>1.3553953715289606</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491.43</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491.43</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0.14598609492362977</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71.741946628319383</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491.43</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-491.43</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0.14598609492362977</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8162.935617855017</v>
      </c>
      <c r="C5" s="17">
        <f>IF(ISERROR('Eigen informatie GS &amp; warmtenet'!B61),0,'Eigen informatie GS &amp; warmtenet'!B61)</f>
        <v>0</v>
      </c>
      <c r="D5" s="30">
        <f>(SUM(HH_hh_gas_kWh,HH_rest_gas_kWh)/1000)*0.903</f>
        <v>11386.898248740001</v>
      </c>
      <c r="E5" s="17">
        <f>B33*B42</f>
        <v>1028.1956578813113</v>
      </c>
      <c r="F5" s="17">
        <f>B37*B46</f>
        <v>16707.50710048122</v>
      </c>
      <c r="G5" s="18" t="s">
        <v>637</v>
      </c>
      <c r="H5" s="17" t="s">
        <v>637</v>
      </c>
      <c r="I5" s="17" t="s">
        <v>637</v>
      </c>
      <c r="J5" s="17">
        <f>B36*B45+C36*C45</f>
        <v>133.93356386793559</v>
      </c>
      <c r="K5" s="17" t="s">
        <v>637</v>
      </c>
      <c r="L5" s="884" t="s">
        <v>637</v>
      </c>
      <c r="M5" s="17" t="s">
        <v>637</v>
      </c>
      <c r="N5" s="17" t="s">
        <v>670</v>
      </c>
      <c r="O5" s="17">
        <f>B35*B44+C35*C44</f>
        <v>3891.3186404345779</v>
      </c>
      <c r="P5" s="17" t="s">
        <v>637</v>
      </c>
      <c r="Q5" s="17" t="s">
        <v>637</v>
      </c>
    </row>
    <row r="6" spans="1:17" s="810" customFormat="1">
      <c r="A6" s="16" t="s">
        <v>633</v>
      </c>
      <c r="B6" s="17">
        <f>'lokale energieproductie'!N31</f>
        <v>20.524950001641994</v>
      </c>
      <c r="C6" s="17">
        <f>'lokale energieproductie'!O31</f>
        <v>48.294000003863509</v>
      </c>
      <c r="D6" s="17">
        <f>('lokale energieproductie'!P31)*(-1)</f>
        <v>0</v>
      </c>
      <c r="E6" s="17">
        <f>('lokale energieproductie'!X31)*(-1)</f>
        <v>0</v>
      </c>
      <c r="F6" s="17">
        <f>('lokale energieproductie'!S31)*(-1)</f>
        <v>-76.733800006138694</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1202.4294522835553</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9385.8900201402139</v>
      </c>
      <c r="C9" s="21">
        <f>MAX((C5+C6+C7),0)</f>
        <v>48.294000003863509</v>
      </c>
      <c r="D9" s="21">
        <f t="shared" ref="D9:O9" si="0">MAX((D5+D6+D7),0)</f>
        <v>11386.898248740001</v>
      </c>
      <c r="E9" s="21">
        <f t="shared" si="0"/>
        <v>1028.1956578813113</v>
      </c>
      <c r="F9" s="21">
        <f t="shared" si="0"/>
        <v>16630.773300475081</v>
      </c>
      <c r="G9" s="21" t="s">
        <v>637</v>
      </c>
      <c r="H9" s="21" t="s">
        <v>637</v>
      </c>
      <c r="I9" s="21" t="s">
        <v>670</v>
      </c>
      <c r="J9" s="21">
        <f t="shared" si="0"/>
        <v>133.93356386793559</v>
      </c>
      <c r="K9" s="21" t="s">
        <v>637</v>
      </c>
      <c r="L9" s="21">
        <f>MAX((L6),0)</f>
        <v>0</v>
      </c>
      <c r="M9" s="21">
        <f>MAX((M6),0)</f>
        <v>0</v>
      </c>
      <c r="N9" s="21" t="s">
        <v>637</v>
      </c>
      <c r="O9" s="21">
        <f t="shared" si="0"/>
        <v>3891.3186404345779</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0.14598609492362977</v>
      </c>
      <c r="C11" s="25">
        <f>'EF ele_warmte'!B23</f>
        <v>6.7901527306967524E-2</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1370.2094314229387</v>
      </c>
      <c r="C13" s="23">
        <f>C11*C9</f>
        <v>3.2792363600250276</v>
      </c>
      <c r="D13" s="23">
        <f>D9*D11</f>
        <v>2300.1534462454802</v>
      </c>
      <c r="E13" s="23">
        <f>E11*E9</f>
        <v>233.40041433905768</v>
      </c>
      <c r="F13" s="23">
        <f>F11*F9</f>
        <v>4440.4164712268466</v>
      </c>
      <c r="G13" s="23" t="s">
        <v>637</v>
      </c>
      <c r="H13" s="23" t="s">
        <v>637</v>
      </c>
      <c r="I13" s="23" t="s">
        <v>637</v>
      </c>
      <c r="J13" s="23">
        <f>J11*J9</f>
        <v>47.412481609249198</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2628</v>
      </c>
      <c r="C27" s="36"/>
      <c r="D27" s="208"/>
      <c r="E27" s="1168"/>
      <c r="L27" s="812"/>
    </row>
    <row r="28" spans="1:12" s="15" customFormat="1" hidden="1">
      <c r="A28" s="210" t="s">
        <v>722</v>
      </c>
      <c r="B28" s="37">
        <f>SUM(HH_hh_gas_aantal,HH_rest_gas_aantal)</f>
        <v>1015</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964.25</v>
      </c>
      <c r="C32" s="34" t="s">
        <v>91</v>
      </c>
      <c r="D32" s="167"/>
      <c r="E32" s="1168"/>
    </row>
    <row r="33" spans="1:6" hidden="1">
      <c r="A33" s="164" t="s">
        <v>70</v>
      </c>
      <c r="B33" s="33">
        <f>IF((B22*($B$27-($B$28-0.05*$B$28)))&lt;0,0,(B22*($B$27-($B$28-0.05*$B$28))))</f>
        <v>26.829776125829962</v>
      </c>
      <c r="C33" s="34" t="s">
        <v>91</v>
      </c>
      <c r="D33" s="167"/>
      <c r="E33" s="1168"/>
    </row>
    <row r="34" spans="1:6" hidden="1">
      <c r="A34" s="164" t="s">
        <v>71</v>
      </c>
      <c r="B34" s="33">
        <f>IF((B23*($B$27-($B$28-0.05*$B$28)))&lt;0,0,B23*($B$27-($B$28-0.05*$B$28)))</f>
        <v>435.66242732863543</v>
      </c>
      <c r="C34" s="34" t="s">
        <v>91</v>
      </c>
      <c r="D34" s="167"/>
      <c r="E34" s="1168"/>
    </row>
    <row r="35" spans="1:6" hidden="1">
      <c r="A35" s="164" t="s">
        <v>72</v>
      </c>
      <c r="B35" s="33">
        <f>IF((B25*($B$27-($B$28-0.05*$B$28)))&lt;0,0,B25*($B$27-($B$28-0.05*$B$28)))</f>
        <v>190.49605048919025</v>
      </c>
      <c r="C35" s="33">
        <f>B27*C25</f>
        <v>441.50399999999991</v>
      </c>
      <c r="D35" s="213"/>
      <c r="E35" s="1168"/>
    </row>
    <row r="36" spans="1:6" hidden="1">
      <c r="A36" s="164" t="s">
        <v>73</v>
      </c>
      <c r="B36" s="33">
        <f>IF((B20*($B$27-($B$28-0.05*$B$28)))&lt;0,0,B20*($B$27-($B$28-0.05*$B$28)))</f>
        <v>11.662839717961287</v>
      </c>
      <c r="C36" s="33">
        <f>B36/2</f>
        <v>5.8314198589806434</v>
      </c>
      <c r="D36" s="213"/>
      <c r="E36" s="1168"/>
    </row>
    <row r="37" spans="1:6" hidden="1">
      <c r="A37" s="164" t="s">
        <v>74</v>
      </c>
      <c r="B37" s="33">
        <f>IF((B19*($B$27-($B$28-0.05*$B$28)))&lt;0,0,B19*($B$27-($B$28-0.05*$B$28)))</f>
        <v>881.63828224411122</v>
      </c>
      <c r="C37" s="34" t="s">
        <v>91</v>
      </c>
      <c r="D37" s="167"/>
      <c r="E37" s="1168"/>
    </row>
    <row r="38" spans="1:6" hidden="1">
      <c r="A38" s="164" t="s">
        <v>75</v>
      </c>
      <c r="B38" s="33">
        <f>IF((B24*($B$27-($B$28-0.05*$B$28)))&lt;0,0,B24*($B$27-($B$28-0.05*$B$28)))</f>
        <v>109.644190847338</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5990.2426821449826</v>
      </c>
      <c r="C5" s="17">
        <f>IF(ISERROR('Eigen informatie GS &amp; warmtenet'!B62),0,'Eigen informatie GS &amp; warmtenet'!B62)</f>
        <v>0</v>
      </c>
      <c r="D5" s="30">
        <f>SUM(D6:D12)</f>
        <v>2640.8051691000001</v>
      </c>
      <c r="E5" s="17">
        <f>SUM(E6:E12)</f>
        <v>6.8638578544897104</v>
      </c>
      <c r="F5" s="17">
        <f>SUM(F6:F12)</f>
        <v>645.97168366872984</v>
      </c>
      <c r="G5" s="17" t="s">
        <v>637</v>
      </c>
      <c r="H5" s="17">
        <f t="shared" ref="H5" si="0">SUM(H6:H12)</f>
        <v>6.7214250793526914E-2</v>
      </c>
      <c r="I5" s="17" t="s">
        <v>637</v>
      </c>
      <c r="J5" s="17">
        <f>SUM(J6:J12)</f>
        <v>3.2025397644372777E-3</v>
      </c>
      <c r="K5" s="17" t="s">
        <v>637</v>
      </c>
      <c r="L5" s="884" t="s">
        <v>668</v>
      </c>
      <c r="M5" s="17" t="s">
        <v>668</v>
      </c>
      <c r="N5" s="17" t="s">
        <v>668</v>
      </c>
      <c r="O5" s="17">
        <f>SUM(O6:O12)</f>
        <v>127.04384818734142</v>
      </c>
      <c r="P5" s="17" t="s">
        <v>637</v>
      </c>
      <c r="Q5" s="17" t="s">
        <v>637</v>
      </c>
      <c r="S5" s="32"/>
    </row>
    <row r="6" spans="1:19">
      <c r="A6" s="32" t="s">
        <v>53</v>
      </c>
      <c r="B6" s="37">
        <f>B27</f>
        <v>1665.2336521449829</v>
      </c>
      <c r="C6" s="33"/>
      <c r="D6" s="37">
        <f>IF(ISERROR(TER_kantoor_gas_kWh/1000),0,TER_kantoor_gas_kWh/1000)*0.903</f>
        <v>1133.9232418500001</v>
      </c>
      <c r="E6" s="33">
        <f>$C$27*'E Balans VL '!I12/100/3.6*1000000</f>
        <v>1.2379942133714726E-4</v>
      </c>
      <c r="F6" s="33">
        <f>$C$27*('E Balans VL '!L12+'E Balans VL '!N12)/100/3.6*1000000</f>
        <v>137.55059530757686</v>
      </c>
      <c r="G6" s="33"/>
      <c r="H6" s="33">
        <f>$C$27*('E Balans VL '!J12)/100/3.6*1000000</f>
        <v>0</v>
      </c>
      <c r="I6" s="33"/>
      <c r="J6" s="33">
        <f>$C$27*('E Balans VL '!D12+'E Balans VL '!E12)/100/3.6*1000000</f>
        <v>0</v>
      </c>
      <c r="K6" s="33"/>
      <c r="L6" s="33"/>
      <c r="M6" s="33"/>
      <c r="N6" s="33"/>
      <c r="O6" s="33">
        <f>$C$27*'E Balans VL '!Y12/100/3.6*1000000</f>
        <v>2.0438688420745548</v>
      </c>
      <c r="P6" s="33"/>
      <c r="Q6" s="33"/>
      <c r="S6" s="32"/>
    </row>
    <row r="7" spans="1:19">
      <c r="A7" s="32" t="s">
        <v>52</v>
      </c>
      <c r="B7" s="37">
        <f t="shared" ref="B7:B12" si="1">B28</f>
        <v>405.40502000000004</v>
      </c>
      <c r="C7" s="33"/>
      <c r="D7" s="37">
        <f>IF(ISERROR(TER_horeca_gas_kWh/1000),0,TER_horeca_gas_kWh/1000)*0.903</f>
        <v>256.77058742999998</v>
      </c>
      <c r="E7" s="33">
        <f>$C$28*'E Balans VL '!I9/100/3.6*1000000</f>
        <v>0</v>
      </c>
      <c r="F7" s="33">
        <f>$C$28*('E Balans VL '!L9+'E Balans VL '!N9)/100/3.6*1000000</f>
        <v>49.940198306849197</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3189.6163900000001</v>
      </c>
      <c r="C8" s="33"/>
      <c r="D8" s="37">
        <f>IF(ISERROR(TER_handel_gas_kWh/1000),0,TER_handel_gas_kWh/1000)*0.903</f>
        <v>638.28508044</v>
      </c>
      <c r="E8" s="33">
        <f>$C$29*'E Balans VL '!I13/100/3.6*1000000</f>
        <v>8.7560256238949669E-2</v>
      </c>
      <c r="F8" s="33">
        <f>$C$29*('E Balans VL '!L13+'E Balans VL '!N13)/100/3.6*1000000</f>
        <v>242.14303016992747</v>
      </c>
      <c r="G8" s="33"/>
      <c r="H8" s="33">
        <f>$C$29*('E Balans VL '!J13)/100/3.6*1000000</f>
        <v>0</v>
      </c>
      <c r="I8" s="33"/>
      <c r="J8" s="33">
        <f>$C$29*('E Balans VL '!D13+'E Balans VL '!E13)/100/3.6*1000000</f>
        <v>0</v>
      </c>
      <c r="K8" s="33"/>
      <c r="L8" s="33"/>
      <c r="M8" s="33"/>
      <c r="N8" s="33"/>
      <c r="O8" s="33">
        <f>$C$29*'E Balans VL '!Y13/100/3.6*1000000</f>
        <v>2.1705161437426739</v>
      </c>
      <c r="P8" s="33"/>
      <c r="Q8" s="33"/>
      <c r="S8" s="32"/>
    </row>
    <row r="9" spans="1:19">
      <c r="A9" s="32" t="s">
        <v>50</v>
      </c>
      <c r="B9" s="37">
        <f t="shared" si="1"/>
        <v>350.37769000000003</v>
      </c>
      <c r="C9" s="33"/>
      <c r="D9" s="37">
        <f>IF(ISERROR(TER_gezond_gas_kWh/1000),0,TER_gezond_gas_kWh/1000)*0.903</f>
        <v>429.09124230000003</v>
      </c>
      <c r="E9" s="33">
        <f>$C$30*'E Balans VL '!I10/100/3.6*1000000</f>
        <v>0</v>
      </c>
      <c r="F9" s="33">
        <f>$C$30*('E Balans VL '!L10+'E Balans VL '!N10)/100/3.6*1000000</f>
        <v>6.1536317012293384</v>
      </c>
      <c r="G9" s="33"/>
      <c r="H9" s="33">
        <f>$C$30*('E Balans VL '!J10)/100/3.6*1000000</f>
        <v>0</v>
      </c>
      <c r="I9" s="33"/>
      <c r="J9" s="33">
        <f>$C$30*('E Balans VL '!D10+'E Balans VL '!E10)/100/3.6*1000000</f>
        <v>0</v>
      </c>
      <c r="K9" s="33"/>
      <c r="L9" s="33"/>
      <c r="M9" s="33"/>
      <c r="N9" s="33"/>
      <c r="O9" s="33">
        <f>$C$30*'E Balans VL '!Y10/100/3.6*1000000</f>
        <v>1.7071661782056511</v>
      </c>
      <c r="P9" s="33"/>
      <c r="Q9" s="33"/>
      <c r="S9" s="32"/>
    </row>
    <row r="10" spans="1:19">
      <c r="A10" s="32" t="s">
        <v>49</v>
      </c>
      <c r="B10" s="37">
        <f t="shared" si="1"/>
        <v>339.81678999999997</v>
      </c>
      <c r="C10" s="33"/>
      <c r="D10" s="37">
        <f>IF(ISERROR(TER_ander_gas_kWh/1000),0,TER_ander_gas_kWh/1000)*0.903</f>
        <v>57.891916950000009</v>
      </c>
      <c r="E10" s="33">
        <f>$C$31*'E Balans VL '!I14/100/3.6*1000000</f>
        <v>6.7272403899482391</v>
      </c>
      <c r="F10" s="33">
        <f>$C$31*('E Balans VL '!L14+'E Balans VL '!N14)/100/3.6*1000000</f>
        <v>205.93233796775837</v>
      </c>
      <c r="G10" s="33"/>
      <c r="H10" s="33">
        <f>$C$31*('E Balans VL '!J14)/100/3.6*1000000</f>
        <v>6.6729616553359919E-2</v>
      </c>
      <c r="I10" s="33"/>
      <c r="J10" s="33">
        <f>$C$31*('E Balans VL '!D14+'E Balans VL '!E14)/100/3.6*1000000</f>
        <v>3.1794485240080662E-3</v>
      </c>
      <c r="K10" s="33"/>
      <c r="L10" s="33"/>
      <c r="M10" s="33"/>
      <c r="N10" s="33"/>
      <c r="O10" s="33">
        <f>$C$31*'E Balans VL '!Y14/100/3.6*1000000</f>
        <v>120.21137815984692</v>
      </c>
      <c r="P10" s="33"/>
      <c r="Q10" s="33"/>
      <c r="S10" s="32"/>
    </row>
    <row r="11" spans="1:19">
      <c r="A11" s="32" t="s">
        <v>54</v>
      </c>
      <c r="B11" s="37">
        <f t="shared" si="1"/>
        <v>29.216840000000001</v>
      </c>
      <c r="C11" s="33"/>
      <c r="D11" s="37">
        <f>IF(ISERROR(TER_onderwijs_gas_kWh/1000),0,TER_onderwijs_gas_kWh/1000)*0.903</f>
        <v>124.84310012999998</v>
      </c>
      <c r="E11" s="33">
        <f>$C$32*'E Balans VL '!I11/100/3.6*1000000</f>
        <v>0</v>
      </c>
      <c r="F11" s="33">
        <f>$C$32*('E Balans VL '!L11+'E Balans VL '!N11)/100/3.6*1000000</f>
        <v>2.1411806357850112</v>
      </c>
      <c r="G11" s="33"/>
      <c r="H11" s="33">
        <f>$C$32*('E Balans VL '!J11)/100/3.6*1000000</f>
        <v>0</v>
      </c>
      <c r="I11" s="33"/>
      <c r="J11" s="33">
        <f>$C$32*('E Balans VL '!D11+'E Balans VL '!E11)/100/3.6*1000000</f>
        <v>0</v>
      </c>
      <c r="K11" s="33"/>
      <c r="L11" s="33"/>
      <c r="M11" s="33"/>
      <c r="N11" s="33"/>
      <c r="O11" s="33">
        <f>$C$32*'E Balans VL '!Y11/100/3.6*1000000</f>
        <v>2.6944801489288253E-2</v>
      </c>
      <c r="P11" s="33"/>
      <c r="Q11" s="33"/>
      <c r="S11" s="32"/>
    </row>
    <row r="12" spans="1:19">
      <c r="A12" s="32" t="s">
        <v>229</v>
      </c>
      <c r="B12" s="37">
        <f t="shared" si="1"/>
        <v>10.5763</v>
      </c>
      <c r="C12" s="33"/>
      <c r="D12" s="37">
        <f>IF(ISERROR(TER_rest_gas_kWh/1000),0,TER_rest_gas_kWh/1000)*0.903</f>
        <v>0</v>
      </c>
      <c r="E12" s="33">
        <f>$C$33*'E Balans VL '!I8/100/3.6*1000000</f>
        <v>4.8933408881185053E-2</v>
      </c>
      <c r="F12" s="33">
        <f>$C$33*('E Balans VL '!L8+'E Balans VL '!N8)/100/3.6*1000000</f>
        <v>2.1107095796036321</v>
      </c>
      <c r="G12" s="33"/>
      <c r="H12" s="33">
        <f>$C$33*('E Balans VL '!J8)/100/3.6*1000000</f>
        <v>4.8463424016699546E-4</v>
      </c>
      <c r="I12" s="33"/>
      <c r="J12" s="33">
        <f>$C$33*('E Balans VL '!D8+'E Balans VL '!E8)/100/3.6*1000000</f>
        <v>2.3091240429211479E-5</v>
      </c>
      <c r="K12" s="33"/>
      <c r="L12" s="33"/>
      <c r="M12" s="33"/>
      <c r="N12" s="33"/>
      <c r="O12" s="33">
        <f>$C$33*'E Balans VL '!Y8/100/3.6*1000000</f>
        <v>0.88397406198233586</v>
      </c>
      <c r="P12" s="33"/>
      <c r="Q12" s="33"/>
      <c r="S12" s="32"/>
    </row>
    <row r="13" spans="1:19">
      <c r="A13" s="16" t="s">
        <v>625</v>
      </c>
      <c r="B13" s="17">
        <f>'lokale energieproductie'!N33</f>
        <v>0</v>
      </c>
      <c r="C13" s="17">
        <f>'lokale energieproductie'!O33</f>
        <v>0</v>
      </c>
      <c r="D13" s="920">
        <f>('lokale energieproductie'!P33)*(-1)</f>
        <v>0</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401.22375084404263</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-290.12094522476372</v>
      </c>
      <c r="C15" s="17">
        <f>('Eigen gebouwen'!C4)*(-1)</f>
        <v>0</v>
      </c>
      <c r="D15" s="17">
        <f>('Eigen gebouwen'!D4)*(-1)</f>
        <v>-273.45401828932603</v>
      </c>
      <c r="E15" s="17">
        <f>('Eigen gebouwen'!E4)*(-1)</f>
        <v>0</v>
      </c>
      <c r="F15" s="17">
        <f>('Eigen gebouwen'!F4)*(-1)</f>
        <v>-5.0763871592844962</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6101.3454877642616</v>
      </c>
      <c r="C17" s="21">
        <f t="shared" ref="C17:O17" si="2">MAX((C5+C13+C15),0)</f>
        <v>0</v>
      </c>
      <c r="D17" s="21">
        <f t="shared" si="2"/>
        <v>2367.351150810674</v>
      </c>
      <c r="E17" s="21">
        <f t="shared" si="2"/>
        <v>6.8638578544897104</v>
      </c>
      <c r="F17" s="21">
        <f>MAX((F5+F13+F15),0)</f>
        <v>640.8952965094453</v>
      </c>
      <c r="G17" s="21" t="s">
        <v>637</v>
      </c>
      <c r="H17" s="21">
        <f t="shared" ref="H17" si="3">MAX((H5+H13+H15),0)</f>
        <v>6.7214250793526914E-2</v>
      </c>
      <c r="I17" s="21" t="s">
        <v>637</v>
      </c>
      <c r="J17" s="21">
        <f t="shared" si="2"/>
        <v>3.2025397644372777E-3</v>
      </c>
      <c r="K17" s="21" t="s">
        <v>637</v>
      </c>
      <c r="L17" s="21" t="s">
        <v>668</v>
      </c>
      <c r="M17" s="21" t="s">
        <v>668</v>
      </c>
      <c r="N17" s="21" t="s">
        <v>668</v>
      </c>
      <c r="O17" s="21">
        <f t="shared" si="2"/>
        <v>127.04384818734142</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0.14598609492362977</v>
      </c>
      <c r="C19" s="25">
        <f>'EF ele_warmte'!B23</f>
        <v>6.7901527306967524E-2</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890.71160153861365</v>
      </c>
      <c r="C21" s="23">
        <f t="shared" ref="C21:O21" si="4">C17*C19</f>
        <v>0</v>
      </c>
      <c r="D21" s="23">
        <f t="shared" si="4"/>
        <v>478.20493246375617</v>
      </c>
      <c r="E21" s="23">
        <f t="shared" si="4"/>
        <v>1.5580957329691643</v>
      </c>
      <c r="F21" s="23">
        <f t="shared" si="4"/>
        <v>171.1190441680219</v>
      </c>
      <c r="G21" s="23" t="s">
        <v>637</v>
      </c>
      <c r="H21" s="23">
        <f t="shared" si="4"/>
        <v>1.6736348447588201E-2</v>
      </c>
      <c r="I21" s="23" t="s">
        <v>637</v>
      </c>
      <c r="J21" s="23">
        <f t="shared" si="4"/>
        <v>1.1336990766107962E-3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1665.2336521449829</v>
      </c>
      <c r="C27" s="39">
        <f>IF(ISERROR(B27*3.6/1000000/'E Balans VL '!Z12*100),0,B27*3.6/1000000/'E Balans VL '!Z12*100)</f>
        <v>5.0725164376233173E-2</v>
      </c>
      <c r="D27" s="216" t="s">
        <v>734</v>
      </c>
      <c r="F27" s="6"/>
    </row>
    <row r="28" spans="1:19">
      <c r="A28" s="211" t="s">
        <v>52</v>
      </c>
      <c r="B28" s="33">
        <f>IF(ISERROR(TER_horeca_ele_kWh/1000),0,TER_horeca_ele_kWh/1000)</f>
        <v>405.40502000000004</v>
      </c>
      <c r="C28" s="39">
        <f>IF(ISERROR(B28*3.6/1000000/'E Balans VL '!Z9*100),0,B28*3.6/1000000/'E Balans VL '!Z9*100)</f>
        <v>4.8288617915809268E-2</v>
      </c>
      <c r="D28" s="216" t="s">
        <v>734</v>
      </c>
      <c r="F28" s="6"/>
    </row>
    <row r="29" spans="1:19">
      <c r="A29" s="164" t="s">
        <v>51</v>
      </c>
      <c r="B29" s="33">
        <f>IF(ISERROR(TER_handel_ele_kWh/1000),0,TER_handel_ele_kWh/1000)</f>
        <v>3189.6163900000001</v>
      </c>
      <c r="C29" s="39">
        <f>IF(ISERROR(B29*3.6/1000000/'E Balans VL '!Z13*100),0,B29*3.6/1000000/'E Balans VL '!Z13*100)</f>
        <v>0.10961116783678961</v>
      </c>
      <c r="D29" s="216" t="s">
        <v>734</v>
      </c>
      <c r="F29" s="6"/>
    </row>
    <row r="30" spans="1:19">
      <c r="A30" s="211" t="s">
        <v>50</v>
      </c>
      <c r="B30" s="33">
        <f>IF(ISERROR(TER_gezond_ele_kWh/1000),0,TER_gezond_ele_kWh/1000)</f>
        <v>350.37769000000003</v>
      </c>
      <c r="C30" s="39">
        <f>IF(ISERROR(B30*3.6/1000000/'E Balans VL '!Z10*100),0,B30*3.6/1000000/'E Balans VL '!Z10*100)</f>
        <v>3.3625951093815463E-2</v>
      </c>
      <c r="D30" s="216" t="s">
        <v>734</v>
      </c>
      <c r="F30" s="6"/>
    </row>
    <row r="31" spans="1:19">
      <c r="A31" s="211" t="s">
        <v>49</v>
      </c>
      <c r="B31" s="33">
        <f>IF(ISERROR(TER_ander_ele_kWh/1000),0,TER_ander_ele_kWh/1000)</f>
        <v>339.81678999999997</v>
      </c>
      <c r="C31" s="39">
        <f>IF(ISERROR(B31*3.6/1000000/'E Balans VL '!Z14*100),0,B31*3.6/1000000/'E Balans VL '!Z14*100)</f>
        <v>1.3021632180237813E-2</v>
      </c>
      <c r="D31" s="216" t="s">
        <v>734</v>
      </c>
      <c r="F31" s="6"/>
    </row>
    <row r="32" spans="1:19">
      <c r="A32" s="211" t="s">
        <v>54</v>
      </c>
      <c r="B32" s="33">
        <f>IF(ISERROR(TER_onderwijs_ele_kWh/1000),0,TER_onderwijs_ele_kWh/1000)</f>
        <v>29.216840000000001</v>
      </c>
      <c r="C32" s="39">
        <f>IF(ISERROR(B32*3.6/1000000/'E Balans VL '!Z11*100),0,B32*3.6/1000000/'E Balans VL '!Z11*100)</f>
        <v>5.8501828647301085E-3</v>
      </c>
      <c r="D32" s="216" t="s">
        <v>734</v>
      </c>
    </row>
    <row r="33" spans="1:4">
      <c r="A33" s="211" t="s">
        <v>229</v>
      </c>
      <c r="B33" s="33">
        <f>IF(ISERROR(TER_rest_ele_kWh/1000),0,TER_rest_ele_kWh/1000)</f>
        <v>10.5763</v>
      </c>
      <c r="C33" s="39">
        <f>IF(ISERROR(B33*3.6/1000000/'E Balans VL '!Z8*100),0,B33*3.6/1000000/'E Balans VL '!Z8*100)</f>
        <v>9.4571633157180114E-5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2400.0513099999998</v>
      </c>
      <c r="C5" s="17">
        <f>IF(ISERROR('Eigen informatie GS &amp; warmtenet'!B63),0,'Eigen informatie GS &amp; warmtenet'!B63)</f>
        <v>0</v>
      </c>
      <c r="D5" s="30">
        <f>SUM(D6:D15)</f>
        <v>407.92305309000005</v>
      </c>
      <c r="E5" s="17">
        <f>SUM(E6:E15)</f>
        <v>36.296498661059843</v>
      </c>
      <c r="F5" s="17">
        <f>SUM(F6:F15)</f>
        <v>2124.5239494956777</v>
      </c>
      <c r="G5" s="17" t="s">
        <v>637</v>
      </c>
      <c r="H5" s="17">
        <f t="shared" ref="H5" si="0">SUM(H6:H15)</f>
        <v>0</v>
      </c>
      <c r="I5" s="17" t="s">
        <v>637</v>
      </c>
      <c r="J5" s="17">
        <f>SUM(J6:J15)</f>
        <v>1.684461643315935</v>
      </c>
      <c r="K5" s="17" t="s">
        <v>637</v>
      </c>
      <c r="L5" s="884" t="s">
        <v>668</v>
      </c>
      <c r="M5" s="17" t="s">
        <v>668</v>
      </c>
      <c r="N5" s="17" t="s">
        <v>668</v>
      </c>
      <c r="O5" s="17">
        <f>SUM(O6:O15)</f>
        <v>147.34879541118437</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42.350989999999996</v>
      </c>
      <c r="C8" s="33"/>
      <c r="D8" s="37">
        <f>IF( ISERROR(IND_metaal_Gas_kWH/1000),0,IND_metaal_Gas_kWH/1000)*0.903</f>
        <v>57.974171220000002</v>
      </c>
      <c r="E8" s="33">
        <f>C31*'E Balans VL '!I18/100/3.6*1000000</f>
        <v>0.23487899889865152</v>
      </c>
      <c r="F8" s="33">
        <f>C31*'E Balans VL '!L18/100/3.6*1000000+C31*'E Balans VL '!N18/100/3.6*1000000</f>
        <v>2.5029359004650673</v>
      </c>
      <c r="G8" s="33"/>
      <c r="H8" s="33">
        <f>E31*'E Balans VL '!J18/100/3.6*1000000</f>
        <v>0</v>
      </c>
      <c r="I8" s="33"/>
      <c r="J8" s="40">
        <f>C31*'E Balans VL '!D18/100/3.6*1000000+C31*'E Balans VL '!E18/100/3.6*1000000</f>
        <v>0</v>
      </c>
      <c r="K8" s="33"/>
      <c r="L8" s="33"/>
      <c r="M8" s="33"/>
      <c r="N8" s="33"/>
      <c r="O8" s="33">
        <f>C31*'E Balans VL '!Y18/100/3.6*1000000</f>
        <v>0.67733824075372229</v>
      </c>
      <c r="P8" s="33"/>
      <c r="Q8" s="33"/>
      <c r="S8" s="32"/>
    </row>
    <row r="9" spans="1:19">
      <c r="A9" s="6" t="s">
        <v>32</v>
      </c>
      <c r="B9" s="37">
        <f t="shared" si="1"/>
        <v>2025.7623999999998</v>
      </c>
      <c r="C9" s="33"/>
      <c r="D9" s="37">
        <f>IF( ISERROR(IND_andere_gas_kWh/1000),0,IND_andere_gas_kWh/1000)*0.903</f>
        <v>297.95462949000006</v>
      </c>
      <c r="E9" s="33">
        <f>C32*'E Balans VL '!I19/100/3.6*1000000</f>
        <v>12.754938471820267</v>
      </c>
      <c r="F9" s="33">
        <f>C32*'E Balans VL '!L19/100/3.6*1000000+C32*'E Balans VL '!N19/100/3.6*1000000</f>
        <v>2051.9238497680008</v>
      </c>
      <c r="G9" s="33"/>
      <c r="H9" s="33">
        <f>E32*'E Balans VL '!J19/100/3.6*1000000</f>
        <v>0</v>
      </c>
      <c r="I9" s="33"/>
      <c r="J9" s="40">
        <f>C32*'E Balans VL '!D19/100/3.6*1000000+C32*'E Balans VL '!E19/100/3.6*1000000</f>
        <v>0</v>
      </c>
      <c r="K9" s="33"/>
      <c r="L9" s="33"/>
      <c r="M9" s="33"/>
      <c r="N9" s="33"/>
      <c r="O9" s="33">
        <f>C32*'E Balans VL '!Y19/100/3.6*1000000</f>
        <v>130.51787478164849</v>
      </c>
      <c r="P9" s="33"/>
      <c r="Q9" s="33"/>
      <c r="S9" s="32"/>
    </row>
    <row r="10" spans="1:19">
      <c r="A10" s="6" t="s">
        <v>40</v>
      </c>
      <c r="B10" s="37">
        <f t="shared" si="1"/>
        <v>21.213519999999999</v>
      </c>
      <c r="C10" s="33"/>
      <c r="D10" s="37">
        <f>IF( ISERROR(IND_voed_gas_kWh/1000),0,IND_voed_gas_kWh/1000)*0.903</f>
        <v>0</v>
      </c>
      <c r="E10" s="33">
        <f>C33*'E Balans VL '!I20/100/3.6*1000000</f>
        <v>5.6207575627566925E-2</v>
      </c>
      <c r="F10" s="33">
        <f>C33*'E Balans VL '!L20/100/3.6*1000000+C33*'E Balans VL '!N20/100/3.6*1000000</f>
        <v>0.8614438281779585</v>
      </c>
      <c r="G10" s="33"/>
      <c r="H10" s="33">
        <f>E33*'E Balans VL '!J20/100/3.6*1000000</f>
        <v>0</v>
      </c>
      <c r="I10" s="33"/>
      <c r="J10" s="40">
        <f>C33*'E Balans VL '!D20/100/3.6*1000000+C33*'E Balans VL '!E20/100/3.6*1000000</f>
        <v>0</v>
      </c>
      <c r="K10" s="33"/>
      <c r="L10" s="33"/>
      <c r="M10" s="33"/>
      <c r="N10" s="33"/>
      <c r="O10" s="33">
        <f>C33*'E Balans VL '!Y20/100/3.6*1000000</f>
        <v>1.3944134052671835</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310.72439999999995</v>
      </c>
      <c r="C15" s="33"/>
      <c r="D15" s="37">
        <f>IF( ISERROR(IND_rest_gas_kWh/1000),0,IND_rest_gas_kWh/1000)*0.903</f>
        <v>51.994252379999999</v>
      </c>
      <c r="E15" s="33">
        <f>C38*'E Balans VL '!I15/100/3.6*1000000</f>
        <v>23.250473614713361</v>
      </c>
      <c r="F15" s="33">
        <f>C38*'E Balans VL '!L15/100/3.6*1000000+C38*'E Balans VL '!N15/100/3.6*1000000</f>
        <v>69.235719999033662</v>
      </c>
      <c r="G15" s="33"/>
      <c r="H15" s="33">
        <f>E38*'E Balans VL '!J15/100/3.6*1000000</f>
        <v>0</v>
      </c>
      <c r="I15" s="33"/>
      <c r="J15" s="40">
        <f>C38*'E Balans VL '!D15/100/3.6*1000000+C38*'E Balans VL '!E15/100/3.6*1000000</f>
        <v>1.684461643315935</v>
      </c>
      <c r="K15" s="33"/>
      <c r="L15" s="33"/>
      <c r="M15" s="33"/>
      <c r="N15" s="33"/>
      <c r="O15" s="33">
        <f>C38*'E Balans VL '!Y15/100/3.6*1000000</f>
        <v>14.759168983514968</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104.97091686785261</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2505.0222268678526</v>
      </c>
      <c r="C19" s="21">
        <f>C5+C16</f>
        <v>0</v>
      </c>
      <c r="D19" s="21">
        <f>MAX((D5+D16),0)</f>
        <v>407.92305309000005</v>
      </c>
      <c r="E19" s="21">
        <f>MAX((E5+E16),0)</f>
        <v>36.296498661059843</v>
      </c>
      <c r="F19" s="21">
        <f>MAX((F5+F16),0)</f>
        <v>2124.5239494956777</v>
      </c>
      <c r="G19" s="21" t="s">
        <v>637</v>
      </c>
      <c r="H19" s="21">
        <f t="shared" ref="H19" si="2">MAX((H5+H16),0)</f>
        <v>0</v>
      </c>
      <c r="I19" s="21" t="s">
        <v>637</v>
      </c>
      <c r="J19" s="21">
        <f>MAX((J5+J16),0)</f>
        <v>1.684461643315935</v>
      </c>
      <c r="K19" s="21" t="s">
        <v>637</v>
      </c>
      <c r="L19" s="882" t="s">
        <v>668</v>
      </c>
      <c r="M19" s="21" t="s">
        <v>668</v>
      </c>
      <c r="N19" s="21" t="s">
        <v>668</v>
      </c>
      <c r="O19" s="21">
        <f>MAX((O5+O16),0)</f>
        <v>147.34879541118437</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0.14598609492362977</v>
      </c>
      <c r="C21" s="25">
        <f>'EF ele_warmte'!B23</f>
        <v>6.7901527306967524E-2</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365.69841259733278</v>
      </c>
      <c r="C23" s="23">
        <f>C19*C21</f>
        <v>0</v>
      </c>
      <c r="D23" s="23">
        <f>D19*D21</f>
        <v>82.400456724180017</v>
      </c>
      <c r="E23" s="23">
        <f>E19*E21</f>
        <v>8.2393051960605845</v>
      </c>
      <c r="F23" s="23">
        <f>F19*F21</f>
        <v>567.24789451534593</v>
      </c>
      <c r="G23" s="23" t="s">
        <v>637</v>
      </c>
      <c r="H23" s="23">
        <f t="shared" ref="H23" si="3">H19*H21</f>
        <v>0</v>
      </c>
      <c r="I23" s="23" t="s">
        <v>637</v>
      </c>
      <c r="J23" s="23">
        <f>J19*J21</f>
        <v>0.59629942173384098</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42.350989999999996</v>
      </c>
      <c r="C31" s="39">
        <f>IF(ISERROR(B31*3.6/1000000/'E Balans VL '!Z18*100),0,B31*3.6/1000000/'E Balans VL '!Z18*100)</f>
        <v>2.9730422474202154E-3</v>
      </c>
      <c r="D31" s="216" t="s">
        <v>735</v>
      </c>
    </row>
    <row r="32" spans="1:19" ht="30">
      <c r="A32" s="6" t="s">
        <v>32</v>
      </c>
      <c r="B32" s="37">
        <f>IF( ISERROR(IND_ander_ele_kWh/1000),0,IND_ander_ele_kWh/1000)</f>
        <v>2025.7623999999998</v>
      </c>
      <c r="C32" s="39">
        <f>IF(ISERROR(B32*3.6/1000000/'E Balans VL '!Z19*100),0,B32*3.6/1000000/'E Balans VL '!Z19*100)</f>
        <v>0.10789024322847818</v>
      </c>
      <c r="D32" s="216" t="s">
        <v>735</v>
      </c>
    </row>
    <row r="33" spans="1:5" ht="30">
      <c r="A33" s="164" t="s">
        <v>40</v>
      </c>
      <c r="B33" s="37">
        <f>IF( ISERROR(IND_voed_ele_kWh/1000),0,IND_voed_ele_kWh/1000)</f>
        <v>21.213519999999999</v>
      </c>
      <c r="C33" s="39">
        <f>IF(ISERROR(B33*3.6/1000000/'E Balans VL '!Z20*100),0,B33*3.6/1000000/'E Balans VL '!Z20*100)</f>
        <v>7.6870201725145798E-4</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310.72439999999995</v>
      </c>
      <c r="C38" s="39">
        <f>IF(ISERROR(B38*3.6/1000000/'E Balans VL '!Z15*100),0,B38*3.6/1000000/'E Balans VL '!Z15*100)</f>
        <v>2.9877848520940184E-3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1358.7811199999999</v>
      </c>
      <c r="C5" s="17">
        <f>'Eigen informatie GS &amp; warmtenet'!B64</f>
        <v>0</v>
      </c>
      <c r="D5" s="30">
        <f>IF(ISERROR(SUM(LB_lb_gas_kWh,LB_rest_gas_kWh)/1000),0,SUM(LB_lb_gas_kWh,LB_rest_gas_kWh)/1000)*0.903</f>
        <v>62.691533519999993</v>
      </c>
      <c r="E5" s="17">
        <f>B18*'E Balans VL '!I25/3.6*1000000/100</f>
        <v>53.181446869850916</v>
      </c>
      <c r="F5" s="17">
        <f>B18*('E Balans VL '!L25/3.6*1000000+'E Balans VL '!N25/3.6*1000000)/100</f>
        <v>5383.8061381734906</v>
      </c>
      <c r="G5" s="17" t="s">
        <v>637</v>
      </c>
      <c r="H5" s="17">
        <f>D18*('E Balans VL '!J25/3.6*1000000)/100</f>
        <v>0</v>
      </c>
      <c r="I5" s="17" t="s">
        <v>637</v>
      </c>
      <c r="J5" s="17">
        <f>('E Balans VL '!D25+'E Balans VL '!E25)/3.6*1000000*landbouw!B18/100</f>
        <v>171.22770221572992</v>
      </c>
      <c r="K5" s="17" t="s">
        <v>637</v>
      </c>
      <c r="L5" s="17" t="s">
        <v>668</v>
      </c>
      <c r="M5" s="17" t="s">
        <v>668</v>
      </c>
      <c r="N5" s="17" t="s">
        <v>671</v>
      </c>
      <c r="O5" s="17">
        <f>O6*(-1)</f>
        <v>251.59027057163613</v>
      </c>
      <c r="P5" s="17" t="s">
        <v>637</v>
      </c>
      <c r="Q5" s="17" t="s">
        <v>637</v>
      </c>
      <c r="S5" s="32"/>
    </row>
    <row r="6" spans="1:19">
      <c r="A6" s="16" t="s">
        <v>626</v>
      </c>
      <c r="B6" s="17" t="s">
        <v>191</v>
      </c>
      <c r="C6" s="17">
        <f>'lokale energieproductie'!O34</f>
        <v>183.53510238200886</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-251.59027057163613</v>
      </c>
      <c r="P6" s="223"/>
      <c r="Q6" s="223"/>
      <c r="S6" s="32"/>
    </row>
    <row r="7" spans="1:19" s="812" customFormat="1">
      <c r="A7" s="16" t="s">
        <v>484</v>
      </c>
      <c r="B7" s="17">
        <f>MWh_eigenverbruikPV_landbouw</f>
        <v>141.55227652007002</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1500.33339652007</v>
      </c>
      <c r="C9" s="21">
        <f>C5+C6</f>
        <v>183.53510238200886</v>
      </c>
      <c r="D9" s="21">
        <f>MAX((D5+D6),0)</f>
        <v>62.691533519999993</v>
      </c>
      <c r="E9" s="21">
        <f>MAX((E5+E6),0)</f>
        <v>53.181446869850916</v>
      </c>
      <c r="F9" s="21">
        <f>MAX((F5+F6),0)</f>
        <v>5383.8061381734906</v>
      </c>
      <c r="G9" s="21" t="s">
        <v>637</v>
      </c>
      <c r="H9" s="21" t="s">
        <v>637</v>
      </c>
      <c r="I9" s="21" t="s">
        <v>637</v>
      </c>
      <c r="J9" s="21">
        <f>MAX((J5+J6),0)</f>
        <v>171.22770221572992</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0.14598609492362977</v>
      </c>
      <c r="C11" s="31">
        <f>'EF ele_warmte'!B23</f>
        <v>6.7901527306967524E-2</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219.0278136414708</v>
      </c>
      <c r="C13" s="23">
        <f>C9*C11</f>
        <v>12.462313766179054</v>
      </c>
      <c r="D13" s="23">
        <f>D9*D11</f>
        <v>12.66368977104</v>
      </c>
      <c r="E13" s="23">
        <f>E9*E11</f>
        <v>12.072188439456159</v>
      </c>
      <c r="F13" s="23">
        <f>F9*F11</f>
        <v>1437.476238892322</v>
      </c>
      <c r="G13" s="23" t="s">
        <v>637</v>
      </c>
      <c r="H13" s="23" t="s">
        <v>637</v>
      </c>
      <c r="I13" s="23" t="s">
        <v>637</v>
      </c>
      <c r="J13" s="23">
        <f>J9*J11</f>
        <v>60.614606584368389</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0.2348548870722143</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333.10813198061089</v>
      </c>
      <c r="C26" s="222">
        <f>B26*'GWP N2O_CH4'!B5</f>
        <v>9327.0276954571054</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143.35486136944496</v>
      </c>
      <c r="C27" s="222">
        <f>B27*'GWP N2O_CH4'!B5</f>
        <v>4013.9361183444589</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4.6913624063471167</v>
      </c>
      <c r="C28" s="222">
        <f>B28*'GWP N2O_CH4'!B4</f>
        <v>1243.211037681986</v>
      </c>
      <c r="D28" s="50"/>
    </row>
    <row r="29" spans="1:4">
      <c r="A29" s="41" t="s">
        <v>241</v>
      </c>
      <c r="B29" s="222">
        <f>B34*'ha_N2O bodem landbouw'!B4</f>
        <v>17.473431692742501</v>
      </c>
      <c r="C29" s="222">
        <f>B29*'GWP N2O_CH4'!B4</f>
        <v>4630.4593985767624</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4.2495324955451911E-3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1.9357892702540243E-3</v>
      </c>
      <c r="C5" s="922" t="s">
        <v>667</v>
      </c>
      <c r="D5" s="924">
        <f>SUM(D6:D11)</f>
        <v>6.2690368806426686E-4</v>
      </c>
      <c r="E5" s="924">
        <f>SUM(E6:E11)</f>
        <v>2.685053772231081E-4</v>
      </c>
      <c r="F5" s="923" t="s">
        <v>667</v>
      </c>
      <c r="G5" s="924">
        <f>SUM(G6:G11)</f>
        <v>7.4537837952504932E-2</v>
      </c>
      <c r="H5" s="924">
        <f>SUM(H6:H11)</f>
        <v>4.2585263985221777E-2</v>
      </c>
      <c r="I5" s="922" t="s">
        <v>667</v>
      </c>
      <c r="J5" s="922" t="s">
        <v>667</v>
      </c>
      <c r="K5" s="922" t="s">
        <v>667</v>
      </c>
      <c r="L5" s="922" t="s">
        <v>667</v>
      </c>
      <c r="M5" s="922" t="s">
        <v>667</v>
      </c>
      <c r="N5" s="924">
        <f>SUM(N6:N11)</f>
        <v>1.2346841427228762E-2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6.8583051709833606E-4</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1.7841487768371849E-4</v>
      </c>
      <c r="E6" s="926">
        <f>vkm_GW_PW*SUMIFS(TableVerdeelsleutelVkm[LPG],TableVerdeelsleutelVkm[Voertuigtype],"Lichte voertuigen")*SUMIFS(TableECFTransport[EnergieConsumptieFactor (PJ per km)],TableECFTransport[Index],CONCATENATE($A6,"_LPG_LPG"))</f>
        <v>8.3221192645552188E-5</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1.808311066016682E-2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1.3014586152471176E-2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3.2110972880699884E-3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9.292264989390254E-7</v>
      </c>
      <c r="C7" s="926"/>
      <c r="D7" s="926">
        <f>vkm_GW_ZV*SUMIFS(TableVerdeelsleutelVkm[CNG],TableVerdeelsleutelVkm[Voertuigtype],"Zware voertuigen")*SUMIFS(TableECFTransport[EnergieConsumptieFactor (PJ per km)],TableECFTransport[Index],CONCATENATE($A7,"_CNG_CNG"))</f>
        <v>1.2623359468092627E-8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9.018718003301434E-3</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2.9128637496182827E-8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1.0796781005235326E-3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1.2482550953570625E-3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4.4846252846530163E-4</v>
      </c>
      <c r="E8" s="927">
        <f>vkm_NGW_PW*SUMIFS(TableVerdeelsleutelVkm[LPG],TableVerdeelsleutelVkm[Voertuigtype],"Lichte voertuigen")*SUMIFS(TableECFTransport[EnergieConsumptieFactor (PJ per km)],TableECFTransport[Index],CONCATENATE($A8,"_LPG_LPG"))</f>
        <v>1.8528418457755593E-4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3.7677698657830001E-2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2.9570619402068302E-2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6.8878475982134604E-3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7.7443129968687022E-7</v>
      </c>
      <c r="C9" s="926"/>
      <c r="D9" s="927">
        <f>vkm_NGW_ZV*SUMIFS(TableVerdeelsleutelVkm[CNG],TableVerdeelsleutelVkm[Voertuigtype],"Zware voertuigen")*SUMIFS(TableECFTransport[EnergieConsumptieFactor (PJ per km)],TableECFTransport[Index],CONCATENATE($A9,"_CNG_CNG"))</f>
        <v>1.3658555778541802E-8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9.7583106312066799E-3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2.9302044807503763E-8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1.1682184404217795E-3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-9.2470210000000002</v>
      </c>
      <c r="E12" s="369">
        <f>('Eigen vloot'!E27)*(-1)</f>
        <v>0</v>
      </c>
      <c r="F12" s="369"/>
      <c r="G12" s="369">
        <f>('Eigen vloot'!G27)*(-1)</f>
        <v>-146.59158901021152</v>
      </c>
      <c r="H12" s="369">
        <f>('Eigen vloot'!H27)*(-1)</f>
        <v>-4.1615978754657377</v>
      </c>
      <c r="I12" s="369"/>
      <c r="J12" s="369"/>
      <c r="K12" s="369"/>
      <c r="L12" s="932"/>
      <c r="M12" s="369"/>
      <c r="N12" s="369">
        <f>('Eigen vloot'!N27)*(-1)</f>
        <v>-17.883773114322757</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537.71924173722903</v>
      </c>
      <c r="C14" s="21" t="s">
        <v>667</v>
      </c>
      <c r="D14" s="21">
        <f>MAX(((D5)*10^9/3600)+D12,0)</f>
        <v>164.89289235118522</v>
      </c>
      <c r="E14" s="21">
        <f>MAX(((E5)*10^9/3600)+E12,0)</f>
        <v>74.584827006418905</v>
      </c>
      <c r="F14" s="21" t="s">
        <v>667</v>
      </c>
      <c r="G14" s="21">
        <f>MAX(((G5)*10^9/3600)+G12,0)</f>
        <v>20558.363397796715</v>
      </c>
      <c r="H14" s="21">
        <f>MAX(((H5)*10^9/3600)+H12,0)</f>
        <v>11825.078398019474</v>
      </c>
      <c r="I14" s="21" t="s">
        <v>667</v>
      </c>
      <c r="J14" s="21" t="s">
        <v>667</v>
      </c>
      <c r="K14" s="21" t="s">
        <v>667</v>
      </c>
      <c r="L14" s="882" t="s">
        <v>667</v>
      </c>
      <c r="M14" s="21" t="s">
        <v>667</v>
      </c>
      <c r="N14" s="21">
        <f>MAX(((N5)*10^9/3600)+N12,0)</f>
        <v>3411.7944011158888</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0.14598609492362977</v>
      </c>
      <c r="C16" s="55">
        <f>'EF ele_warmte'!B23</f>
        <v>6.7901527306967524E-2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78.499532266513341</v>
      </c>
      <c r="C18" s="23" t="s">
        <v>667</v>
      </c>
      <c r="D18" s="23">
        <f t="shared" ref="D18:N18" si="0">D14*D16</f>
        <v>33.30836425493942</v>
      </c>
      <c r="E18" s="23">
        <f>E14*E16</f>
        <v>16.930755730457093</v>
      </c>
      <c r="F18" s="23" t="s">
        <v>667</v>
      </c>
      <c r="G18" s="23">
        <f t="shared" si="0"/>
        <v>5489.0830272117228</v>
      </c>
      <c r="H18" s="23">
        <f t="shared" si="0"/>
        <v>2944.4445211068492</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2.9182826235887348E-5</v>
      </c>
      <c r="C50" s="937" t="s">
        <v>667</v>
      </c>
      <c r="D50" s="937" t="s">
        <v>667</v>
      </c>
      <c r="E50" s="937" t="s">
        <v>667</v>
      </c>
      <c r="F50" s="937" t="s">
        <v>667</v>
      </c>
      <c r="G50" s="937">
        <f t="shared" ref="G50:N50" si="1">SUM(G51:G52)</f>
        <v>1.6427003474361278E-3</v>
      </c>
      <c r="H50" s="937" t="s">
        <v>667</v>
      </c>
      <c r="I50" s="937" t="s">
        <v>667</v>
      </c>
      <c r="J50" s="937" t="s">
        <v>667</v>
      </c>
      <c r="K50" s="937" t="s">
        <v>667</v>
      </c>
      <c r="L50" s="937" t="s">
        <v>667</v>
      </c>
      <c r="M50" s="937" t="s">
        <v>667</v>
      </c>
      <c r="N50" s="937">
        <f t="shared" si="1"/>
        <v>1.9665585989484923E-4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2.9182826235887348E-5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1.6427003474361278E-3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1.9665585989484923E-4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8.1063406210798181</v>
      </c>
      <c r="C54" s="21" t="s">
        <v>667</v>
      </c>
      <c r="D54" s="21" t="s">
        <v>667</v>
      </c>
      <c r="E54" s="21" t="s">
        <v>667</v>
      </c>
      <c r="F54" s="21" t="s">
        <v>667</v>
      </c>
      <c r="G54" s="21">
        <f t="shared" ref="G54:N54" si="2">(G50)*10^9/3600</f>
        <v>456.305652065591</v>
      </c>
      <c r="H54" s="21" t="s">
        <v>667</v>
      </c>
      <c r="I54" s="21" t="s">
        <v>667</v>
      </c>
      <c r="J54" s="21" t="s">
        <v>667</v>
      </c>
      <c r="K54" s="21" t="s">
        <v>667</v>
      </c>
      <c r="L54" s="21" t="s">
        <v>667</v>
      </c>
      <c r="M54" s="21" t="s">
        <v>667</v>
      </c>
      <c r="N54" s="21">
        <f t="shared" si="2"/>
        <v>54.626627748569234</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0.14598609492362977</v>
      </c>
      <c r="C56" s="55">
        <f>'EF ele_warmte'!B23</f>
        <v>6.7901527306967524E-2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1.1834130113922343</v>
      </c>
      <c r="C58" s="23" t="s">
        <v>667</v>
      </c>
      <c r="D58" s="23" t="s">
        <v>667</v>
      </c>
      <c r="E58" s="23" t="s">
        <v>667</v>
      </c>
      <c r="F58" s="23" t="s">
        <v>667</v>
      </c>
      <c r="G58" s="23">
        <f t="shared" ref="G58:N58" si="3">G54*G56</f>
        <v>121.83360910151281</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7138.7976232012124</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69.900850005592048</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17.776683428595316</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58.28514413868232</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4.7463744754349495</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7208.6984732068049</v>
      </c>
      <c r="C10" s="456">
        <f t="shared" ref="C10:M10" si="0">SUM(C8:C9)</f>
        <v>0</v>
      </c>
      <c r="D10" s="456">
        <f t="shared" si="0"/>
        <v>0</v>
      </c>
      <c r="E10" s="456">
        <f t="shared" si="0"/>
        <v>17.776683428595316</v>
      </c>
      <c r="F10" s="456">
        <f t="shared" si="0"/>
        <v>0</v>
      </c>
      <c r="G10" s="456">
        <f t="shared" si="0"/>
        <v>0</v>
      </c>
      <c r="H10" s="456">
        <f t="shared" si="0"/>
        <v>0</v>
      </c>
      <c r="I10" s="456">
        <f t="shared" si="0"/>
        <v>0</v>
      </c>
      <c r="J10" s="456">
        <f t="shared" si="0"/>
        <v>0</v>
      </c>
      <c r="K10" s="456">
        <f t="shared" si="0"/>
        <v>58.28514413868232</v>
      </c>
      <c r="L10" s="456">
        <f t="shared" si="0"/>
        <v>0</v>
      </c>
      <c r="M10" s="456">
        <f t="shared" si="0"/>
        <v>0</v>
      </c>
      <c r="N10" s="457">
        <f>SUM(N4:N9)</f>
        <v>4.7463744754349495</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231.82910238587237</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58.957116577543381</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193.30512643295384</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15.741550126204084</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231.82910238587237</v>
      </c>
      <c r="C20" s="455">
        <f>SUM(C17:C19)</f>
        <v>0</v>
      </c>
      <c r="D20" s="455">
        <f t="shared" ref="D20:K20" si="2">SUM(D17:D19)</f>
        <v>0</v>
      </c>
      <c r="E20" s="455">
        <f t="shared" si="2"/>
        <v>58.957116577543381</v>
      </c>
      <c r="F20" s="455">
        <f t="shared" si="2"/>
        <v>0</v>
      </c>
      <c r="G20" s="455">
        <f t="shared" si="2"/>
        <v>0</v>
      </c>
      <c r="H20" s="455">
        <f t="shared" si="2"/>
        <v>0</v>
      </c>
      <c r="I20" s="455">
        <f t="shared" si="2"/>
        <v>0</v>
      </c>
      <c r="J20" s="455">
        <f t="shared" si="2"/>
        <v>0</v>
      </c>
      <c r="K20" s="455">
        <f t="shared" si="2"/>
        <v>193.30512643295384</v>
      </c>
      <c r="L20" s="455"/>
      <c r="M20" s="455">
        <f>SUM(M17:M19)</f>
        <v>0</v>
      </c>
      <c r="N20" s="479">
        <f>SUM(N17:N19)</f>
        <v>15.741550126204084</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45061</v>
      </c>
      <c r="C28" s="619"/>
      <c r="D28" s="526"/>
      <c r="E28" s="525"/>
      <c r="F28" s="525"/>
      <c r="G28" s="525"/>
      <c r="H28" s="525"/>
      <c r="I28" s="525"/>
      <c r="J28" s="618"/>
      <c r="K28" s="618"/>
      <c r="L28" s="525"/>
      <c r="M28" s="525">
        <v>7.65</v>
      </c>
      <c r="N28" s="525">
        <v>20.524950001641994</v>
      </c>
      <c r="O28" s="525">
        <v>48.294000003863509</v>
      </c>
      <c r="P28" s="525">
        <v>0</v>
      </c>
      <c r="Q28" s="525">
        <v>0</v>
      </c>
      <c r="R28" s="525">
        <v>0</v>
      </c>
      <c r="S28" s="525">
        <v>76.733800006138694</v>
      </c>
      <c r="T28" s="525">
        <v>0</v>
      </c>
      <c r="U28" s="525">
        <v>0</v>
      </c>
      <c r="V28" s="525">
        <v>0</v>
      </c>
      <c r="W28" s="525">
        <v>0</v>
      </c>
      <c r="X28" s="525">
        <v>0</v>
      </c>
      <c r="Y28" s="525">
        <v>0</v>
      </c>
      <c r="Z28" s="525"/>
      <c r="AA28" s="527" t="s">
        <v>135</v>
      </c>
    </row>
    <row r="29" spans="1:27" s="484" customFormat="1" ht="12.75">
      <c r="A29" s="483"/>
      <c r="B29" s="619">
        <v>45061</v>
      </c>
      <c r="C29" s="619"/>
      <c r="D29" s="526"/>
      <c r="E29" s="525"/>
      <c r="F29" s="525"/>
      <c r="G29" s="525"/>
      <c r="H29" s="525"/>
      <c r="I29" s="525"/>
      <c r="J29" s="618"/>
      <c r="K29" s="618"/>
      <c r="L29" s="525"/>
      <c r="M29" s="525">
        <v>9.0299999999999958</v>
      </c>
      <c r="N29" s="525">
        <v>49.375900003950058</v>
      </c>
      <c r="O29" s="525">
        <v>183.53510238200886</v>
      </c>
      <c r="P29" s="525">
        <v>0</v>
      </c>
      <c r="Q29" s="525">
        <v>251.59027057163613</v>
      </c>
      <c r="R29" s="525">
        <v>0</v>
      </c>
      <c r="S29" s="525">
        <v>0</v>
      </c>
      <c r="T29" s="525">
        <v>0</v>
      </c>
      <c r="U29" s="525">
        <v>0</v>
      </c>
      <c r="V29" s="525">
        <v>0</v>
      </c>
      <c r="W29" s="525">
        <v>0</v>
      </c>
      <c r="X29" s="525">
        <v>0</v>
      </c>
      <c r="Y29" s="525">
        <v>0</v>
      </c>
      <c r="Z29" s="525"/>
      <c r="AA29" s="527" t="s">
        <v>92</v>
      </c>
    </row>
    <row r="30" spans="1:27" s="465" customFormat="1">
      <c r="A30" s="485" t="s">
        <v>243</v>
      </c>
      <c r="B30" s="486"/>
      <c r="C30" s="486"/>
      <c r="D30" s="486"/>
      <c r="E30" s="486"/>
      <c r="F30" s="486"/>
      <c r="G30" s="486"/>
      <c r="H30" s="486"/>
      <c r="I30" s="486"/>
      <c r="J30" s="486"/>
      <c r="K30" s="486"/>
      <c r="L30" s="487"/>
      <c r="M30" s="487">
        <f>SUM(M28:M29)</f>
        <v>16.679999999999996</v>
      </c>
      <c r="N30" s="487">
        <f>SUM(N28:N29)</f>
        <v>69.900850005592048</v>
      </c>
      <c r="O30" s="487">
        <f>SUM(O28:O29)</f>
        <v>231.82910238587237</v>
      </c>
      <c r="P30" s="487">
        <f>SUM(P28:P29)</f>
        <v>0</v>
      </c>
      <c r="Q30" s="487">
        <f>SUM(Q28:Q29)</f>
        <v>251.59027057163613</v>
      </c>
      <c r="R30" s="487">
        <f>SUM(R28:R29)</f>
        <v>0</v>
      </c>
      <c r="S30" s="487">
        <f>SUM(S28:S29)</f>
        <v>76.733800006138694</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7.65</v>
      </c>
      <c r="N31" s="487">
        <f>SUMIF($AA$28:$AA$29,"huishoudens",N28:N29)</f>
        <v>20.524950001641994</v>
      </c>
      <c r="O31" s="487">
        <f>SUMIF($AA$28:$AA$29,"huishoudens",O28:O29)</f>
        <v>48.294000003863509</v>
      </c>
      <c r="P31" s="487">
        <f>SUMIF($AA$28:$AA$29,"huishoudens",P28:P29)</f>
        <v>0</v>
      </c>
      <c r="Q31" s="487">
        <f>SUMIF($AA$28:$AA$29,"huishoudens",Q28:Q29)</f>
        <v>0</v>
      </c>
      <c r="R31" s="487">
        <f>SUMIF($AA$28:$AA$29,"huishoudens",R28:R29)</f>
        <v>0</v>
      </c>
      <c r="S31" s="487">
        <f>SUMIF($AA$28:$AA$29,"huishoudens",S28:S29)</f>
        <v>76.733800006138694</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0</v>
      </c>
      <c r="N33" s="487">
        <f>SUMIF($AA$28:$AA$29,"tertiair",N28:N29)</f>
        <v>0</v>
      </c>
      <c r="O33" s="487">
        <f>SUMIF($AA$28:$AA$29,"tertiair",O28:O29)</f>
        <v>0</v>
      </c>
      <c r="P33" s="487">
        <f>SUMIF($AA$28:$AA$29,"tertiair",P28:P29)</f>
        <v>0</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9.0299999999999958</v>
      </c>
      <c r="N34" s="492">
        <f>SUMIF($AA$28:$AA$29,"landbouw",N28:N29)</f>
        <v>49.375900003950058</v>
      </c>
      <c r="O34" s="492">
        <f>SUMIF($AA$28:$AA$29,"landbouw",O28:O29)</f>
        <v>183.53510238200886</v>
      </c>
      <c r="P34" s="492">
        <f>SUMIF($AA$28:$AA$29,"landbouw",P28:P29)</f>
        <v>0</v>
      </c>
      <c r="Q34" s="492">
        <f>SUMIF($AA$28:$AA$29,"landbouw",Q28:Q29)</f>
        <v>251.59027057163613</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0.7683330758130944</v>
      </c>
      <c r="C41" s="510">
        <f>IF(ISERROR(N30/(O30+N30)),0,N30/(N30+O30))</f>
        <v>0.23166692418690571</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0</v>
      </c>
      <c r="C44" s="519">
        <f t="shared" si="3"/>
        <v>58.28514413868232</v>
      </c>
      <c r="D44" s="519">
        <f t="shared" si="3"/>
        <v>0</v>
      </c>
      <c r="E44" s="519">
        <f t="shared" si="3"/>
        <v>17.776683428595316</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0</v>
      </c>
      <c r="C45" s="521">
        <f t="shared" si="4"/>
        <v>193.30512643295384</v>
      </c>
      <c r="D45" s="521">
        <f t="shared" si="4"/>
        <v>0</v>
      </c>
      <c r="E45" s="521">
        <f t="shared" si="4"/>
        <v>58.957116577543381</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2024-08-06T14:00:49Z</dcterms:modified>
</cp:coreProperties>
</file>