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17A4F05-CBAE-42B0-B56A-774EAA33F43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B7" i="15"/>
  <c r="P19" i="16"/>
  <c r="H104" i="14"/>
  <c r="H9" i="59" s="1"/>
  <c r="O11" i="48"/>
  <c r="C78" i="22"/>
  <c r="P17" i="15"/>
  <c r="B101" i="14"/>
  <c r="B6" i="59" s="1"/>
  <c r="B100" i="14"/>
  <c r="B5" i="59" s="1"/>
  <c r="B15" i="16"/>
  <c r="B7" i="16"/>
  <c r="B9" i="15"/>
  <c r="P11" i="48"/>
  <c r="Q10" i="14"/>
  <c r="Q9" i="14" s="1"/>
  <c r="B11" i="15" l="1"/>
  <c r="E10" i="15"/>
  <c r="H10" i="15"/>
  <c r="L13" i="13"/>
  <c r="M62" i="14" s="1"/>
  <c r="M66" i="14" s="1"/>
  <c r="L4" i="48"/>
  <c r="L22" i="48" s="1"/>
  <c r="M16" i="14"/>
  <c r="M20" i="14" s="1"/>
  <c r="O115" i="14"/>
  <c r="C40" i="18"/>
  <c r="B40" i="18"/>
  <c r="O13" i="15"/>
  <c r="F8" i="15"/>
  <c r="H8" i="15"/>
  <c r="H5" i="15" s="1"/>
  <c r="H17" i="15" s="1"/>
  <c r="B9" i="13"/>
  <c r="B4" i="48" s="1"/>
  <c r="B6" i="13"/>
  <c r="B8" i="16"/>
  <c r="J9" i="15"/>
  <c r="H9" i="15"/>
  <c r="D16"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O103" i="14" s="1"/>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103" i="14" l="1"/>
  <c r="B8" i="59" s="1"/>
  <c r="P66" i="14"/>
  <c r="F31" i="14"/>
  <c r="F30" i="14" s="1"/>
  <c r="F37" i="14" s="1"/>
  <c r="D8" i="59"/>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<sst xmlns="http://schemas.openxmlformats.org/spreadsheetml/2006/main" count="3026" uniqueCount="783">
  <si>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</si>
  <si>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</si>
  <si>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</si>
  <si>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</si>
  <si>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</si>
  <si>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</si>
  <si>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</si>
  <si>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</si>
  <si>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</si>
  <si>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</si>
  <si>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</si>
  <si>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</si>
  <si>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</si>
  <si>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</si>
  <si>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</si>
  <si>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</si>
  <si>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</si>
  <si>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</si>
  <si>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</si>
  <si>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</si>
  <si>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</si>
  <si>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</si>
  <si>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</si>
  <si>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</si>
  <si>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</si>
  <si>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</si>
  <si>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</si>
  <si>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</si>
  <si>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</si>
  <si>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</si>
  <si>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</si>
  <si>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</si>
  <si>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</si>
  <si>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</si>
  <si>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</si>
  <si>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</si>
  <si>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</si>
  <si>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</si>
  <si>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</si>
  <si>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</si>
  <si>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</si>
  <si>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</si>
  <si>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</si>
  <si>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</si>
  <si>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</si>
  <si>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</si>
  <si>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</si>
  <si>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</si>
  <si>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</si>
  <si>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</si>
  <si>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</si>
  <si>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</si>
  <si>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</si>
  <si>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</si>
  <si>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</si>
  <si>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</si>
  <si>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</si>
  <si>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</si>
  <si>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</si>
  <si>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</si>
  <si>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</si>
  <si>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</si>
  <si>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</si>
  <si>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</si>
  <si>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</si>
  <si>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</si>
  <si>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</si>
  <si>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</si>
  <si>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</si>
  <si>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</si>
  <si>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</si>
  <si>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</si>
  <si>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</si>
  <si>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</si>
  <si>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</si>
  <si>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</si>
  <si>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</si>
  <si>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</si>
  <si>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</si>
  <si>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</si>
  <si>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</si>
  <si>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</si>
  <si>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</si>
  <si>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</si>
  <si>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</si>
  <si>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</si>
  <si>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</si>
  <si>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</si>
  <si>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</si>
  <si>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</si>
  <si>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</si>
  <si>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</si>
  <si>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</si>
  <si>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</si>
  <si>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</si>
  <si>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</si>
  <si>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</si>
  <si>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</si>
  <si>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</si>
  <si>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</si>
  <si>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</si>
  <si>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</si>
  <si>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</si>
  <si>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</si>
  <si>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</si>
  <si>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</si>
  <si>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</si>
  <si>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</si>
  <si>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</si>
  <si>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</si>
  <si>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</si>
  <si>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</si>
  <si>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</si>
  <si>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</si>
  <si>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</si>
  <si>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</si>
  <si>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</si>
  <si>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</si>
  <si>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</si>
  <si>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</si>
  <si>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</si>
  <si>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</si>
  <si>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</si>
  <si>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</si>
  <si>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</si>
  <si>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</si>
  <si>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</si>
  <si>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</si>
  <si>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</si>
  <si>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</si>
  <si>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</si>
  <si>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</si>
  <si>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</si>
  <si>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</si>
  <si>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</si>
  <si>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</si>
  <si>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</si>
  <si>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</si>
  <si>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</si>
  <si>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</si>
  <si>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</si>
  <si>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</si>
  <si>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</si>
  <si>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</si>
  <si>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</si>
  <si>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</si>
  <si>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</si>
  <si>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</si>
  <si>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</si>
  <si>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</si>
  <si>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</si>
  <si>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</si>
  <si>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</si>
  <si>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</si>
  <si>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</si>
  <si>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</si>
  <si>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</si>
  <si>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</si>
  <si>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</si>
  <si>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</si>
  <si>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</si>
  <si>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</si>
  <si>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</si>
  <si>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</si>
  <si>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</si>
  <si>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</si>
  <si>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</si>
  <si>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</si>
  <si>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</si>
  <si>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</si>
  <si>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</si>
  <si>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</si>
  <si>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</si>
  <si>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</si>
  <si>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</si>
  <si>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</si>
  <si>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</si>
  <si>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</si>
  <si>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</si>
  <si>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</si>
  <si>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</si>
  <si>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</si>
  <si>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</si>
  <si>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</si>
  <si>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</si>
  <si>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</si>
  <si>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</si>
  <si>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</si>
  <si>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</si>
  <si>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</si>
  <si>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</si>
  <si>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</si>
  <si>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</si>
  <si>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</si>
  <si>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</si>
  <si>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</si>
  <si>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</si>
  <si>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</si>
  <si>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</si>
  <si>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</si>
  <si>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</si>
  <si>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</si>
  <si>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</si>
  <si>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</si>
  <si>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</si>
  <si>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</si>
  <si>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</si>
  <si>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</si>
  <si>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</si>
  <si>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</si>
  <si>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</si>
  <si>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</si>
  <si>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</si>
  <si>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</si>
  <si>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</si>
  <si>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</si>
  <si>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</si>
  <si>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</si>
  <si>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</si>
  <si>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</si>
  <si>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</si>
  <si>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</si>
  <si>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</si>
  <si>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</si>
  <si>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</si>
  <si>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</si>
  <si>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</si>
  <si>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</si>
  <si>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</si>
  <si>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</si>
  <si>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</si>
  <si>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</si>
  <si>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</si>
  <si>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</si>
  <si>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</si>
  <si>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</si>
  <si>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</si>
  <si>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</si>
  <si>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</si>
  <si>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</si>
  <si>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</si>
  <si>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</si>
  <si>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</si>
  <si>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</si>
  <si>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</si>
  <si>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</si>
  <si>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</si>
  <si>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</si>
  <si>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</si>
  <si>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</si>
  <si>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</si>
  <si>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</si>
  <si>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</si>
  <si>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</si>
  <si>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</si>
  <si>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</si>
  <si>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</si>
  <si>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</si>
  <si>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</si>
  <si>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</si>
  <si>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</si>
  <si>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</si>
  <si>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</si>
  <si>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</si>
  <si>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</si>
  <si>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</si>
  <si>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</si>
  <si>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</si>
  <si>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</si>
  <si>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</si>
  <si>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</si>
  <si>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</si>
  <si>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</si>
  <si>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</si>
  <si>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</si>
  <si>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</si>
  <si>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</si>
  <si>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</si>
  <si>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</si>
  <si>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</si>
  <si>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</si>
  <si>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</si>
  <si>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</si>
  <si>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</si>
  <si>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</si>
  <si>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</si>
  <si>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</si>
  <si>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</si>
  <si>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</si>
  <si>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</si>
  <si>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</si>
  <si>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</si>
  <si>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</si>
  <si>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</si>
  <si>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</si>
  <si>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</si>
  <si>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</si>
  <si>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</si>
  <si>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</si>
  <si>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</si>
  <si>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</si>
  <si>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</si>
  <si>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</si>
  <si>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</si>
  <si>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</si>
  <si>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</si>
  <si>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</si>
  <si>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</si>
  <si>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</si>
  <si>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</si>
  <si>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</si>
  <si>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</si>
  <si>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</si>
  <si>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</si>
  <si>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</si>
  <si>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</si>
  <si>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</si>
  <si>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</si>
  <si>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</si>
  <si>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</si>
  <si>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</si>
  <si>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</si>
  <si>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</si>
  <si>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</si>
  <si>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</si>
  <si>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</si>
  <si>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</si>
  <si>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</si>
  <si>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</si>
  <si>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</si>
  <si>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</si>
  <si>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</si>
  <si>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</si>
  <si>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</si>
  <si>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</si>
  <si>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</si>
  <si>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</si>
  <si>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</si>
  <si>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</si>
  <si>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</si>
  <si>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</si>
  <si>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</si>
  <si>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</si>
  <si>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</si>
  <si>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</si>
  <si>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</si>
  <si>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</si>
  <si>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</si>
  <si>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</si>
  <si>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</si>
  <si>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</si>
  <si>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</si>
  <si>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</si>
  <si>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</si>
  <si>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</si>
  <si>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</si>
  <si>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</si>
  <si>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</si>
  <si>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</si>
  <si>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</si>
  <si>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</si>
  <si>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</si>
  <si>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</si>
  <si>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</si>
  <si>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</si>
  <si>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</si>
  <si>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</si>
  <si>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</si>
  <si>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</si>
  <si>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</si>
  <si>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</si>
  <si>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</si>
  <si>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</si>
  <si>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</si>
  <si>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</si>
  <si>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</si>
  <si>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</si>
  <si>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</si>
  <si>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</si>
  <si>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</si>
  <si>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</si>
  <si>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</si>
  <si>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</si>
  <si>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</si>
  <si>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</si>
  <si>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</si>
  <si>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</si>
  <si>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</si>
  <si>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</si>
  <si>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</si>
  <si>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</si>
  <si>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</si>
  <si>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</si>
  <si>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</si>
  <si>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</si>
  <si>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</si>
  <si>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</si>
  <si>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</si>
  <si>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</si>
  <si>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</si>
  <si>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</si>
  <si>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</si>
  <si>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</si>
  <si>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</si>
  <si>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</si>
  <si>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</si>
  <si>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</si>
  <si>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</si>
  <si>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</si>
  <si>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</si>
  <si>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</si>
  <si>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</si>
  <si>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</si>
  <si>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</si>
  <si>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</si>
  <si>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</si>
  <si>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</si>
  <si>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</si>
  <si>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</si>
  <si>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</si>
  <si>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</si>
  <si>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</si>
  <si>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</si>
  <si>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</si>
  <si>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</si>
  <si>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</si>
  <si>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</si>
  <si>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</si>
  <si>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</si>
  <si>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</si>
  <si>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</si>
  <si>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</si>
  <si>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</si>
  <si>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</si>
  <si>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</si>
  <si>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</si>
  <si>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</si>
  <si>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</si>
  <si>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</si>
  <si>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</si>
  <si>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</si>
  <si>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</si>
  <si>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</si>
  <si>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</si>
  <si>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</si>
  <si>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</si>
  <si>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</si>
  <si>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</si>
  <si>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</si>
  <si>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</si>
  <si>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</si>
  <si>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</si>
  <si>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</si>
  <si>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</si>
  <si>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</si>
  <si>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</si>
  <si>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</si>
  <si>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</si>
  <si>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</si>
  <si>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</si>
  <si>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</si>
  <si>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</si>
  <si>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</si>
  <si>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</si>
  <si>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</si>
  <si>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</si>
  <si>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</si>
  <si>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</si>
  <si>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</si>
  <si>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</si>
  <si>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</si>
  <si>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</si>
  <si>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</si>
  <si>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</si>
  <si>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</si>
  <si>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</si>
  <si>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</si>
  <si>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</si>
  <si>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</si>
  <si>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</si>
  <si>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</si>
  <si>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</si>
  <si>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</si>
  <si>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</si>
  <si>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</si>
  <si>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</si>
  <si>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</si>
  <si>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</si>
  <si>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</si>
  <si>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</si>
  <si>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</si>
  <si>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</si>
  <si>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</si>
  <si>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</si>
  <si>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</si>
  <si>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</si>
  <si>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</si>
  <si>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</si>
  <si>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</si>
  <si>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</si>
  <si>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</si>
  <si>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</si>
  <si>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</si>
  <si>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</si>
  <si>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</si>
  <si>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</si>
  <si>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</si>
  <si>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</si>
  <si>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</si>
  <si>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</si>
  <si>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</si>
  <si>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</si>
  <si>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</si>
  <si>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</si>
  <si>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</si>
  <si>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</si>
  <si>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</si>
  <si>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</si>
  <si>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</si>
  <si>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</si>
  <si>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</si>
  <si>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</si>
  <si>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</si>
  <si>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</si>
  <si>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</si>
  <si>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</si>
  <si>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</si>
  <si>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</si>
  <si>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</si>
  <si>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</si>
  <si>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</si>
  <si>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</si>
  <si>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</si>
  <si>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</si>
  <si>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</si>
  <si>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</si>
  <si>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</si>
  <si>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</si>
  <si>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</si>
  <si>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</si>
  <si>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</si>
  <si>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</si>
  <si>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</si>
  <si>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</si>
  <si>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</si>
  <si>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</si>
  <si>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</si>
  <si>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</si>
  <si>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</si>
  <si>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</si>
  <si>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</si>
  <si>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</si>
  <si>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</si>
  <si>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</si>
  <si>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</si>
  <si>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</si>
  <si>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</si>
  <si>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</si>
  <si>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</si>
  <si>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</si>
  <si>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</si>
  <si>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</si>
  <si>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</si>
  <si>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</si>
  <si>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</si>
  <si>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</si>
  <si>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</si>
  <si>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</si>
  <si>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</si>
  <si>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</si>
  <si>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</si>
  <si>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</si>
  <si>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</si>
  <si>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</si>
  <si>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</si>
  <si>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</si>
  <si>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</si>
  <si>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</si>
  <si>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</si>
  <si>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</si>
  <si>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</si>
  <si>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</si>
  <si>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</si>
  <si>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</si>
  <si>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</si>
  <si>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</si>
  <si>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</si>
  <si>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</si>
  <si>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</si>
  <si>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</si>
  <si>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</si>
  <si>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</si>
  <si>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</si>
  <si>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</si>
  <si>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</si>
  <si>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</si>
  <si>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</si>
  <si>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</si>
  <si>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</si>
  <si>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</si>
  <si>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</si>
  <si>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</si>
  <si>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</si>
  <si>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</si>
  <si>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</si>
  <si>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</si>
  <si>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</si>
  <si>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</si>
  <si>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</si>
  <si>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</si>
  <si>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</si>
  <si>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</si>
  <si>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</si>
  <si>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</si>
  <si>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</si>
  <si>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</si>
  <si>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</si>
  <si>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</si>
  <si>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</si>
  <si>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</si>
  <si>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</si>
  <si>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</si>
  <si>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</si>
  <si>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</si>
  <si>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</si>
  <si>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</si>
  <si>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</si>
  <si>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</si>
  <si>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</si>
  <si>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</si>
  <si>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</si>
  <si>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</si>
  <si>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</si>
  <si>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</si>
  <si>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</si>
  <si>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</si>
  <si>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</si>
  <si>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</si>
  <si>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</si>
  <si>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</si>
  <si>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</si>
  <si>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</si>
  <si>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</si>
  <si>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</si>
  <si>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</si>
  <si>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</si>
  <si>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</si>
  <si>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</si>
  <si>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</si>
  <si>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</si>
  <si>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</si>
  <si>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</si>
  <si>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</si>
  <si>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</si>
  <si>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</si>
  <si>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</si>
  <si>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</si>
  <si>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</si>
  <si>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</si>
  <si>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</si>
  <si>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</si>
  <si>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</si>
  <si>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</si>
  <si>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</si>
  <si>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</si>
  <si>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</si>
  <si>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</si>
  <si>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</si>
  <si>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</si>
  <si>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</si>
  <si>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</si>
  <si>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</si>
  <si>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</si>
  <si>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</si>
  <si>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</si>
  <si>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</si>
  <si>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</si>
  <si>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</si>
  <si>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</si>
  <si>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</si>
  <si>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</si>
  <si>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</si>
  <si>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</si>
  <si>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</si>
  <si>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</si>
  <si>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</si>
  <si>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</si>
  <si>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</si>
  <si>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</si>
  <si>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</si>
  <si>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</si>
  <si>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</si>
  <si>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</si>
  <si>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</si>
  <si>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</si>
  <si>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</si>
  <si>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</si>
  <si>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</si>
  <si>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</si>
  <si>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</si>
  <si>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</si>
  <si>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</si>
  <si>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</si>
  <si>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</si>
  <si>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</si>
  <si>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</si>
  <si>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</si>
  <si>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</si>
  <si>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</si>
  <si>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</si>
  <si>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</si>
  <si>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</si>
  <si>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</si>
  <si>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</si>
  <si>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</si>
  <si>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</si>
  <si>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</si>
  <si>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</si>
  <si>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</si>
  <si>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</si>
  <si>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</si>
  <si>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</si>
  <si>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</si>
  <si>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</si>
  <si>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</si>
  <si>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</si>
  <si>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</si>
  <si>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</si>
  <si>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</si>
  <si>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</si>
  <si>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</si>
  <si>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</si>
  <si>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</si>
  <si>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</si>
  <si>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</si>
  <si>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</si>
  <si>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</si>
  <si>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</si>
  <si>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</si>
  <si>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</si>
  <si>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</si>
  <si>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</si>
  <si>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</si>
  <si>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</si>
  <si>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</si>
  <si>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</si>
  <si>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</si>
  <si>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</si>
  <si>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</si>
  <si>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</si>
  <si>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</si>
  <si>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</si>
  <si>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</si>
  <si>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</si>
  <si>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</si>
  <si>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</si>
  <si>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</si>
  <si>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</si>
  <si>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</si>
  <si>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</si>
  <si>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</si>
  <si>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</si>
  <si>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</si>
  <si>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</si>
  <si>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</si>
  <si>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</si>
  <si>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</si>
  <si>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</si>
  <si>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</si>
  <si>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</si>
  <si>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</si>
  <si>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</si>
  <si>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</si>
  <si>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</si>
  <si>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</si>
  <si>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</si>
  <si>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</si>
  <si>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</si>
  <si>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</si>
  <si>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</si>
  <si>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43014</t>
  </si>
  <si>
    <t>SINT-LAUREINS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</si>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</sst>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45CE1AF-A86D-458E-8F08-3BEEA578121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26FA0DB-0F7B-4428-9E94-03276FE5E10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49077.170038766199</c:v>
                </c:pt>
                <c:pt idx="1">
                  <c:v>7692.4424541193766</c:v>
                </c:pt>
                <c:pt idx="2">
                  <c:v>0</c:v>
                </c:pt>
                <c:pt idx="3">
                  <c:v>21197.427021885214</c:v>
                </c:pt>
                <c:pt idx="4">
                  <c:v>3032.2437138109099</c:v>
                </c:pt>
                <c:pt idx="5">
                  <c:v>46699.265051648348</c:v>
                </c:pt>
                <c:pt idx="6">
                  <c:v>216.36097385244858</c:v>
                </c:pt>
                <c:pt idx="7">
                  <c:v>1742.7097129057879</c:v>
                </c:pt>
                <c:pt idx="8">
                  <c:v>548.29499999999996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49077.170038766199</c:v>
                </c:pt>
                <c:pt idx="1">
                  <c:v>7692.4424541193766</c:v>
                </c:pt>
                <c:pt idx="2">
                  <c:v>0</c:v>
                </c:pt>
                <c:pt idx="3">
                  <c:v>21197.427021885214</c:v>
                </c:pt>
                <c:pt idx="4">
                  <c:v>3032.2437138109099</c:v>
                </c:pt>
                <c:pt idx="5">
                  <c:v>46699.265051648348</c:v>
                </c:pt>
                <c:pt idx="6">
                  <c:v>216.36097385244858</c:v>
                </c:pt>
                <c:pt idx="7">
                  <c:v>1742.7097129057879</c:v>
                </c:pt>
                <c:pt idx="8">
                  <c:v>548.29499999999996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9278.3048880499555</c:v>
                </c:pt>
                <c:pt idx="1">
                  <c:v>1240.6233959197232</c:v>
                </c:pt>
                <c:pt idx="2">
                  <c:v>0</c:v>
                </c:pt>
                <c:pt idx="3">
                  <c:v>5071.6083355259098</c:v>
                </c:pt>
                <c:pt idx="4">
                  <c:v>528.43134182216136</c:v>
                </c:pt>
                <c:pt idx="5">
                  <c:v>10967.602732301202</c:v>
                </c:pt>
                <c:pt idx="6">
                  <c:v>51.207088576225992</c:v>
                </c:pt>
                <c:pt idx="7">
                  <c:v>310.19236446204059</c:v>
                </c:pt>
                <c:pt idx="8">
                  <c:v>68.280945771279022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9278.3048880499555</c:v>
                </c:pt>
                <c:pt idx="1">
                  <c:v>1240.6233959197232</c:v>
                </c:pt>
                <c:pt idx="2">
                  <c:v>0</c:v>
                </c:pt>
                <c:pt idx="3">
                  <c:v>5071.6083355259098</c:v>
                </c:pt>
                <c:pt idx="4">
                  <c:v>528.43134182216136</c:v>
                </c:pt>
                <c:pt idx="5">
                  <c:v>10967.602732301202</c:v>
                </c:pt>
                <c:pt idx="6">
                  <c:v>51.207088576225992</c:v>
                </c:pt>
                <c:pt idx="7">
                  <c:v>310.19236446204059</c:v>
                </c:pt>
                <c:pt idx="8">
                  <c:v>68.280945771279022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43014</v>
      </c>
      <c r="B6" s="336"/>
      <c r="C6" s="337"/>
    </row>
    <row r="7" spans="1:7" s="334" customFormat="1" ht="15.75" customHeight="1">
      <c r="A7" s="338" t="str">
        <f>txtMunicipality</f>
        <v>SINT-LAUREINS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1088.3329542999495</v>
      </c>
      <c r="D9" s="531">
        <f t="shared" ref="D9:R9" si="0">SUM(D10:D11)</f>
        <v>0</v>
      </c>
      <c r="E9" s="531">
        <f t="shared" si="0"/>
        <v>1202.6717586058385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2291.004712905788</v>
      </c>
      <c r="T9" s="66"/>
    </row>
    <row r="10" spans="1:20" s="382" customFormat="1">
      <c r="A10" s="870" t="s">
        <v>197</v>
      </c>
      <c r="B10" s="639"/>
      <c r="C10" s="531">
        <f>'Eigen gebouwen'!B6</f>
        <v>540.03795429994943</v>
      </c>
      <c r="D10" s="531">
        <f>'Eigen gebouwen'!C6</f>
        <v>0</v>
      </c>
      <c r="E10" s="531">
        <f>'Eigen gebouwen'!D6</f>
        <v>1202.6717586058385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1742.7097129057879</v>
      </c>
      <c r="T10" s="66"/>
    </row>
    <row r="11" spans="1:20" s="382" customFormat="1">
      <c r="A11" s="870" t="s">
        <v>410</v>
      </c>
      <c r="B11" s="639"/>
      <c r="C11" s="531">
        <f>'Eigen openbare verlichting'!B6</f>
        <v>548.29499999999996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548.29499999999996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4209.7417016665404</v>
      </c>
      <c r="D13" s="868">
        <f t="shared" ref="D13:P13" si="1">SUM(D14:D15)</f>
        <v>0</v>
      </c>
      <c r="E13" s="868">
        <f t="shared" si="1"/>
        <v>2816.1123225241618</v>
      </c>
      <c r="F13" s="868">
        <f t="shared" si="1"/>
        <v>6.1900722019193823</v>
      </c>
      <c r="G13" s="868">
        <f t="shared" si="1"/>
        <v>547.17091745315474</v>
      </c>
      <c r="H13" s="868">
        <f t="shared" si="1"/>
        <v>0</v>
      </c>
      <c r="I13" s="868">
        <f t="shared" si="1"/>
        <v>6.0954971699088159E-2</v>
      </c>
      <c r="J13" s="868">
        <f t="shared" si="1"/>
        <v>0</v>
      </c>
      <c r="K13" s="868">
        <f t="shared" si="1"/>
        <v>2.9043055364276786E-3</v>
      </c>
      <c r="L13" s="868">
        <f t="shared" si="1"/>
        <v>0</v>
      </c>
      <c r="M13" s="868">
        <f t="shared" si="1"/>
        <v>0</v>
      </c>
      <c r="N13" s="868">
        <f t="shared" si="1"/>
        <v>0</v>
      </c>
      <c r="O13" s="868">
        <f t="shared" si="1"/>
        <v>0</v>
      </c>
      <c r="P13" s="868">
        <f t="shared" si="1"/>
        <v>113.16358099636433</v>
      </c>
      <c r="Q13" s="868">
        <f t="shared" ref="Q13" si="2">SUM(Q14:Q15)</f>
        <v>0</v>
      </c>
      <c r="R13" s="869">
        <f t="shared" ref="R13" si="3">SUM(R14:R15)</f>
        <v>0</v>
      </c>
      <c r="S13" s="562">
        <f t="shared" ref="S13" si="4">SUM(C13:R13)</f>
        <v>7692.4424541193766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4209.7417016665404</v>
      </c>
      <c r="D15" s="531">
        <f>tertiair!C17</f>
        <v>0</v>
      </c>
      <c r="E15" s="531">
        <f>tertiair!D17</f>
        <v>2816.1123225241618</v>
      </c>
      <c r="F15" s="531">
        <f>tertiair!E17</f>
        <v>6.1900722019193823</v>
      </c>
      <c r="G15" s="531">
        <f>tertiair!F17</f>
        <v>547.17091745315474</v>
      </c>
      <c r="H15" s="531" t="str">
        <f>tertiair!G17</f>
        <v>NE</v>
      </c>
      <c r="I15" s="531">
        <f>tertiair!H17</f>
        <v>6.0954971699088159E-2</v>
      </c>
      <c r="J15" s="531" t="str">
        <f>tertiair!I17</f>
        <v>NE</v>
      </c>
      <c r="K15" s="531">
        <f>tertiair!J17</f>
        <v>2.9043055364276786E-3</v>
      </c>
      <c r="L15" s="531" t="str">
        <f>tertiair!K17</f>
        <v>NE</v>
      </c>
      <c r="M15" s="531" t="str">
        <f>tertiair!L17</f>
        <v>IE</v>
      </c>
      <c r="N15" s="531" t="str">
        <f>tertiair!M17</f>
        <v>IE</v>
      </c>
      <c r="O15" s="531" t="str">
        <f>tertiair!N17</f>
        <v>IE</v>
      </c>
      <c r="P15" s="531">
        <f>tertiair!O17</f>
        <v>113.16358099636433</v>
      </c>
      <c r="Q15" s="531" t="str">
        <f>tertiair!P17</f>
        <v>NE</v>
      </c>
      <c r="R15" s="869" t="str">
        <f>tertiair!Q17</f>
        <v>NE</v>
      </c>
      <c r="S15" s="562">
        <f>SUM(C15:R15)</f>
        <v>7692.4424541193766</v>
      </c>
      <c r="T15" s="66"/>
    </row>
    <row r="16" spans="1:20" s="382" customFormat="1">
      <c r="A16" s="634" t="s">
        <v>644</v>
      </c>
      <c r="B16" s="639"/>
      <c r="C16" s="531">
        <f>huishoudens!B9</f>
        <v>10557.736306337907</v>
      </c>
      <c r="D16" s="531">
        <f>huishoudens!C9</f>
        <v>0</v>
      </c>
      <c r="E16" s="531">
        <f>huishoudens!D9</f>
        <v>18691.582192710001</v>
      </c>
      <c r="F16" s="531">
        <f>huishoudens!E9</f>
        <v>908.08757306734731</v>
      </c>
      <c r="G16" s="531">
        <f>huishoudens!F9</f>
        <v>14755.829261275498</v>
      </c>
      <c r="H16" s="531" t="str">
        <f>huishoudens!G9</f>
        <v>NE</v>
      </c>
      <c r="I16" s="531" t="str">
        <f>huishoudens!H9</f>
        <v>NE</v>
      </c>
      <c r="J16" s="531" t="str">
        <f>huishoudens!I9</f>
        <v xml:space="preserve">NE </v>
      </c>
      <c r="K16" s="531">
        <f>huishoudens!J9</f>
        <v>118.28819158379839</v>
      </c>
      <c r="L16" s="531" t="str">
        <f>huishoudens!K9</f>
        <v>NE</v>
      </c>
      <c r="M16" s="531">
        <f>huishoudens!L9</f>
        <v>0</v>
      </c>
      <c r="N16" s="531">
        <f>huishoudens!M9</f>
        <v>0</v>
      </c>
      <c r="O16" s="531" t="str">
        <f>huishoudens!N9</f>
        <v>NE</v>
      </c>
      <c r="P16" s="531">
        <f>huishoudens!O9</f>
        <v>4045.6465137916457</v>
      </c>
      <c r="Q16" s="531" t="str">
        <f>huishoudens!P9</f>
        <v>NE</v>
      </c>
      <c r="R16" s="869" t="str">
        <f>huishoudens!Q9</f>
        <v>NE</v>
      </c>
      <c r="S16" s="562">
        <f>SUM(C16:R16)</f>
        <v>49077.170038766199</v>
      </c>
      <c r="T16" s="66"/>
    </row>
    <row r="17" spans="1:20" s="382" customFormat="1">
      <c r="A17" s="634" t="s">
        <v>495</v>
      </c>
      <c r="B17" s="643" t="s">
        <v>493</v>
      </c>
      <c r="C17" s="531">
        <f>industrie!B19</f>
        <v>1457.9309241746096</v>
      </c>
      <c r="D17" s="531">
        <f>industrie!C19</f>
        <v>0</v>
      </c>
      <c r="E17" s="531">
        <f>industrie!D19</f>
        <v>825.74055711000005</v>
      </c>
      <c r="F17" s="531">
        <f>industrie!E19</f>
        <v>9.8900334903759557</v>
      </c>
      <c r="G17" s="531">
        <f>industrie!F19</f>
        <v>664.55549863312694</v>
      </c>
      <c r="H17" s="531" t="str">
        <f>industrie!G19</f>
        <v>NE</v>
      </c>
      <c r="I17" s="531">
        <f>industrie!H19</f>
        <v>0</v>
      </c>
      <c r="J17" s="531" t="str">
        <f>industrie!I19</f>
        <v>NE</v>
      </c>
      <c r="K17" s="531">
        <f>industrie!J19</f>
        <v>1.1004254889286387</v>
      </c>
      <c r="L17" s="531" t="str">
        <f>industrie!K19</f>
        <v>NE</v>
      </c>
      <c r="M17" s="531" t="str">
        <f>industrie!L19</f>
        <v>IE</v>
      </c>
      <c r="N17" s="531" t="str">
        <f>industrie!M19</f>
        <v>IE</v>
      </c>
      <c r="O17" s="531" t="str">
        <f>industrie!N19</f>
        <v>IE</v>
      </c>
      <c r="P17" s="531">
        <f>industrie!O19</f>
        <v>73.02627491386923</v>
      </c>
      <c r="Q17" s="531" t="str">
        <f>industrie!P19</f>
        <v>NE</v>
      </c>
      <c r="R17" s="869" t="str">
        <f>industrie!Q19</f>
        <v>NE</v>
      </c>
      <c r="S17" s="562">
        <f>SUM(C17:R17)</f>
        <v>3032.2437138109099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17313.741886479005</v>
      </c>
      <c r="D20" s="564">
        <f>SUM(D9,D13,D16,D17,D18,D19)</f>
        <v>0</v>
      </c>
      <c r="E20" s="564">
        <f t="shared" ref="E20:R20" si="5">SUM(E9,E13,E16,E17,E18,E19)</f>
        <v>23536.106830950001</v>
      </c>
      <c r="F20" s="564">
        <f t="shared" si="5"/>
        <v>924.16767875964263</v>
      </c>
      <c r="G20" s="564">
        <f t="shared" si="5"/>
        <v>15967.555677361779</v>
      </c>
      <c r="H20" s="564">
        <f t="shared" si="5"/>
        <v>0</v>
      </c>
      <c r="I20" s="564">
        <f t="shared" si="5"/>
        <v>6.0954971699088159E-2</v>
      </c>
      <c r="J20" s="564">
        <f t="shared" si="5"/>
        <v>0</v>
      </c>
      <c r="K20" s="564">
        <f t="shared" si="5"/>
        <v>119.39152137826346</v>
      </c>
      <c r="L20" s="564">
        <f t="shared" si="5"/>
        <v>0</v>
      </c>
      <c r="M20" s="564">
        <f t="shared" si="5"/>
        <v>0</v>
      </c>
      <c r="N20" s="564">
        <f t="shared" si="5"/>
        <v>0</v>
      </c>
      <c r="O20" s="564">
        <f t="shared" si="5"/>
        <v>0</v>
      </c>
      <c r="P20" s="564">
        <f t="shared" si="5"/>
        <v>4231.8363697018794</v>
      </c>
      <c r="Q20" s="564">
        <f t="shared" si="5"/>
        <v>0</v>
      </c>
      <c r="R20" s="564">
        <f t="shared" si="5"/>
        <v>0</v>
      </c>
      <c r="S20" s="564">
        <f>SUM(C20:R20)</f>
        <v>62092.860919602266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3.37912379176286</v>
      </c>
      <c r="D25" s="531">
        <f t="shared" ref="D25:R25" si="7">SUM(D26:D29)</f>
        <v>0</v>
      </c>
      <c r="E25" s="531">
        <f t="shared" si="7"/>
        <v>0</v>
      </c>
      <c r="F25" s="531">
        <f t="shared" si="7"/>
        <v>0</v>
      </c>
      <c r="G25" s="531">
        <f t="shared" si="7"/>
        <v>0</v>
      </c>
      <c r="H25" s="531">
        <f t="shared" si="7"/>
        <v>190.21076923428259</v>
      </c>
      <c r="I25" s="531">
        <f t="shared" si="7"/>
        <v>0</v>
      </c>
      <c r="J25" s="531">
        <f t="shared" si="7"/>
        <v>0</v>
      </c>
      <c r="K25" s="531">
        <f t="shared" si="7"/>
        <v>0</v>
      </c>
      <c r="L25" s="531">
        <f t="shared" si="7"/>
        <v>0</v>
      </c>
      <c r="M25" s="531">
        <f t="shared" si="7"/>
        <v>0</v>
      </c>
      <c r="N25" s="531">
        <f t="shared" si="7"/>
        <v>0</v>
      </c>
      <c r="O25" s="531">
        <f t="shared" si="7"/>
        <v>22.771080826403136</v>
      </c>
      <c r="P25" s="531">
        <f t="shared" si="7"/>
        <v>0</v>
      </c>
      <c r="Q25" s="531">
        <f t="shared" si="7"/>
        <v>0</v>
      </c>
      <c r="R25" s="869">
        <f t="shared" si="7"/>
        <v>0</v>
      </c>
      <c r="S25" s="562">
        <f>SUM(C25:R25)</f>
        <v>216.36097385244858</v>
      </c>
      <c r="T25" s="66"/>
    </row>
    <row r="26" spans="1:20" s="382" customFormat="1">
      <c r="A26" s="870" t="s">
        <v>645</v>
      </c>
      <c r="B26" s="867"/>
      <c r="C26" s="868">
        <f>transport!B51*10^9/3600</f>
        <v>3.37912379176286</v>
      </c>
      <c r="D26" s="868">
        <f>transport!C51*10^9/3600</f>
        <v>0</v>
      </c>
      <c r="E26" s="868">
        <f>transport!D51*10^9/3600</f>
        <v>0</v>
      </c>
      <c r="F26" s="868">
        <f>transport!E51*10^9/3600</f>
        <v>0</v>
      </c>
      <c r="G26" s="868">
        <f>transport!F51*10^9/3600</f>
        <v>0</v>
      </c>
      <c r="H26" s="868">
        <f>transport!G51*10^9/3600</f>
        <v>190.21076923428259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22.771080826403136</v>
      </c>
      <c r="P26" s="868">
        <f>transport!O51*10^9/3600</f>
        <v>0</v>
      </c>
      <c r="Q26" s="868">
        <f>transport!P51*10^9/3600</f>
        <v>0</v>
      </c>
      <c r="R26" s="868">
        <f>transport!Q51*10^9/3600</f>
        <v>0</v>
      </c>
      <c r="S26" s="562">
        <f>SUM(C26:R26)</f>
        <v>216.36097385244858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538.5757638118406</v>
      </c>
      <c r="D30" s="868">
        <f t="shared" ref="D30:R30" si="9">SUM(D31:D35)</f>
        <v>0</v>
      </c>
      <c r="E30" s="868">
        <f t="shared" si="9"/>
        <v>168.45417364050266</v>
      </c>
      <c r="F30" s="868">
        <f t="shared" si="9"/>
        <v>73.025319084409503</v>
      </c>
      <c r="G30" s="868">
        <f t="shared" si="9"/>
        <v>0</v>
      </c>
      <c r="H30" s="868">
        <f t="shared" si="9"/>
        <v>29857.588067186127</v>
      </c>
      <c r="I30" s="868">
        <f t="shared" si="9"/>
        <v>11558.038754744863</v>
      </c>
      <c r="J30" s="868">
        <f t="shared" si="9"/>
        <v>0</v>
      </c>
      <c r="K30" s="868">
        <f t="shared" si="9"/>
        <v>0</v>
      </c>
      <c r="L30" s="868">
        <f t="shared" si="9"/>
        <v>0</v>
      </c>
      <c r="M30" s="868">
        <f t="shared" si="9"/>
        <v>0</v>
      </c>
      <c r="N30" s="868">
        <f t="shared" si="9"/>
        <v>0</v>
      </c>
      <c r="O30" s="868">
        <f t="shared" si="9"/>
        <v>4503.5829731806061</v>
      </c>
      <c r="P30" s="868">
        <f t="shared" si="9"/>
        <v>0</v>
      </c>
      <c r="Q30" s="868">
        <f t="shared" si="9"/>
        <v>0</v>
      </c>
      <c r="R30" s="869">
        <f t="shared" si="9"/>
        <v>0</v>
      </c>
      <c r="S30" s="562">
        <f>SUM(C30:R30)</f>
        <v>46699.265051648348</v>
      </c>
      <c r="T30" s="66"/>
    </row>
    <row r="31" spans="1:20" s="382" customFormat="1">
      <c r="A31" s="870" t="s">
        <v>645</v>
      </c>
      <c r="B31" s="639"/>
      <c r="C31" s="531">
        <f>transport!B14</f>
        <v>538.5757638118406</v>
      </c>
      <c r="D31" s="531" t="str">
        <f>transport!C14</f>
        <v>NO</v>
      </c>
      <c r="E31" s="531">
        <f>transport!D14</f>
        <v>168.45417364050266</v>
      </c>
      <c r="F31" s="531">
        <f>transport!E14</f>
        <v>73.025319084409503</v>
      </c>
      <c r="G31" s="531" t="str">
        <f>transport!F14</f>
        <v>NO</v>
      </c>
      <c r="H31" s="531">
        <f>transport!G14</f>
        <v>29857.588067186127</v>
      </c>
      <c r="I31" s="531">
        <f>transport!H14</f>
        <v>11558.038754744863</v>
      </c>
      <c r="J31" s="531" t="str">
        <f>transport!I14</f>
        <v>NO</v>
      </c>
      <c r="K31" s="531" t="str">
        <f>transport!J14</f>
        <v>NO</v>
      </c>
      <c r="L31" s="531" t="str">
        <f>transport!K14</f>
        <v>NO</v>
      </c>
      <c r="M31" s="531" t="str">
        <f>transport!L14</f>
        <v>NO</v>
      </c>
      <c r="N31" s="531" t="str">
        <f>transport!M14</f>
        <v>NO</v>
      </c>
      <c r="O31" s="531">
        <f>transport!N14</f>
        <v>4503.5829731806061</v>
      </c>
      <c r="P31" s="531" t="str">
        <f>transport!O14</f>
        <v>NO</v>
      </c>
      <c r="Q31" s="531" t="str">
        <f>transport!P14</f>
        <v>NO</v>
      </c>
      <c r="R31" s="869" t="str">
        <f>transport!Q14</f>
        <v>NO</v>
      </c>
      <c r="S31" s="562">
        <f>SUM(C31:R31)</f>
        <v>46699.265051648348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541.95488760360342</v>
      </c>
      <c r="D37" s="637">
        <f t="shared" ref="D37:R37" si="10">SUM(D22,D25,D30,D36)</f>
        <v>0</v>
      </c>
      <c r="E37" s="637">
        <f t="shared" si="10"/>
        <v>168.45417364050266</v>
      </c>
      <c r="F37" s="637">
        <f t="shared" si="10"/>
        <v>73.025319084409503</v>
      </c>
      <c r="G37" s="637">
        <f t="shared" si="10"/>
        <v>0</v>
      </c>
      <c r="H37" s="637">
        <f t="shared" si="10"/>
        <v>30047.79883642041</v>
      </c>
      <c r="I37" s="637">
        <f t="shared" si="10"/>
        <v>11558.038754744863</v>
      </c>
      <c r="J37" s="637">
        <f t="shared" si="10"/>
        <v>0</v>
      </c>
      <c r="K37" s="637">
        <f t="shared" si="10"/>
        <v>0</v>
      </c>
      <c r="L37" s="637">
        <f t="shared" si="10"/>
        <v>0</v>
      </c>
      <c r="M37" s="637">
        <f t="shared" si="10"/>
        <v>0</v>
      </c>
      <c r="N37" s="637">
        <f t="shared" si="10"/>
        <v>0</v>
      </c>
      <c r="O37" s="637">
        <f t="shared" si="10"/>
        <v>4526.3540540070089</v>
      </c>
      <c r="P37" s="637">
        <f t="shared" si="10"/>
        <v>0</v>
      </c>
      <c r="Q37" s="637">
        <f t="shared" si="10"/>
        <v>0</v>
      </c>
      <c r="R37" s="637">
        <f t="shared" si="10"/>
        <v>0</v>
      </c>
      <c r="S37" s="637">
        <f>SUM(C37:R37)</f>
        <v>46915.626025500795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4263.6798489510711</v>
      </c>
      <c r="D39" s="531">
        <f>+landbouw!C9</f>
        <v>0</v>
      </c>
      <c r="E39" s="531">
        <f>+landbouw!D9</f>
        <v>285.81925763999999</v>
      </c>
      <c r="F39" s="531">
        <f>+landbouw!E9</f>
        <v>157.86856398535829</v>
      </c>
      <c r="G39" s="531">
        <f>+landbouw!F9</f>
        <v>15981.77172368062</v>
      </c>
      <c r="H39" s="531" t="str">
        <f>+landbouw!G9</f>
        <v>NE</v>
      </c>
      <c r="I39" s="531" t="str">
        <f>+landbouw!H9</f>
        <v>NE</v>
      </c>
      <c r="J39" s="531" t="str">
        <f>+landbouw!I9</f>
        <v>NE</v>
      </c>
      <c r="K39" s="531">
        <f>+landbouw!J9</f>
        <v>508.2876276281653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21197.427021885214</v>
      </c>
      <c r="T39" s="66"/>
    </row>
    <row r="40" spans="1:20" s="382" customFormat="1" ht="15" thickBot="1">
      <c r="A40" s="654" t="s">
        <v>537</v>
      </c>
      <c r="B40" s="748"/>
      <c r="C40" s="749">
        <f>IF(Onbekend_ele_kWh="---",0,Onbekend_ele_kWh)/1000+IF(REST_rest_ele_kWh="---",0,REST_rest_ele_kWh)/1000</f>
        <v>218.80806000000001</v>
      </c>
      <c r="D40" s="749" t="s">
        <v>637</v>
      </c>
      <c r="E40" s="749">
        <f>IF(onbekend_gas_kWh="---",0,onbekend_gas_kWh)/1000+IF(REST_rest_gas_kWh="---",0,REST_rest_gas_kWh)/1000</f>
        <v>495.06709999999998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713.87516000000005</v>
      </c>
      <c r="T40" s="66"/>
    </row>
    <row r="41" spans="1:20" s="382" customFormat="1" ht="15.75" thickBot="1">
      <c r="A41" s="537" t="s">
        <v>538</v>
      </c>
      <c r="B41" s="642"/>
      <c r="C41" s="637">
        <f>SUM(C39:C40)</f>
        <v>4482.4879089510714</v>
      </c>
      <c r="D41" s="637">
        <f t="shared" ref="D41:R41" si="11">SUM(D39:D40)</f>
        <v>0</v>
      </c>
      <c r="E41" s="637">
        <f t="shared" si="11"/>
        <v>780.88635763999991</v>
      </c>
      <c r="F41" s="637">
        <f t="shared" si="11"/>
        <v>157.86856398535829</v>
      </c>
      <c r="G41" s="637">
        <f t="shared" si="11"/>
        <v>15981.77172368062</v>
      </c>
      <c r="H41" s="637">
        <f t="shared" si="11"/>
        <v>0</v>
      </c>
      <c r="I41" s="637">
        <f t="shared" si="11"/>
        <v>0</v>
      </c>
      <c r="J41" s="637">
        <f t="shared" si="11"/>
        <v>0</v>
      </c>
      <c r="K41" s="637">
        <f t="shared" si="11"/>
        <v>508.2876276281653</v>
      </c>
      <c r="L41" s="637">
        <f t="shared" si="11"/>
        <v>0</v>
      </c>
      <c r="M41" s="637">
        <f t="shared" si="11"/>
        <v>0</v>
      </c>
      <c r="N41" s="637">
        <f t="shared" si="11"/>
        <v>0</v>
      </c>
      <c r="O41" s="637">
        <f t="shared" si="11"/>
        <v>0</v>
      </c>
      <c r="P41" s="637">
        <f t="shared" si="11"/>
        <v>0</v>
      </c>
      <c r="Q41" s="637">
        <f t="shared" si="11"/>
        <v>0</v>
      </c>
      <c r="R41" s="637">
        <f t="shared" si="11"/>
        <v>0</v>
      </c>
      <c r="S41" s="637">
        <f>SUM(C41:R41)</f>
        <v>21911.302181885214</v>
      </c>
      <c r="T41" s="66"/>
    </row>
    <row r="42" spans="1:20" s="382" customFormat="1" ht="17.25" thickTop="1" thickBot="1">
      <c r="A42" s="538" t="s">
        <v>96</v>
      </c>
      <c r="B42" s="630"/>
      <c r="C42" s="539">
        <f t="shared" ref="C42:S42" si="12">C37+C20+C41</f>
        <v>22338.18468303368</v>
      </c>
      <c r="D42" s="539">
        <f t="shared" si="12"/>
        <v>0</v>
      </c>
      <c r="E42" s="539">
        <f t="shared" si="12"/>
        <v>24485.447362230505</v>
      </c>
      <c r="F42" s="539">
        <f t="shared" si="12"/>
        <v>1155.0615618294105</v>
      </c>
      <c r="G42" s="539">
        <f t="shared" si="12"/>
        <v>31949.327401042399</v>
      </c>
      <c r="H42" s="539">
        <f t="shared" si="12"/>
        <v>30047.79883642041</v>
      </c>
      <c r="I42" s="539">
        <f t="shared" si="12"/>
        <v>11558.099709716562</v>
      </c>
      <c r="J42" s="539">
        <f t="shared" si="12"/>
        <v>0</v>
      </c>
      <c r="K42" s="539">
        <f t="shared" si="12"/>
        <v>627.67914900642882</v>
      </c>
      <c r="L42" s="539">
        <f t="shared" si="12"/>
        <v>0</v>
      </c>
      <c r="M42" s="539">
        <f t="shared" si="12"/>
        <v>0</v>
      </c>
      <c r="N42" s="539">
        <f t="shared" si="12"/>
        <v>0</v>
      </c>
      <c r="O42" s="539">
        <f t="shared" si="12"/>
        <v>4526.3540540070089</v>
      </c>
      <c r="P42" s="539">
        <f t="shared" si="12"/>
        <v>4231.8363697018794</v>
      </c>
      <c r="Q42" s="539">
        <f t="shared" si="12"/>
        <v>0</v>
      </c>
      <c r="R42" s="539">
        <f t="shared" si="12"/>
        <v>0</v>
      </c>
      <c r="S42" s="539">
        <f t="shared" si="12"/>
        <v>130919.78912698828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135.53361499494019</v>
      </c>
      <c r="D55" s="531">
        <f t="shared" ref="D55:R55" si="13">SUM(D56:D58)</f>
        <v>0</v>
      </c>
      <c r="E55" s="531">
        <f t="shared" si="13"/>
        <v>242.93969523837939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378.47331023331958</v>
      </c>
    </row>
    <row r="56" spans="1:19">
      <c r="A56" s="899" t="s">
        <v>197</v>
      </c>
      <c r="B56" s="652"/>
      <c r="C56" s="531">
        <f>'Eigen gebouwen'!B10</f>
        <v>67.252669223661186</v>
      </c>
      <c r="D56" s="531">
        <f>'Eigen gebouwen'!C10</f>
        <v>0</v>
      </c>
      <c r="E56" s="531">
        <f>'Eigen gebouwen'!D10</f>
        <v>242.93969523837939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310.19236446204059</v>
      </c>
    </row>
    <row r="57" spans="1:19">
      <c r="A57" s="900" t="s">
        <v>410</v>
      </c>
      <c r="B57" s="652"/>
      <c r="C57" s="531">
        <f>'Eigen openbare verlichting'!B10</f>
        <v>68.280945771279022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68.280945771279022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524.2527195079017</v>
      </c>
      <c r="D59" s="868">
        <f t="shared" ref="D59:R59" si="15">SUM(D60:D61)</f>
        <v>0</v>
      </c>
      <c r="E59" s="868">
        <f t="shared" si="15"/>
        <v>568.85468914988076</v>
      </c>
      <c r="F59" s="868">
        <f t="shared" si="15"/>
        <v>1.4051463898356997</v>
      </c>
      <c r="G59" s="868">
        <f t="shared" si="15"/>
        <v>146.09463495999233</v>
      </c>
      <c r="H59" s="868">
        <f t="shared" si="15"/>
        <v>0</v>
      </c>
      <c r="I59" s="868">
        <f t="shared" si="15"/>
        <v>1.5177787953072952E-2</v>
      </c>
      <c r="J59" s="868">
        <f t="shared" si="15"/>
        <v>0</v>
      </c>
      <c r="K59" s="868">
        <f t="shared" si="15"/>
        <v>1.0281241598953982E-3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1240.6233959197232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524.2527195079017</v>
      </c>
      <c r="D61" s="531">
        <f>tertiair!C21</f>
        <v>0</v>
      </c>
      <c r="E61" s="531">
        <f>tertiair!D21</f>
        <v>568.85468914988076</v>
      </c>
      <c r="F61" s="531">
        <f>tertiair!E21</f>
        <v>1.4051463898356997</v>
      </c>
      <c r="G61" s="531">
        <f>tertiair!F21</f>
        <v>146.09463495999233</v>
      </c>
      <c r="H61" s="531" t="str">
        <f>tertiair!G21</f>
        <v>NE</v>
      </c>
      <c r="I61" s="531">
        <f>tertiair!H21</f>
        <v>1.5177787953072952E-2</v>
      </c>
      <c r="J61" s="531" t="str">
        <f>tertiair!I21</f>
        <v>NE</v>
      </c>
      <c r="K61" s="531">
        <f>tertiair!J21</f>
        <v>1.0281241598953982E-3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1240.6233959197232</v>
      </c>
    </row>
    <row r="62" spans="1:19" ht="14.45" customHeight="1">
      <c r="A62" s="647" t="s">
        <v>644</v>
      </c>
      <c r="B62" s="652"/>
      <c r="C62" s="531">
        <f>huishoudens!B13</f>
        <v>1314.788973455024</v>
      </c>
      <c r="D62" s="531">
        <f>huishoudens!C13</f>
        <v>0</v>
      </c>
      <c r="E62" s="531">
        <f>huishoudens!D13</f>
        <v>3775.6996029274205</v>
      </c>
      <c r="F62" s="531">
        <f>huishoudens!E13</f>
        <v>206.13587908628784</v>
      </c>
      <c r="G62" s="531">
        <f>huishoudens!F13</f>
        <v>3939.806412760558</v>
      </c>
      <c r="H62" s="531" t="str">
        <f>huishoudens!G13</f>
        <v>NE</v>
      </c>
      <c r="I62" s="531" t="str">
        <f>huishoudens!H13</f>
        <v>NE</v>
      </c>
      <c r="J62" s="531" t="str">
        <f>huishoudens!I13</f>
        <v>NE</v>
      </c>
      <c r="K62" s="531">
        <f>huishoudens!J13</f>
        <v>41.874019820664628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9278.3048880499555</v>
      </c>
    </row>
    <row r="63" spans="1:19">
      <c r="A63" s="647" t="s">
        <v>496</v>
      </c>
      <c r="B63" s="660" t="s">
        <v>493</v>
      </c>
      <c r="C63" s="531">
        <f>industrie!B23</f>
        <v>181.5608429255004</v>
      </c>
      <c r="D63" s="531">
        <f>industrie!C23</f>
        <v>0</v>
      </c>
      <c r="E63" s="531">
        <f>industrie!D23</f>
        <v>166.79959253622002</v>
      </c>
      <c r="F63" s="531">
        <f>industrie!E23</f>
        <v>2.245037602315342</v>
      </c>
      <c r="G63" s="531">
        <f>industrie!F23</f>
        <v>177.4363181350449</v>
      </c>
      <c r="H63" s="531" t="str">
        <f>industrie!G23</f>
        <v>NE</v>
      </c>
      <c r="I63" s="531">
        <f>industrie!H23</f>
        <v>0</v>
      </c>
      <c r="J63" s="531" t="str">
        <f>industrie!I23</f>
        <v>NE</v>
      </c>
      <c r="K63" s="531">
        <f>industrie!J23</f>
        <v>0.38955062308073807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528.43134182216136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2156.1361508833661</v>
      </c>
      <c r="D66" s="564">
        <f t="shared" ref="D66:E66" si="17">SUM(D55,D59,D62,D63,D64,D65)</f>
        <v>0</v>
      </c>
      <c r="E66" s="564">
        <f t="shared" si="17"/>
        <v>4754.2935798519011</v>
      </c>
      <c r="F66" s="564">
        <f t="shared" ref="F66" si="18">SUM(F55,F59,F62,F63,F64,F65)</f>
        <v>209.78606307843887</v>
      </c>
      <c r="G66" s="564">
        <f t="shared" ref="G66" si="19">SUM(G55,G59,G62,G63,G64,G65)</f>
        <v>4263.3373658555947</v>
      </c>
      <c r="H66" s="564">
        <f t="shared" ref="H66" si="20">SUM(H55,H59,H62,H63,H64,H65)</f>
        <v>0</v>
      </c>
      <c r="I66" s="564">
        <f t="shared" ref="I66" si="21">SUM(I55,I59,I62,I63,I64,I65)</f>
        <v>1.5177787953072952E-2</v>
      </c>
      <c r="J66" s="564">
        <f t="shared" ref="J66" si="22">SUM(J55,J59,J62,J63,J64,J65)</f>
        <v>0</v>
      </c>
      <c r="K66" s="564">
        <f t="shared" ref="K66" si="23">SUM(K55,K59,K62,K63,K64,K65)</f>
        <v>42.26459856790526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11425.832936025157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0.42081319067253692</v>
      </c>
      <c r="D71" s="531">
        <f t="shared" ref="D71:R71" si="32">SUM(D72:D75)</f>
        <v>0</v>
      </c>
      <c r="E71" s="531">
        <f t="shared" si="32"/>
        <v>0</v>
      </c>
      <c r="F71" s="531">
        <f t="shared" si="32"/>
        <v>0</v>
      </c>
      <c r="G71" s="531">
        <f t="shared" si="32"/>
        <v>0</v>
      </c>
      <c r="H71" s="531">
        <f t="shared" si="32"/>
        <v>50.786275385553452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51.207088576225992</v>
      </c>
    </row>
    <row r="72" spans="1:19">
      <c r="A72" s="904" t="s">
        <v>645</v>
      </c>
      <c r="B72" s="903"/>
      <c r="C72" s="876">
        <f>transport!B51*transport!B56*10^9/3600</f>
        <v>0.42081319067253692</v>
      </c>
      <c r="D72" s="876">
        <f>transport!C51*transport!C56*10^9/3600</f>
        <v>0</v>
      </c>
      <c r="E72" s="876">
        <f>transport!D51*transport!D56*10^9/3600</f>
        <v>0</v>
      </c>
      <c r="F72" s="876">
        <f>transport!E51*transport!E56*10^9/3600</f>
        <v>0</v>
      </c>
      <c r="G72" s="876">
        <f>transport!F51*transport!F56*10^9/3600</f>
        <v>0</v>
      </c>
      <c r="H72" s="876">
        <f>transport!G51*transport!G56*10^9/3600</f>
        <v>50.786275385553452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51.207088576225992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67.070577923492777</v>
      </c>
      <c r="D76" s="876">
        <f t="shared" ref="D76:R76" si="34">SUM(D77:D81)</f>
        <v>0</v>
      </c>
      <c r="E76" s="876">
        <f t="shared" si="34"/>
        <v>34.027743075381537</v>
      </c>
      <c r="F76" s="876">
        <f t="shared" si="34"/>
        <v>16.576747432160957</v>
      </c>
      <c r="G76" s="876">
        <f t="shared" si="34"/>
        <v>0</v>
      </c>
      <c r="H76" s="876">
        <f t="shared" si="34"/>
        <v>7971.9760139386963</v>
      </c>
      <c r="I76" s="876">
        <f t="shared" si="34"/>
        <v>2877.9516499314709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10967.602732301202</v>
      </c>
    </row>
    <row r="77" spans="1:19">
      <c r="A77" s="905" t="s">
        <v>645</v>
      </c>
      <c r="B77" s="658"/>
      <c r="C77" s="536">
        <f>transport!B18</f>
        <v>67.070577923492777</v>
      </c>
      <c r="D77" s="536" t="str">
        <f>transport!C18</f>
        <v>NO</v>
      </c>
      <c r="E77" s="536">
        <f>transport!D18</f>
        <v>34.027743075381537</v>
      </c>
      <c r="F77" s="536">
        <f>transport!E18</f>
        <v>16.576747432160957</v>
      </c>
      <c r="G77" s="536" t="str">
        <f>transport!F18</f>
        <v>NO</v>
      </c>
      <c r="H77" s="536">
        <f>transport!G18</f>
        <v>7971.9760139386963</v>
      </c>
      <c r="I77" s="536">
        <f>transport!H18</f>
        <v>2877.9516499314709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10967.602732301202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67.49139111416531</v>
      </c>
      <c r="D83" s="564">
        <f t="shared" ref="D83:R83" si="35">SUM(D68,D71,D76,D82)</f>
        <v>0</v>
      </c>
      <c r="E83" s="564">
        <f t="shared" si="35"/>
        <v>34.027743075381537</v>
      </c>
      <c r="F83" s="564">
        <f t="shared" si="35"/>
        <v>16.576747432160957</v>
      </c>
      <c r="G83" s="564">
        <f t="shared" si="35"/>
        <v>0</v>
      </c>
      <c r="H83" s="564">
        <f t="shared" si="35"/>
        <v>8022.7622893242497</v>
      </c>
      <c r="I83" s="564">
        <f t="shared" si="35"/>
        <v>2877.9516499314709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11018.809820877428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530.96981105485781</v>
      </c>
      <c r="D85" s="536">
        <f>+landbouw!C13</f>
        <v>0</v>
      </c>
      <c r="E85" s="536">
        <f>+landbouw!D13</f>
        <v>57.735490043280002</v>
      </c>
      <c r="F85" s="536">
        <f>+landbouw!E13</f>
        <v>35.836164024676336</v>
      </c>
      <c r="G85" s="536">
        <f>+landbouw!F13</f>
        <v>4267.1330502227256</v>
      </c>
      <c r="H85" s="536" t="str">
        <f>+landbouw!G13</f>
        <v>NE</v>
      </c>
      <c r="I85" s="536" t="str">
        <f>+landbouw!H13</f>
        <v>NE</v>
      </c>
      <c r="J85" s="536" t="str">
        <f>+landbouw!I13</f>
        <v>NE</v>
      </c>
      <c r="K85" s="536">
        <f>+landbouw!J13</f>
        <v>179.9338201803705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5071.6083355259098</v>
      </c>
    </row>
    <row r="86" spans="1:20" ht="15" thickBot="1">
      <c r="A86" s="650" t="s">
        <v>537</v>
      </c>
      <c r="B86" s="658"/>
      <c r="C86" s="536">
        <f>C40*'EF ele_warmte'!B13</f>
        <v>27.248873834667048</v>
      </c>
      <c r="D86" s="536" t="s">
        <v>637</v>
      </c>
      <c r="E86" s="536">
        <f>E40*EF_CO2_aardgas</f>
        <v>100.0035542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127.25242803466705</v>
      </c>
    </row>
    <row r="87" spans="1:20" ht="15.75" thickBot="1">
      <c r="A87" s="648" t="s">
        <v>538</v>
      </c>
      <c r="B87" s="659"/>
      <c r="C87" s="564">
        <f>SUM(C85:C86)</f>
        <v>558.21868488952487</v>
      </c>
      <c r="D87" s="564">
        <f t="shared" ref="D87:R87" si="36">SUM(D85:D86)</f>
        <v>0</v>
      </c>
      <c r="E87" s="564">
        <f t="shared" si="36"/>
        <v>157.73904424328001</v>
      </c>
      <c r="F87" s="564">
        <f t="shared" si="36"/>
        <v>35.836164024676336</v>
      </c>
      <c r="G87" s="564">
        <f t="shared" si="36"/>
        <v>4267.1330502227256</v>
      </c>
      <c r="H87" s="564">
        <f t="shared" si="36"/>
        <v>0</v>
      </c>
      <c r="I87" s="564">
        <f t="shared" si="36"/>
        <v>0</v>
      </c>
      <c r="J87" s="564">
        <f t="shared" si="36"/>
        <v>0</v>
      </c>
      <c r="K87" s="564">
        <f t="shared" si="36"/>
        <v>179.9338201803705</v>
      </c>
      <c r="L87" s="564">
        <f t="shared" si="36"/>
        <v>0</v>
      </c>
      <c r="M87" s="564">
        <f t="shared" si="36"/>
        <v>0</v>
      </c>
      <c r="N87" s="564">
        <f t="shared" si="36"/>
        <v>0</v>
      </c>
      <c r="O87" s="564">
        <f t="shared" si="36"/>
        <v>0</v>
      </c>
      <c r="P87" s="564">
        <f t="shared" si="36"/>
        <v>0</v>
      </c>
      <c r="Q87" s="564">
        <f t="shared" si="36"/>
        <v>0</v>
      </c>
      <c r="R87" s="565">
        <f t="shared" si="36"/>
        <v>0</v>
      </c>
      <c r="S87" s="566">
        <f>SUM(S85:S86)</f>
        <v>5198.8607635605767</v>
      </c>
    </row>
    <row r="88" spans="1:20" ht="16.5" thickBot="1">
      <c r="A88" s="661" t="s">
        <v>96</v>
      </c>
      <c r="B88" s="662"/>
      <c r="C88" s="569">
        <f t="shared" ref="C88:S88" si="37">C66+C83+C87</f>
        <v>2781.8462268870562</v>
      </c>
      <c r="D88" s="569">
        <f t="shared" si="37"/>
        <v>0</v>
      </c>
      <c r="E88" s="569">
        <f t="shared" si="37"/>
        <v>4946.0603671705621</v>
      </c>
      <c r="F88" s="569">
        <f t="shared" si="37"/>
        <v>262.19897453527619</v>
      </c>
      <c r="G88" s="569">
        <f t="shared" si="37"/>
        <v>8530.4704160783203</v>
      </c>
      <c r="H88" s="569">
        <f t="shared" si="37"/>
        <v>8022.7622893242497</v>
      </c>
      <c r="I88" s="569">
        <f t="shared" si="37"/>
        <v>2877.9668277194241</v>
      </c>
      <c r="J88" s="569">
        <f t="shared" si="37"/>
        <v>0</v>
      </c>
      <c r="K88" s="569">
        <f t="shared" si="37"/>
        <v>222.19841874827577</v>
      </c>
      <c r="L88" s="569">
        <f t="shared" si="37"/>
        <v>0</v>
      </c>
      <c r="M88" s="569">
        <f t="shared" si="37"/>
        <v>0</v>
      </c>
      <c r="N88" s="569">
        <f t="shared" si="37"/>
        <v>0</v>
      </c>
      <c r="O88" s="569">
        <f t="shared" si="37"/>
        <v>0</v>
      </c>
      <c r="P88" s="569">
        <f t="shared" si="37"/>
        <v>0</v>
      </c>
      <c r="Q88" s="569">
        <f t="shared" si="37"/>
        <v>0</v>
      </c>
      <c r="R88" s="569">
        <f t="shared" si="37"/>
        <v>0</v>
      </c>
      <c r="S88" s="569">
        <f t="shared" si="37"/>
        <v>27643.50352046316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0.12453322713371275</v>
      </c>
      <c r="D90" s="613">
        <f t="shared" si="38"/>
        <v>0</v>
      </c>
      <c r="E90" s="758">
        <f t="shared" si="38"/>
        <v>0.20200000000000001</v>
      </c>
      <c r="F90" s="613">
        <f t="shared" si="38"/>
        <v>0.22700000000000001</v>
      </c>
      <c r="G90" s="613">
        <f t="shared" si="38"/>
        <v>0.26700000000000002</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3966.3867751222288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5784.2584197347269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9750.6451948569556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10557.736306337907</v>
      </c>
      <c r="C4" s="955">
        <f>huishoudens!C9</f>
        <v>0</v>
      </c>
      <c r="D4" s="955">
        <f>huishoudens!D9</f>
        <v>18691.582192710001</v>
      </c>
      <c r="E4" s="955">
        <f>huishoudens!E9</f>
        <v>908.08757306734731</v>
      </c>
      <c r="F4" s="955">
        <f>huishoudens!F9</f>
        <v>14755.829261275498</v>
      </c>
      <c r="G4" s="955" t="str">
        <f>huishoudens!G9</f>
        <v>NE</v>
      </c>
      <c r="H4" s="955" t="str">
        <f>huishoudens!H9</f>
        <v>NE</v>
      </c>
      <c r="I4" s="955" t="str">
        <f>huishoudens!I9</f>
        <v xml:space="preserve">NE </v>
      </c>
      <c r="J4" s="955">
        <f>huishoudens!J9</f>
        <v>118.28819158379839</v>
      </c>
      <c r="K4" s="955" t="str">
        <f>huishoudens!K9</f>
        <v>NE</v>
      </c>
      <c r="L4" s="955">
        <f>huishoudens!L9</f>
        <v>0</v>
      </c>
      <c r="M4" s="955">
        <f>huishoudens!M9</f>
        <v>0</v>
      </c>
      <c r="N4" s="955" t="str">
        <f>huishoudens!N9</f>
        <v>NE</v>
      </c>
      <c r="O4" s="955">
        <f>huishoudens!O9</f>
        <v>4045.6465137916457</v>
      </c>
      <c r="P4" s="955" t="str">
        <f>huishoudens!P9</f>
        <v>NE</v>
      </c>
      <c r="Q4" s="956" t="str">
        <f>huishoudens!Q9</f>
        <v>NE</v>
      </c>
      <c r="R4" s="957">
        <f>SUM(B4:Q4)</f>
        <v>49077.170038766199</v>
      </c>
    </row>
    <row r="5" spans="1:18">
      <c r="A5" s="385" t="s">
        <v>136</v>
      </c>
      <c r="B5" s="955">
        <f>tertiair!B17</f>
        <v>4209.7417016665404</v>
      </c>
      <c r="C5" s="955">
        <f>tertiair!C17</f>
        <v>0</v>
      </c>
      <c r="D5" s="955">
        <f>tertiair!D17</f>
        <v>2816.1123225241618</v>
      </c>
      <c r="E5" s="955">
        <f>tertiair!E17</f>
        <v>6.1900722019193823</v>
      </c>
      <c r="F5" s="955">
        <f>tertiair!F17</f>
        <v>547.17091745315474</v>
      </c>
      <c r="G5" s="955" t="str">
        <f>tertiair!G17</f>
        <v>NE</v>
      </c>
      <c r="H5" s="955">
        <f>tertiair!H17</f>
        <v>6.0954971699088159E-2</v>
      </c>
      <c r="I5" s="955" t="str">
        <f>tertiair!I17</f>
        <v>NE</v>
      </c>
      <c r="J5" s="955">
        <f>tertiair!J17</f>
        <v>2.9043055364276786E-3</v>
      </c>
      <c r="K5" s="955" t="str">
        <f>tertiair!K17</f>
        <v>NE</v>
      </c>
      <c r="L5" s="955" t="str">
        <f>tertiair!L17</f>
        <v>IE</v>
      </c>
      <c r="M5" s="955" t="str">
        <f>tertiair!M17</f>
        <v>IE</v>
      </c>
      <c r="N5" s="955" t="str">
        <f>tertiair!N17</f>
        <v>IE</v>
      </c>
      <c r="O5" s="955">
        <f>tertiair!O17</f>
        <v>113.16358099636433</v>
      </c>
      <c r="P5" s="955" t="str">
        <f>tertiair!P17</f>
        <v>NE</v>
      </c>
      <c r="Q5" s="956" t="str">
        <f>tertiair!Q17</f>
        <v>NE</v>
      </c>
      <c r="R5" s="958">
        <f t="shared" ref="R5:R14" si="0">SUM(B5:Q5)</f>
        <v>7692.4424541193766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4263.6798489510711</v>
      </c>
      <c r="C7" s="955">
        <f>landbouw!C9</f>
        <v>0</v>
      </c>
      <c r="D7" s="955">
        <f>landbouw!D9</f>
        <v>285.81925763999999</v>
      </c>
      <c r="E7" s="955">
        <f>landbouw!E9</f>
        <v>157.86856398535829</v>
      </c>
      <c r="F7" s="955">
        <f>landbouw!F9</f>
        <v>15981.77172368062</v>
      </c>
      <c r="G7" s="955" t="str">
        <f>landbouw!G9</f>
        <v>NE</v>
      </c>
      <c r="H7" s="955" t="str">
        <f>landbouw!H9</f>
        <v>NE</v>
      </c>
      <c r="I7" s="955" t="str">
        <f>landbouw!I9</f>
        <v>NE</v>
      </c>
      <c r="J7" s="955">
        <f>landbouw!J9</f>
        <v>508.2876276281653</v>
      </c>
      <c r="K7" s="955" t="str">
        <f>landbouw!K9</f>
        <v>NE</v>
      </c>
      <c r="L7" s="955" t="str">
        <f>landbouw!L9</f>
        <v>IE</v>
      </c>
      <c r="M7" s="955" t="str">
        <f>landbouw!M9</f>
        <v>IE</v>
      </c>
      <c r="N7" s="955" t="str">
        <f>landbouw!N9</f>
        <v>IE</v>
      </c>
      <c r="O7" s="955">
        <f>landbouw!O9</f>
        <v>0</v>
      </c>
      <c r="P7" s="955" t="str">
        <f>landbouw!P9</f>
        <v>NE</v>
      </c>
      <c r="Q7" s="956" t="str">
        <f>landbouw!Q9</f>
        <v>NE</v>
      </c>
      <c r="R7" s="958">
        <f t="shared" si="0"/>
        <v>21197.427021885214</v>
      </c>
    </row>
    <row r="8" spans="1:18">
      <c r="A8" s="385" t="s">
        <v>492</v>
      </c>
      <c r="B8" s="955">
        <f>industrie!B19</f>
        <v>1457.9309241746096</v>
      </c>
      <c r="C8" s="955">
        <f>industrie!C19</f>
        <v>0</v>
      </c>
      <c r="D8" s="955">
        <f>industrie!D19</f>
        <v>825.74055711000005</v>
      </c>
      <c r="E8" s="955">
        <f>industrie!E19</f>
        <v>9.8900334903759557</v>
      </c>
      <c r="F8" s="955">
        <f>industrie!F19</f>
        <v>664.55549863312694</v>
      </c>
      <c r="G8" s="955" t="str">
        <f>industrie!G19</f>
        <v>NE</v>
      </c>
      <c r="H8" s="955">
        <f>industrie!H19</f>
        <v>0</v>
      </c>
      <c r="I8" s="955" t="str">
        <f>industrie!I19</f>
        <v>NE</v>
      </c>
      <c r="J8" s="955">
        <f>industrie!J19</f>
        <v>1.1004254889286387</v>
      </c>
      <c r="K8" s="955" t="str">
        <f>industrie!K19</f>
        <v>NE</v>
      </c>
      <c r="L8" s="955" t="str">
        <f>industrie!L19</f>
        <v>IE</v>
      </c>
      <c r="M8" s="955" t="str">
        <f>industrie!M19</f>
        <v>IE</v>
      </c>
      <c r="N8" s="955" t="str">
        <f>industrie!N19</f>
        <v>IE</v>
      </c>
      <c r="O8" s="955">
        <f>industrie!O19</f>
        <v>73.02627491386923</v>
      </c>
      <c r="P8" s="955" t="str">
        <f>industrie!P19</f>
        <v>NE</v>
      </c>
      <c r="Q8" s="956" t="str">
        <f>industrie!Q19</f>
        <v>NE</v>
      </c>
      <c r="R8" s="958">
        <f t="shared" si="0"/>
        <v>3032.2437138109099</v>
      </c>
    </row>
    <row r="9" spans="1:18" s="389" customFormat="1">
      <c r="A9" s="388" t="s">
        <v>457</v>
      </c>
      <c r="B9" s="959">
        <f>transport!B14</f>
        <v>538.5757638118406</v>
      </c>
      <c r="C9" s="959" t="str">
        <f>transport!C14</f>
        <v>NO</v>
      </c>
      <c r="D9" s="959">
        <f>transport!D14</f>
        <v>168.45417364050266</v>
      </c>
      <c r="E9" s="959">
        <f>transport!E14</f>
        <v>73.025319084409503</v>
      </c>
      <c r="F9" s="959" t="str">
        <f>transport!F14</f>
        <v>NO</v>
      </c>
      <c r="G9" s="959">
        <f>transport!G14</f>
        <v>29857.588067186127</v>
      </c>
      <c r="H9" s="959">
        <f>transport!H14</f>
        <v>11558.038754744863</v>
      </c>
      <c r="I9" s="959" t="str">
        <f>transport!I14</f>
        <v>NO</v>
      </c>
      <c r="J9" s="959" t="str">
        <f>transport!J14</f>
        <v>NO</v>
      </c>
      <c r="K9" s="959" t="str">
        <f>transport!K14</f>
        <v>NO</v>
      </c>
      <c r="L9" s="959" t="str">
        <f>transport!L14</f>
        <v>NO</v>
      </c>
      <c r="M9" s="959" t="str">
        <f>transport!M14</f>
        <v>NO</v>
      </c>
      <c r="N9" s="959">
        <f>transport!N14</f>
        <v>4503.5829731806061</v>
      </c>
      <c r="O9" s="959" t="str">
        <f>transport!O14</f>
        <v>NO</v>
      </c>
      <c r="P9" s="959" t="str">
        <f>transport!P14</f>
        <v>NO</v>
      </c>
      <c r="Q9" s="959" t="str">
        <f>transport!Q14</f>
        <v>NO</v>
      </c>
      <c r="R9" s="960">
        <f>SUM(B9:Q9)</f>
        <v>46699.265051648348</v>
      </c>
    </row>
    <row r="10" spans="1:18">
      <c r="A10" s="385" t="s">
        <v>447</v>
      </c>
      <c r="B10" s="955">
        <f>transport!B54</f>
        <v>3.37912379176286</v>
      </c>
      <c r="C10" s="955" t="str">
        <f>transport!C54</f>
        <v>NO</v>
      </c>
      <c r="D10" s="955" t="str">
        <f>transport!D54</f>
        <v>NO</v>
      </c>
      <c r="E10" s="955" t="str">
        <f>transport!E54</f>
        <v>NO</v>
      </c>
      <c r="F10" s="955" t="str">
        <f>transport!F54</f>
        <v>NO</v>
      </c>
      <c r="G10" s="955">
        <f>transport!G54</f>
        <v>190.21076923428259</v>
      </c>
      <c r="H10" s="955" t="str">
        <f>transport!H54</f>
        <v>NO</v>
      </c>
      <c r="I10" s="955" t="str">
        <f>transport!I54</f>
        <v>NO</v>
      </c>
      <c r="J10" s="955" t="str">
        <f>transport!J54</f>
        <v>NO</v>
      </c>
      <c r="K10" s="955" t="str">
        <f>transport!K54</f>
        <v>NO</v>
      </c>
      <c r="L10" s="955" t="str">
        <f>transport!L54</f>
        <v>NO</v>
      </c>
      <c r="M10" s="955" t="str">
        <f>transport!M54</f>
        <v>NO</v>
      </c>
      <c r="N10" s="955">
        <f>transport!N54</f>
        <v>22.771080826403136</v>
      </c>
      <c r="O10" s="955" t="str">
        <f>transport!O54</f>
        <v>NO</v>
      </c>
      <c r="P10" s="955" t="str">
        <f>transport!P54</f>
        <v>NO</v>
      </c>
      <c r="Q10" s="956" t="str">
        <f>transport!Q54</f>
        <v xml:space="preserve">NO </v>
      </c>
      <c r="R10" s="958">
        <f t="shared" si="0"/>
        <v>216.36097385244858</v>
      </c>
    </row>
    <row r="11" spans="1:18">
      <c r="A11" s="385" t="s">
        <v>448</v>
      </c>
      <c r="B11" s="955">
        <f>'Eigen gebouwen'!B6</f>
        <v>540.03795429994943</v>
      </c>
      <c r="C11" s="955">
        <f>'Eigen gebouwen'!C6</f>
        <v>0</v>
      </c>
      <c r="D11" s="955">
        <f>'Eigen gebouwen'!D6</f>
        <v>1202.6717586058385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1742.7097129057879</v>
      </c>
    </row>
    <row r="12" spans="1:18">
      <c r="A12" s="385" t="s">
        <v>449</v>
      </c>
      <c r="B12" s="955">
        <f>'Eigen openbare verlichting'!B6</f>
        <v>548.29499999999996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548.29499999999996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218.80806000000001</v>
      </c>
      <c r="C14" s="961" t="str">
        <f>'SECAP template'!D40</f>
        <v>NE</v>
      </c>
      <c r="D14" s="961">
        <f>'SECAP template'!E40</f>
        <v>495.06709999999998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713.87516000000005</v>
      </c>
    </row>
    <row r="15" spans="1:18" s="393" customFormat="1">
      <c r="A15" s="391" t="s">
        <v>451</v>
      </c>
      <c r="B15" s="962">
        <f>SUM(B4:B14)</f>
        <v>22338.18468303368</v>
      </c>
      <c r="C15" s="962">
        <f t="shared" ref="C15:R15" si="1">SUM(C4:C14)</f>
        <v>0</v>
      </c>
      <c r="D15" s="962">
        <f t="shared" si="1"/>
        <v>24485.447362230501</v>
      </c>
      <c r="E15" s="962">
        <f t="shared" si="1"/>
        <v>1155.0615618294107</v>
      </c>
      <c r="F15" s="962">
        <f t="shared" si="1"/>
        <v>31949.327401042399</v>
      </c>
      <c r="G15" s="962">
        <f t="shared" si="1"/>
        <v>30047.79883642041</v>
      </c>
      <c r="H15" s="962">
        <f t="shared" si="1"/>
        <v>11558.099709716562</v>
      </c>
      <c r="I15" s="962">
        <f t="shared" si="1"/>
        <v>0</v>
      </c>
      <c r="J15" s="962">
        <f t="shared" si="1"/>
        <v>627.6791490064287</v>
      </c>
      <c r="K15" s="962">
        <f t="shared" si="1"/>
        <v>0</v>
      </c>
      <c r="L15" s="962">
        <f t="shared" si="1"/>
        <v>0</v>
      </c>
      <c r="M15" s="962">
        <f t="shared" si="1"/>
        <v>0</v>
      </c>
      <c r="N15" s="962">
        <f t="shared" si="1"/>
        <v>4526.3540540070089</v>
      </c>
      <c r="O15" s="962">
        <f t="shared" si="1"/>
        <v>4231.8363697018794</v>
      </c>
      <c r="P15" s="962">
        <f t="shared" si="1"/>
        <v>0</v>
      </c>
      <c r="Q15" s="962">
        <f t="shared" si="1"/>
        <v>0</v>
      </c>
      <c r="R15" s="962">
        <f t="shared" si="1"/>
        <v>130919.7891269883</v>
      </c>
    </row>
    <row r="17" spans="1:18">
      <c r="A17" s="394" t="s">
        <v>452</v>
      </c>
      <c r="B17" s="617">
        <f>huishoudens!B11</f>
        <v>0.12453322713371275</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1314.788973455024</v>
      </c>
      <c r="C22" s="955">
        <f t="shared" ref="C22:C32" si="2">IFERROR(C4*$C$17,C4)</f>
        <v>0</v>
      </c>
      <c r="D22" s="955">
        <f t="shared" ref="D22:D32" si="3">IFERROR(D4*$D$17,D4)</f>
        <v>3775.6996029274205</v>
      </c>
      <c r="E22" s="955">
        <f t="shared" ref="E22:E32" si="4">IFERROR(E4*$E$17,E4)</f>
        <v>206.13587908628784</v>
      </c>
      <c r="F22" s="955">
        <f t="shared" ref="F22:F32" si="5">IFERROR(F4*$F$17,F4)</f>
        <v>3939.806412760558</v>
      </c>
      <c r="G22" s="955" t="str">
        <f t="shared" ref="G22:G32" si="6">IFERROR(G4*$G$17,G4)</f>
        <v>NE</v>
      </c>
      <c r="H22" s="955" t="str">
        <f t="shared" ref="H22:H32" si="7">IFERROR(H4*$H$17,H4)</f>
        <v>NE</v>
      </c>
      <c r="I22" s="955" t="str">
        <f t="shared" ref="I22:I32" si="8">IFERROR(I4*$I$17,I4)</f>
        <v xml:space="preserve">NE </v>
      </c>
      <c r="J22" s="955">
        <f t="shared" ref="J22:J32" si="9">IFERROR(J4*$J$17,J4)</f>
        <v>41.874019820664628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9278.3048880499555</v>
      </c>
    </row>
    <row r="23" spans="1:18">
      <c r="A23" s="385" t="s">
        <v>136</v>
      </c>
      <c r="B23" s="955">
        <f t="shared" ref="B23:B32" si="17">B5*$B$17</f>
        <v>524.2527195079017</v>
      </c>
      <c r="C23" s="955">
        <f t="shared" si="2"/>
        <v>0</v>
      </c>
      <c r="D23" s="955">
        <f t="shared" si="3"/>
        <v>568.85468914988076</v>
      </c>
      <c r="E23" s="955">
        <f t="shared" si="4"/>
        <v>1.4051463898356997</v>
      </c>
      <c r="F23" s="955">
        <f t="shared" si="5"/>
        <v>146.09463495999233</v>
      </c>
      <c r="G23" s="955" t="str">
        <f t="shared" si="6"/>
        <v>NE</v>
      </c>
      <c r="H23" s="955">
        <f t="shared" si="7"/>
        <v>1.5177787953072952E-2</v>
      </c>
      <c r="I23" s="955" t="str">
        <f t="shared" si="8"/>
        <v>NE</v>
      </c>
      <c r="J23" s="955">
        <f t="shared" si="9"/>
        <v>1.0281241598953982E-3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1240.6233959197232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530.96981105485781</v>
      </c>
      <c r="C25" s="955">
        <f t="shared" si="2"/>
        <v>0</v>
      </c>
      <c r="D25" s="955">
        <f t="shared" si="3"/>
        <v>57.735490043280002</v>
      </c>
      <c r="E25" s="955">
        <f t="shared" si="4"/>
        <v>35.836164024676336</v>
      </c>
      <c r="F25" s="955">
        <f t="shared" si="5"/>
        <v>4267.1330502227256</v>
      </c>
      <c r="G25" s="955" t="str">
        <f t="shared" si="6"/>
        <v>NE</v>
      </c>
      <c r="H25" s="955" t="str">
        <f t="shared" si="7"/>
        <v>NE</v>
      </c>
      <c r="I25" s="955" t="str">
        <f t="shared" si="8"/>
        <v>NE</v>
      </c>
      <c r="J25" s="955">
        <f t="shared" si="9"/>
        <v>179.9338201803705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5071.6083355259098</v>
      </c>
    </row>
    <row r="26" spans="1:18">
      <c r="A26" s="385" t="s">
        <v>492</v>
      </c>
      <c r="B26" s="955">
        <f t="shared" si="17"/>
        <v>181.5608429255004</v>
      </c>
      <c r="C26" s="955">
        <f t="shared" si="2"/>
        <v>0</v>
      </c>
      <c r="D26" s="955">
        <f t="shared" si="3"/>
        <v>166.79959253622002</v>
      </c>
      <c r="E26" s="955">
        <f t="shared" si="4"/>
        <v>2.245037602315342</v>
      </c>
      <c r="F26" s="955">
        <f t="shared" si="5"/>
        <v>177.4363181350449</v>
      </c>
      <c r="G26" s="955" t="str">
        <f t="shared" si="6"/>
        <v>NE</v>
      </c>
      <c r="H26" s="955">
        <f t="shared" si="7"/>
        <v>0</v>
      </c>
      <c r="I26" s="955" t="str">
        <f t="shared" si="8"/>
        <v>NE</v>
      </c>
      <c r="J26" s="955">
        <f t="shared" si="9"/>
        <v>0.38955062308073807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528.43134182216136</v>
      </c>
    </row>
    <row r="27" spans="1:18" s="389" customFormat="1">
      <c r="A27" s="388" t="s">
        <v>457</v>
      </c>
      <c r="B27" s="963">
        <f t="shared" si="17"/>
        <v>67.070577923492777</v>
      </c>
      <c r="C27" s="955" t="str">
        <f t="shared" si="2"/>
        <v>NO</v>
      </c>
      <c r="D27" s="955">
        <f t="shared" si="3"/>
        <v>34.027743075381537</v>
      </c>
      <c r="E27" s="955">
        <f t="shared" si="4"/>
        <v>16.576747432160957</v>
      </c>
      <c r="F27" s="955" t="str">
        <f t="shared" si="5"/>
        <v>NO</v>
      </c>
      <c r="G27" s="955">
        <f t="shared" si="6"/>
        <v>7971.9760139386963</v>
      </c>
      <c r="H27" s="955">
        <f t="shared" si="7"/>
        <v>2877.9516499314709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10967.602732301202</v>
      </c>
    </row>
    <row r="28" spans="1:18" ht="16.5" customHeight="1">
      <c r="A28" s="385" t="s">
        <v>447</v>
      </c>
      <c r="B28" s="955">
        <f t="shared" si="17"/>
        <v>0.42081319067253692</v>
      </c>
      <c r="C28" s="955" t="str">
        <f t="shared" si="2"/>
        <v>NO</v>
      </c>
      <c r="D28" s="955" t="str">
        <f t="shared" si="3"/>
        <v>NO</v>
      </c>
      <c r="E28" s="955" t="str">
        <f t="shared" si="4"/>
        <v>NO</v>
      </c>
      <c r="F28" s="955" t="str">
        <f t="shared" si="5"/>
        <v>NO</v>
      </c>
      <c r="G28" s="955">
        <f t="shared" si="6"/>
        <v>50.786275385553452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51.207088576225992</v>
      </c>
    </row>
    <row r="29" spans="1:18">
      <c r="A29" s="385" t="s">
        <v>448</v>
      </c>
      <c r="B29" s="955">
        <f t="shared" si="17"/>
        <v>67.252669223661186</v>
      </c>
      <c r="C29" s="955">
        <f t="shared" si="2"/>
        <v>0</v>
      </c>
      <c r="D29" s="955">
        <f t="shared" si="3"/>
        <v>242.93969523837939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310.19236446204059</v>
      </c>
    </row>
    <row r="30" spans="1:18">
      <c r="A30" s="385" t="s">
        <v>449</v>
      </c>
      <c r="B30" s="955">
        <f t="shared" si="17"/>
        <v>68.280945771279022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68.280945771279022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27.248873834667048</v>
      </c>
      <c r="C32" s="955" t="str">
        <f t="shared" si="2"/>
        <v>NE</v>
      </c>
      <c r="D32" s="955">
        <f t="shared" si="3"/>
        <v>100.0035542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127.25242803466705</v>
      </c>
    </row>
    <row r="33" spans="1:18" s="393" customFormat="1">
      <c r="A33" s="391" t="s">
        <v>451</v>
      </c>
      <c r="B33" s="962">
        <f>SUM(B22:B32)</f>
        <v>2781.8462268870562</v>
      </c>
      <c r="C33" s="962">
        <f t="shared" ref="C33:R33" si="22">SUM(C22:C32)</f>
        <v>0</v>
      </c>
      <c r="D33" s="962">
        <f t="shared" si="22"/>
        <v>4946.0603671705621</v>
      </c>
      <c r="E33" s="962">
        <f t="shared" si="22"/>
        <v>262.19897453527619</v>
      </c>
      <c r="F33" s="962">
        <f t="shared" si="22"/>
        <v>8530.4704160783222</v>
      </c>
      <c r="G33" s="962">
        <f t="shared" si="22"/>
        <v>8022.7622893242497</v>
      </c>
      <c r="H33" s="962">
        <f t="shared" si="22"/>
        <v>2877.9668277194241</v>
      </c>
      <c r="I33" s="962">
        <f t="shared" si="22"/>
        <v>0</v>
      </c>
      <c r="J33" s="962">
        <f t="shared" si="22"/>
        <v>222.19841874827577</v>
      </c>
      <c r="K33" s="392">
        <f t="shared" si="22"/>
        <v>0</v>
      </c>
      <c r="L33" s="392">
        <f t="shared" si="22"/>
        <v>0</v>
      </c>
      <c r="M33" s="392">
        <f t="shared" si="22"/>
        <v>0</v>
      </c>
      <c r="N33" s="392">
        <f t="shared" si="22"/>
        <v>0</v>
      </c>
      <c r="O33" s="392">
        <f t="shared" si="22"/>
        <v>0</v>
      </c>
      <c r="P33" s="392">
        <f t="shared" si="22"/>
        <v>0</v>
      </c>
      <c r="Q33" s="392">
        <f t="shared" si="22"/>
        <v>0</v>
      </c>
      <c r="R33" s="392">
        <f t="shared" si="22"/>
        <v>27643.503520463164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3966.3867751222288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5784.2584197347269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9750.6451948569556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0.12453322713371275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0.12453322713371275</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3035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6035.2599999999948</v>
      </c>
      <c r="C14" s="286"/>
      <c r="D14" s="286"/>
      <c r="E14" s="286"/>
      <c r="F14" s="286"/>
      <c r="G14" s="286"/>
    </row>
    <row r="15" spans="1:7">
      <c r="A15" s="979" t="s">
        <v>164</v>
      </c>
      <c r="B15" s="980">
        <v>84</v>
      </c>
      <c r="C15" s="286"/>
      <c r="D15" s="286"/>
      <c r="E15" s="286"/>
      <c r="F15" s="286"/>
      <c r="G15" s="286"/>
    </row>
    <row r="16" spans="1:7">
      <c r="A16" s="979" t="s">
        <v>6</v>
      </c>
      <c r="B16" s="980">
        <v>2646</v>
      </c>
      <c r="C16" s="286"/>
      <c r="D16" s="286"/>
      <c r="E16" s="286"/>
      <c r="F16" s="286"/>
      <c r="G16" s="286"/>
    </row>
    <row r="17" spans="1:7">
      <c r="A17" s="979" t="s">
        <v>7</v>
      </c>
      <c r="B17" s="980">
        <v>1759</v>
      </c>
      <c r="C17" s="286"/>
      <c r="D17" s="286"/>
      <c r="E17" s="286"/>
      <c r="F17" s="286"/>
      <c r="G17" s="286"/>
    </row>
    <row r="18" spans="1:7">
      <c r="A18" s="979" t="s">
        <v>8</v>
      </c>
      <c r="B18" s="980">
        <v>2813</v>
      </c>
      <c r="C18" s="286"/>
      <c r="D18" s="286"/>
      <c r="E18" s="286"/>
      <c r="F18" s="286"/>
      <c r="G18" s="286"/>
    </row>
    <row r="19" spans="1:7">
      <c r="A19" s="979" t="s">
        <v>9</v>
      </c>
      <c r="B19" s="980">
        <v>2672</v>
      </c>
      <c r="C19" s="286"/>
      <c r="D19" s="286"/>
      <c r="E19" s="286"/>
      <c r="F19" s="286"/>
      <c r="G19" s="286"/>
    </row>
    <row r="20" spans="1:7">
      <c r="A20" s="979" t="s">
        <v>10</v>
      </c>
      <c r="B20" s="980">
        <v>1104</v>
      </c>
      <c r="C20" s="286"/>
      <c r="D20" s="286"/>
      <c r="E20" s="286"/>
      <c r="F20" s="286"/>
      <c r="G20" s="286"/>
    </row>
    <row r="21" spans="1:7">
      <c r="A21" s="979" t="s">
        <v>11</v>
      </c>
      <c r="B21" s="980">
        <v>13553</v>
      </c>
      <c r="C21" s="286"/>
      <c r="D21" s="286"/>
      <c r="E21" s="286"/>
      <c r="F21" s="286"/>
      <c r="G21" s="286"/>
    </row>
    <row r="22" spans="1:7">
      <c r="A22" s="979" t="s">
        <v>12</v>
      </c>
      <c r="B22" s="980">
        <v>20470</v>
      </c>
      <c r="C22" s="286"/>
      <c r="D22" s="286"/>
      <c r="E22" s="286"/>
      <c r="F22" s="286"/>
      <c r="G22" s="286"/>
    </row>
    <row r="23" spans="1:7">
      <c r="A23" s="979" t="s">
        <v>13</v>
      </c>
      <c r="B23" s="980">
        <v>762</v>
      </c>
      <c r="C23" s="286"/>
      <c r="D23" s="286"/>
      <c r="E23" s="286"/>
      <c r="F23" s="286"/>
      <c r="G23" s="286"/>
    </row>
    <row r="24" spans="1:7">
      <c r="A24" s="979" t="s">
        <v>14</v>
      </c>
      <c r="B24" s="980">
        <v>18</v>
      </c>
      <c r="C24" s="286"/>
      <c r="D24" s="286"/>
      <c r="E24" s="286"/>
      <c r="F24" s="286"/>
      <c r="G24" s="286"/>
    </row>
    <row r="25" spans="1:7">
      <c r="A25" s="979" t="s">
        <v>15</v>
      </c>
      <c r="B25" s="980">
        <v>1852</v>
      </c>
      <c r="C25" s="286"/>
      <c r="D25" s="286"/>
      <c r="E25" s="286"/>
      <c r="F25" s="286"/>
      <c r="G25" s="286"/>
    </row>
    <row r="26" spans="1:7">
      <c r="A26" s="979" t="s">
        <v>16</v>
      </c>
      <c r="B26" s="980">
        <v>900</v>
      </c>
      <c r="C26" s="286"/>
      <c r="D26" s="286"/>
      <c r="E26" s="286"/>
      <c r="F26" s="286"/>
      <c r="G26" s="286"/>
    </row>
    <row r="27" spans="1:7">
      <c r="A27" s="979" t="s">
        <v>17</v>
      </c>
      <c r="B27" s="980">
        <v>1036</v>
      </c>
      <c r="C27" s="286"/>
      <c r="D27" s="286"/>
      <c r="E27" s="286"/>
      <c r="F27" s="286"/>
      <c r="G27" s="286"/>
    </row>
    <row r="28" spans="1:7">
      <c r="A28" s="983" t="s">
        <v>18</v>
      </c>
      <c r="B28" s="1240">
        <v>426400</v>
      </c>
      <c r="C28" s="286"/>
      <c r="D28" s="286"/>
      <c r="E28" s="286"/>
      <c r="F28" s="286"/>
      <c r="G28" s="286"/>
    </row>
    <row r="29" spans="1:7">
      <c r="A29" s="983" t="s">
        <v>534</v>
      </c>
      <c r="B29" s="1240">
        <v>255</v>
      </c>
      <c r="C29" s="286"/>
      <c r="D29" s="286"/>
      <c r="E29" s="286"/>
      <c r="F29" s="286"/>
      <c r="G29" s="286"/>
    </row>
    <row r="30" spans="1:7">
      <c r="A30" s="981" t="s">
        <v>535</v>
      </c>
      <c r="B30" s="982">
        <v>58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14350.05</v>
      </c>
      <c r="G38" s="286"/>
    </row>
    <row r="39" spans="1:7">
      <c r="A39" s="979" t="s">
        <v>29</v>
      </c>
      <c r="B39" s="979" t="s">
        <v>30</v>
      </c>
      <c r="C39" s="980">
        <v>1648</v>
      </c>
      <c r="D39" s="980">
        <v>20699426.57</v>
      </c>
      <c r="E39" s="980">
        <v>2839</v>
      </c>
      <c r="F39" s="980">
        <v>9235977.9299999997</v>
      </c>
      <c r="G39" s="286"/>
    </row>
    <row r="40" spans="1:7">
      <c r="A40" s="979" t="s">
        <v>29</v>
      </c>
      <c r="B40" s="979" t="s">
        <v>28</v>
      </c>
      <c r="C40" s="980">
        <v>0</v>
      </c>
      <c r="D40" s="980">
        <v>0</v>
      </c>
      <c r="E40" s="980">
        <v>1</v>
      </c>
      <c r="F40" s="980">
        <v>1459.22</v>
      </c>
      <c r="G40" s="286"/>
    </row>
    <row r="41" spans="1:7">
      <c r="A41" s="979" t="s">
        <v>31</v>
      </c>
      <c r="B41" s="979" t="s">
        <v>32</v>
      </c>
      <c r="C41" s="980">
        <v>44</v>
      </c>
      <c r="D41" s="980">
        <v>501483.71</v>
      </c>
      <c r="E41" s="980">
        <v>105</v>
      </c>
      <c r="F41" s="980">
        <v>624577.6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13</v>
      </c>
      <c r="D44" s="980">
        <v>200737.96</v>
      </c>
      <c r="E44" s="980">
        <v>18</v>
      </c>
      <c r="F44" s="980">
        <v>92951.17</v>
      </c>
      <c r="G44" s="286"/>
    </row>
    <row r="45" spans="1:7">
      <c r="A45" s="979" t="s">
        <v>31</v>
      </c>
      <c r="B45" s="979" t="s">
        <v>36</v>
      </c>
      <c r="C45" s="980">
        <v>3</v>
      </c>
      <c r="D45" s="980">
        <v>36921.54</v>
      </c>
      <c r="E45" s="980">
        <v>3</v>
      </c>
      <c r="F45" s="980">
        <v>46870.36</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8415.57</v>
      </c>
      <c r="G47" s="286"/>
    </row>
    <row r="48" spans="1:7">
      <c r="A48" s="979" t="s">
        <v>31</v>
      </c>
      <c r="B48" s="979" t="s">
        <v>28</v>
      </c>
      <c r="C48" s="980">
        <v>3</v>
      </c>
      <c r="D48" s="980">
        <v>28513.02</v>
      </c>
      <c r="E48" s="980">
        <v>3</v>
      </c>
      <c r="F48" s="980">
        <v>9754.24</v>
      </c>
      <c r="G48" s="286"/>
    </row>
    <row r="49" spans="1:7">
      <c r="A49" s="979" t="s">
        <v>31</v>
      </c>
      <c r="B49" s="979" t="s">
        <v>39</v>
      </c>
      <c r="C49" s="980">
        <v>0</v>
      </c>
      <c r="D49" s="980">
        <v>0</v>
      </c>
      <c r="E49" s="980">
        <v>6</v>
      </c>
      <c r="F49" s="980">
        <v>293566.18</v>
      </c>
      <c r="G49" s="286"/>
    </row>
    <row r="50" spans="1:7">
      <c r="A50" s="979" t="s">
        <v>31</v>
      </c>
      <c r="B50" s="979" t="s">
        <v>40</v>
      </c>
      <c r="C50" s="980">
        <v>4</v>
      </c>
      <c r="D50" s="980">
        <v>146785.14000000001</v>
      </c>
      <c r="E50" s="980">
        <v>5</v>
      </c>
      <c r="F50" s="980">
        <v>159675.62</v>
      </c>
      <c r="G50" s="286"/>
    </row>
    <row r="51" spans="1:7">
      <c r="A51" s="979" t="s">
        <v>41</v>
      </c>
      <c r="B51" s="979" t="s">
        <v>42</v>
      </c>
      <c r="C51" s="980">
        <v>19</v>
      </c>
      <c r="D51" s="980">
        <v>316521.88</v>
      </c>
      <c r="E51" s="980">
        <v>195</v>
      </c>
      <c r="F51" s="980">
        <v>4033527.4200000004</v>
      </c>
      <c r="G51" s="286"/>
    </row>
    <row r="52" spans="1:7">
      <c r="A52" s="979" t="s">
        <v>41</v>
      </c>
      <c r="B52" s="979" t="s">
        <v>28</v>
      </c>
      <c r="C52" s="980">
        <v>0</v>
      </c>
      <c r="D52" s="980">
        <v>0</v>
      </c>
      <c r="E52" s="980">
        <v>0</v>
      </c>
      <c r="F52" s="980">
        <v>0</v>
      </c>
      <c r="G52" s="286"/>
    </row>
    <row r="53" spans="1:7">
      <c r="A53" s="979" t="s">
        <v>43</v>
      </c>
      <c r="B53" s="979" t="s">
        <v>44</v>
      </c>
      <c r="C53" s="980">
        <v>36</v>
      </c>
      <c r="D53" s="980">
        <v>495067.1</v>
      </c>
      <c r="E53" s="980">
        <v>108</v>
      </c>
      <c r="F53" s="980">
        <v>218808.06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548295</v>
      </c>
      <c r="G55" s="286"/>
    </row>
    <row r="56" spans="1:7">
      <c r="A56" s="979" t="s">
        <v>47</v>
      </c>
      <c r="B56" s="979" t="s">
        <v>28</v>
      </c>
      <c r="C56" s="980">
        <v>0</v>
      </c>
      <c r="D56" s="980">
        <v>0</v>
      </c>
      <c r="E56" s="980">
        <v>0</v>
      </c>
      <c r="F56" s="980">
        <v>0</v>
      </c>
      <c r="G56" s="286"/>
    </row>
    <row r="57" spans="1:7">
      <c r="A57" s="979" t="s">
        <v>48</v>
      </c>
      <c r="B57" s="979" t="s">
        <v>49</v>
      </c>
      <c r="C57" s="980">
        <v>18</v>
      </c>
      <c r="D57" s="980">
        <v>262165.61</v>
      </c>
      <c r="E57" s="980">
        <v>45</v>
      </c>
      <c r="F57" s="980">
        <v>305285.07</v>
      </c>
      <c r="G57" s="286"/>
    </row>
    <row r="58" spans="1:7">
      <c r="A58" s="979" t="s">
        <v>48</v>
      </c>
      <c r="B58" s="979" t="s">
        <v>50</v>
      </c>
      <c r="C58" s="980">
        <v>6</v>
      </c>
      <c r="D58" s="980">
        <v>145748.88</v>
      </c>
      <c r="E58" s="980">
        <v>9</v>
      </c>
      <c r="F58" s="980">
        <v>38622.97</v>
      </c>
      <c r="G58" s="286"/>
    </row>
    <row r="59" spans="1:7">
      <c r="A59" s="979" t="s">
        <v>48</v>
      </c>
      <c r="B59" s="979" t="s">
        <v>51</v>
      </c>
      <c r="C59" s="980">
        <v>31</v>
      </c>
      <c r="D59" s="980">
        <v>718475.09</v>
      </c>
      <c r="E59" s="980">
        <v>74</v>
      </c>
      <c r="F59" s="980">
        <v>1628819.17</v>
      </c>
      <c r="G59" s="286"/>
    </row>
    <row r="60" spans="1:7">
      <c r="A60" s="979" t="s">
        <v>48</v>
      </c>
      <c r="B60" s="979" t="s">
        <v>52</v>
      </c>
      <c r="C60" s="980">
        <v>30</v>
      </c>
      <c r="D60" s="980">
        <v>813763.93</v>
      </c>
      <c r="E60" s="980">
        <v>53</v>
      </c>
      <c r="F60" s="980">
        <v>781320.58</v>
      </c>
      <c r="G60" s="286"/>
    </row>
    <row r="61" spans="1:7">
      <c r="A61" s="979" t="s">
        <v>48</v>
      </c>
      <c r="B61" s="979" t="s">
        <v>53</v>
      </c>
      <c r="C61" s="980">
        <v>61</v>
      </c>
      <c r="D61" s="980">
        <v>2196414.85</v>
      </c>
      <c r="E61" s="980">
        <v>169</v>
      </c>
      <c r="F61" s="980">
        <v>1645519.34</v>
      </c>
      <c r="G61" s="286"/>
    </row>
    <row r="62" spans="1:7">
      <c r="A62" s="979" t="s">
        <v>48</v>
      </c>
      <c r="B62" s="979" t="s">
        <v>54</v>
      </c>
      <c r="C62" s="980">
        <v>7</v>
      </c>
      <c r="D62" s="980">
        <v>313912.34999999998</v>
      </c>
      <c r="E62" s="980">
        <v>7</v>
      </c>
      <c r="F62" s="980">
        <v>17474.34</v>
      </c>
      <c r="G62" s="286"/>
    </row>
    <row r="63" spans="1:7">
      <c r="A63" s="979" t="s">
        <v>48</v>
      </c>
      <c r="B63" s="979" t="s">
        <v>28</v>
      </c>
      <c r="C63" s="980">
        <v>0</v>
      </c>
      <c r="D63" s="980">
        <v>0</v>
      </c>
      <c r="E63" s="980">
        <v>3</v>
      </c>
      <c r="F63" s="980">
        <v>21961.360000000001</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34325.46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20423836</v>
      </c>
      <c r="E73" s="384"/>
      <c r="F73" s="286"/>
      <c r="G73" s="286"/>
    </row>
    <row r="74" spans="1:7">
      <c r="A74" s="979" t="s">
        <v>63</v>
      </c>
      <c r="B74" s="979" t="s">
        <v>505</v>
      </c>
      <c r="C74" s="1250" t="s">
        <v>507</v>
      </c>
      <c r="D74" s="1251">
        <v>3478040.6108082589</v>
      </c>
      <c r="E74" s="384"/>
      <c r="F74" s="286"/>
      <c r="G74" s="286"/>
    </row>
    <row r="75" spans="1:7">
      <c r="A75" s="979" t="s">
        <v>64</v>
      </c>
      <c r="B75" s="979" t="s">
        <v>504</v>
      </c>
      <c r="C75" s="1250" t="s">
        <v>508</v>
      </c>
      <c r="D75" s="1251">
        <v>19248059</v>
      </c>
      <c r="E75" s="384"/>
      <c r="F75" s="286"/>
      <c r="G75" s="286"/>
    </row>
    <row r="76" spans="1:7">
      <c r="A76" s="979" t="s">
        <v>64</v>
      </c>
      <c r="B76" s="979" t="s">
        <v>505</v>
      </c>
      <c r="C76" s="1250" t="s">
        <v>509</v>
      </c>
      <c r="D76" s="1251">
        <v>1671024.6108082591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59516.778383481877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3966.3867751222288</v>
      </c>
      <c r="C90" s="286" t="s">
        <v>629</v>
      </c>
      <c r="D90" s="286"/>
      <c r="E90" s="286"/>
      <c r="F90" s="286"/>
      <c r="G90" s="286"/>
    </row>
    <row r="91" spans="1:7">
      <c r="A91" s="979" t="s">
        <v>67</v>
      </c>
      <c r="B91" s="980">
        <v>5053.9616251902708</v>
      </c>
      <c r="C91" s="286" t="s">
        <v>629</v>
      </c>
      <c r="D91" s="286"/>
      <c r="E91" s="286"/>
      <c r="F91" s="286"/>
      <c r="G91" s="286"/>
    </row>
    <row r="92" spans="1:7">
      <c r="A92" s="981" t="s">
        <v>68</v>
      </c>
      <c r="B92" s="986">
        <v>730.29679454445591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540037.95429994946</v>
      </c>
      <c r="C97" s="286"/>
      <c r="D97" s="286"/>
      <c r="E97" s="286"/>
      <c r="F97" s="286"/>
      <c r="G97" s="286"/>
    </row>
    <row r="98" spans="1:7">
      <c r="A98" s="286" t="s">
        <v>176</v>
      </c>
      <c r="B98" s="980">
        <v>0</v>
      </c>
      <c r="C98" s="286"/>
      <c r="D98" s="286"/>
      <c r="E98" s="286"/>
      <c r="F98" s="286"/>
      <c r="G98" s="286"/>
    </row>
    <row r="99" spans="1:7">
      <c r="A99" s="286" t="s">
        <v>179</v>
      </c>
      <c r="B99" s="980">
        <v>1331862.4126310505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548295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1320.2991563379067</v>
      </c>
      <c r="C121" s="286"/>
      <c r="D121" s="286"/>
      <c r="E121" s="286"/>
      <c r="F121" s="286"/>
      <c r="G121" s="286"/>
    </row>
    <row r="122" spans="1:7">
      <c r="A122" s="286" t="s">
        <v>731</v>
      </c>
      <c r="B122" s="980">
        <v>222.12018417460979</v>
      </c>
      <c r="C122" s="286"/>
      <c r="D122" s="286"/>
      <c r="E122" s="286"/>
      <c r="F122" s="286"/>
      <c r="G122" s="286"/>
    </row>
    <row r="123" spans="1:7">
      <c r="A123" s="286" t="s">
        <v>3</v>
      </c>
      <c r="B123" s="980">
        <v>230.15242895107059</v>
      </c>
      <c r="C123" s="286"/>
      <c r="D123" s="286"/>
      <c r="E123" s="286"/>
      <c r="F123" s="286"/>
      <c r="G123" s="286"/>
    </row>
    <row r="124" spans="1:7">
      <c r="A124" s="981" t="s">
        <v>732</v>
      </c>
      <c r="B124" s="986">
        <v>310.77682596648896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22338.18468303368</v>
      </c>
      <c r="C3" s="43" t="s">
        <v>150</v>
      </c>
      <c r="D3" s="43"/>
      <c r="E3" s="151"/>
      <c r="F3" s="43"/>
      <c r="G3" s="43"/>
      <c r="H3" s="43"/>
      <c r="I3" s="43"/>
      <c r="J3" s="43"/>
      <c r="K3" s="95"/>
    </row>
    <row r="4" spans="1:11">
      <c r="A4" s="304" t="s">
        <v>151</v>
      </c>
      <c r="B4" s="49">
        <f>IF(ISERROR('SECAP template'!B105+'SECAP template'!C105),0,'SECAP template'!B105+'SECAP template'!C105)</f>
        <v>9750.6451948569556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0.12453322713371275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540.03795429994943</v>
      </c>
      <c r="C4" s="30">
        <f>kWh_eigengeb_warmtekoude/1000</f>
        <v>0</v>
      </c>
      <c r="D4" s="30">
        <f>kWh_eigengeb_aardgas/1000*0.903</f>
        <v>1202.6717586058385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540.03795429994943</v>
      </c>
      <c r="C6" s="21">
        <f>SUM(C4:C4)</f>
        <v>0</v>
      </c>
      <c r="D6" s="21">
        <f>SUM(D4:D4)</f>
        <v>1202.6717586058385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0.12453322713371275</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67.252669223661186</v>
      </c>
      <c r="C10" s="23">
        <f>C6*C8</f>
        <v>0</v>
      </c>
      <c r="D10" s="23">
        <f>D6*D8</f>
        <v>242.93969523837939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548.29499999999996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548.29499999999996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0.12453322713371275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68.280945771279022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548.29499999999996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-548.29499999999996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0.12453322713371275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9237.4371499999997</v>
      </c>
      <c r="C5" s="17">
        <f>IF(ISERROR('Eigen informatie GS &amp; warmtenet'!B61),0,'Eigen informatie GS &amp; warmtenet'!B61)</f>
        <v>0</v>
      </c>
      <c r="D5" s="30">
        <f>(SUM(HH_hh_gas_kWh,HH_rest_gas_kWh)/1000)*0.903</f>
        <v>18691.582192710001</v>
      </c>
      <c r="E5" s="17">
        <f>B33*B42</f>
        <v>908.08757306734731</v>
      </c>
      <c r="F5" s="17">
        <f>B37*B46</f>
        <v>14755.829261275498</v>
      </c>
      <c r="G5" s="18" t="s">
        <v>637</v>
      </c>
      <c r="H5" s="17" t="s">
        <v>637</v>
      </c>
      <c r="I5" s="17" t="s">
        <v>637</v>
      </c>
      <c r="J5" s="17">
        <f>B36*B45+C36*C45</f>
        <v>118.28819158379839</v>
      </c>
      <c r="K5" s="17" t="s">
        <v>637</v>
      </c>
      <c r="L5" s="884" t="s">
        <v>637</v>
      </c>
      <c r="M5" s="17" t="s">
        <v>637</v>
      </c>
      <c r="N5" s="17" t="s">
        <v>670</v>
      </c>
      <c r="O5" s="17">
        <f>B35*B44+C35*C44</f>
        <v>4045.6465137916457</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1320.2991563379067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10557.736306337907</v>
      </c>
      <c r="C9" s="21">
        <f>MAX((C5+C6+C7),0)</f>
        <v>0</v>
      </c>
      <c r="D9" s="21">
        <f t="shared" ref="D9:O9" si="0">MAX((D5+D6+D7),0)</f>
        <v>18691.582192710001</v>
      </c>
      <c r="E9" s="21">
        <f t="shared" si="0"/>
        <v>908.08757306734731</v>
      </c>
      <c r="F9" s="21">
        <f t="shared" si="0"/>
        <v>14755.829261275498</v>
      </c>
      <c r="G9" s="21" t="s">
        <v>637</v>
      </c>
      <c r="H9" s="21" t="s">
        <v>637</v>
      </c>
      <c r="I9" s="21" t="s">
        <v>670</v>
      </c>
      <c r="J9" s="21">
        <f t="shared" si="0"/>
        <v>118.28819158379839</v>
      </c>
      <c r="K9" s="21" t="s">
        <v>637</v>
      </c>
      <c r="L9" s="21">
        <f>MAX((L6),0)</f>
        <v>0</v>
      </c>
      <c r="M9" s="21">
        <f>MAX((M6),0)</f>
        <v>0</v>
      </c>
      <c r="N9" s="21" t="s">
        <v>637</v>
      </c>
      <c r="O9" s="21">
        <f t="shared" si="0"/>
        <v>4045.6465137916457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0.12453322713371275</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1314.788973455024</v>
      </c>
      <c r="C13" s="23">
        <f>C11*C9</f>
        <v>0</v>
      </c>
      <c r="D13" s="23">
        <f>D9*D11</f>
        <v>3775.6996029274205</v>
      </c>
      <c r="E13" s="23">
        <f>E11*E9</f>
        <v>206.13587908628784</v>
      </c>
      <c r="F13" s="23">
        <f>F11*F9</f>
        <v>3939.806412760558</v>
      </c>
      <c r="G13" s="23" t="s">
        <v>637</v>
      </c>
      <c r="H13" s="23" t="s">
        <v>637</v>
      </c>
      <c r="I13" s="23" t="s">
        <v>637</v>
      </c>
      <c r="J13" s="23">
        <f>J11*J9</f>
        <v>41.874019820664628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3035</v>
      </c>
      <c r="C27" s="36"/>
      <c r="D27" s="208"/>
      <c r="E27" s="1168"/>
      <c r="L27" s="812"/>
    </row>
    <row r="28" spans="1:12" s="15" customFormat="1" hidden="1">
      <c r="A28" s="210" t="s">
        <v>722</v>
      </c>
      <c r="B28" s="37">
        <f>SUM(HH_hh_gas_aantal,HH_rest_gas_aantal)</f>
        <v>1648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1565.6</v>
      </c>
      <c r="C32" s="34" t="s">
        <v>91</v>
      </c>
      <c r="D32" s="167"/>
      <c r="E32" s="1168"/>
    </row>
    <row r="33" spans="1:6" hidden="1">
      <c r="A33" s="164" t="s">
        <v>70</v>
      </c>
      <c r="B33" s="33">
        <f>IF((B22*($B$27-($B$28-0.05*$B$28)))&lt;0,0,(B22*($B$27-($B$28-0.05*$B$28))))</f>
        <v>23.695671248261188</v>
      </c>
      <c r="C33" s="34" t="s">
        <v>91</v>
      </c>
      <c r="D33" s="167"/>
      <c r="E33" s="1168"/>
    </row>
    <row r="34" spans="1:6" hidden="1">
      <c r="A34" s="164" t="s">
        <v>71</v>
      </c>
      <c r="B34" s="33">
        <f>IF((B23*($B$27-($B$28-0.05*$B$28)))&lt;0,0,B23*($B$27-($B$28-0.05*$B$28)))</f>
        <v>384.77077127975775</v>
      </c>
      <c r="C34" s="34" t="s">
        <v>91</v>
      </c>
      <c r="D34" s="167"/>
      <c r="E34" s="1168"/>
    </row>
    <row r="35" spans="1:6" hidden="1">
      <c r="A35" s="164" t="s">
        <v>72</v>
      </c>
      <c r="B35" s="33">
        <f>IF((B25*($B$27-($B$28-0.05*$B$28)))&lt;0,0,B25*($B$27-($B$28-0.05*$B$28)))</f>
        <v>168.24336384000972</v>
      </c>
      <c r="C35" s="33">
        <f>B27*C25</f>
        <v>509.87999999999988</v>
      </c>
      <c r="D35" s="213"/>
      <c r="E35" s="1168"/>
    </row>
    <row r="36" spans="1:6" hidden="1">
      <c r="A36" s="164" t="s">
        <v>73</v>
      </c>
      <c r="B36" s="33">
        <f>IF((B20*($B$27-($B$28-0.05*$B$28)))&lt;0,0,B20*($B$27-($B$28-0.05*$B$28)))</f>
        <v>10.300451799592677</v>
      </c>
      <c r="C36" s="33">
        <f>B36/2</f>
        <v>5.1502258997963386</v>
      </c>
      <c r="D36" s="213"/>
      <c r="E36" s="1168"/>
    </row>
    <row r="37" spans="1:6" hidden="1">
      <c r="A37" s="164" t="s">
        <v>74</v>
      </c>
      <c r="B37" s="33">
        <f>IF((B19*($B$27-($B$28-0.05*$B$28)))&lt;0,0,B19*($B$27-($B$28-0.05*$B$28)))</f>
        <v>778.65021303050173</v>
      </c>
      <c r="C37" s="34" t="s">
        <v>91</v>
      </c>
      <c r="D37" s="167"/>
      <c r="E37" s="1168"/>
    </row>
    <row r="38" spans="1:6" hidden="1">
      <c r="A38" s="164" t="s">
        <v>75</v>
      </c>
      <c r="B38" s="33">
        <f>IF((B24*($B$27-($B$28-0.05*$B$28)))&lt;0,0,B24*($B$27-($B$28-0.05*$B$28)))</f>
        <v>96.836167712143336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4439.0028300000004</v>
      </c>
      <c r="C5" s="17">
        <f>IF(ISERROR('Eigen informatie GS &amp; warmtenet'!B62),0,'Eigen informatie GS &amp; warmtenet'!B62)</f>
        <v>0</v>
      </c>
      <c r="D5" s="30">
        <f>SUM(D6:D12)</f>
        <v>4018.7840811300002</v>
      </c>
      <c r="E5" s="17">
        <f>SUM(E6:E12)</f>
        <v>6.1900722019193823</v>
      </c>
      <c r="F5" s="17">
        <f>SUM(F6:F12)</f>
        <v>547.17091745315474</v>
      </c>
      <c r="G5" s="17" t="s">
        <v>637</v>
      </c>
      <c r="H5" s="17">
        <f t="shared" ref="H5" si="0">SUM(H6:H12)</f>
        <v>6.0954971699088159E-2</v>
      </c>
      <c r="I5" s="17" t="s">
        <v>637</v>
      </c>
      <c r="J5" s="17">
        <f>SUM(J6:J12)</f>
        <v>2.9043055364276786E-3</v>
      </c>
      <c r="K5" s="17" t="s">
        <v>637</v>
      </c>
      <c r="L5" s="884" t="s">
        <v>668</v>
      </c>
      <c r="M5" s="17" t="s">
        <v>668</v>
      </c>
      <c r="N5" s="17" t="s">
        <v>668</v>
      </c>
      <c r="O5" s="17">
        <f>SUM(O6:O12)</f>
        <v>113.16358099636433</v>
      </c>
      <c r="P5" s="17" t="s">
        <v>637</v>
      </c>
      <c r="Q5" s="17" t="s">
        <v>637</v>
      </c>
      <c r="S5" s="32"/>
    </row>
    <row r="6" spans="1:19">
      <c r="A6" s="32" t="s">
        <v>53</v>
      </c>
      <c r="B6" s="37">
        <f>B27</f>
        <v>1645.5193400000001</v>
      </c>
      <c r="C6" s="33"/>
      <c r="D6" s="37">
        <f>IF(ISERROR(TER_kantoor_gas_kWh/1000),0,TER_kantoor_gas_kWh/1000)*0.903</f>
        <v>1983.3626095500001</v>
      </c>
      <c r="E6" s="33">
        <f>$C$27*'E Balans VL '!I12/100/3.6*1000000</f>
        <v>1.2233378891225304E-4</v>
      </c>
      <c r="F6" s="33">
        <f>$C$27*('E Balans VL '!L12+'E Balans VL '!N12)/100/3.6*1000000</f>
        <v>135.92216594685092</v>
      </c>
      <c r="G6" s="33"/>
      <c r="H6" s="33">
        <f>$C$27*('E Balans VL '!J12)/100/3.6*1000000</f>
        <v>0</v>
      </c>
      <c r="I6" s="33"/>
      <c r="J6" s="33">
        <f>$C$27*('E Balans VL '!D12+'E Balans VL '!E12)/100/3.6*1000000</f>
        <v>0</v>
      </c>
      <c r="K6" s="33"/>
      <c r="L6" s="33"/>
      <c r="M6" s="33"/>
      <c r="N6" s="33"/>
      <c r="O6" s="33">
        <f>$C$27*'E Balans VL '!Y12/100/3.6*1000000</f>
        <v>2.0196719563797694</v>
      </c>
      <c r="P6" s="33"/>
      <c r="Q6" s="33"/>
      <c r="S6" s="32"/>
    </row>
    <row r="7" spans="1:19">
      <c r="A7" s="32" t="s">
        <v>52</v>
      </c>
      <c r="B7" s="37">
        <f t="shared" ref="B7:B12" si="1">B28</f>
        <v>781.32057999999995</v>
      </c>
      <c r="C7" s="33"/>
      <c r="D7" s="37">
        <f>IF(ISERROR(TER_horeca_gas_kWh/1000),0,TER_horeca_gas_kWh/1000)*0.903</f>
        <v>734.8288287900001</v>
      </c>
      <c r="E7" s="33">
        <f>$C$28*'E Balans VL '!I9/100/3.6*1000000</f>
        <v>0</v>
      </c>
      <c r="F7" s="33">
        <f>$C$28*('E Balans VL '!L9+'E Balans VL '!N9)/100/3.6*1000000</f>
        <v>96.247709775331401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1628.81917</v>
      </c>
      <c r="C8" s="33"/>
      <c r="D8" s="37">
        <f>IF(ISERROR(TER_handel_gas_kWh/1000),0,TER_handel_gas_kWh/1000)*0.903</f>
        <v>648.78300626999999</v>
      </c>
      <c r="E8" s="33">
        <f>$C$29*'E Balans VL '!I13/100/3.6*1000000</f>
        <v>4.4713785751556587E-2</v>
      </c>
      <c r="F8" s="33">
        <f>$C$29*('E Balans VL '!L13+'E Balans VL '!N13)/100/3.6*1000000</f>
        <v>123.65349346059331</v>
      </c>
      <c r="G8" s="33"/>
      <c r="H8" s="33">
        <f>$C$29*('E Balans VL '!J13)/100/3.6*1000000</f>
        <v>0</v>
      </c>
      <c r="I8" s="33"/>
      <c r="J8" s="33">
        <f>$C$29*('E Balans VL '!D13+'E Balans VL '!E13)/100/3.6*1000000</f>
        <v>0</v>
      </c>
      <c r="K8" s="33"/>
      <c r="L8" s="33"/>
      <c r="M8" s="33"/>
      <c r="N8" s="33"/>
      <c r="O8" s="33">
        <f>$C$29*'E Balans VL '!Y13/100/3.6*1000000</f>
        <v>1.1084023504539815</v>
      </c>
      <c r="P8" s="33"/>
      <c r="Q8" s="33"/>
      <c r="S8" s="32"/>
    </row>
    <row r="9" spans="1:19">
      <c r="A9" s="32" t="s">
        <v>50</v>
      </c>
      <c r="B9" s="37">
        <f t="shared" si="1"/>
        <v>38.622970000000002</v>
      </c>
      <c r="C9" s="33"/>
      <c r="D9" s="37">
        <f>IF(ISERROR(TER_gezond_gas_kWh/1000),0,TER_gezond_gas_kWh/1000)*0.903</f>
        <v>131.61123864000001</v>
      </c>
      <c r="E9" s="33">
        <f>$C$30*'E Balans VL '!I10/100/3.6*1000000</f>
        <v>0</v>
      </c>
      <c r="F9" s="33">
        <f>$C$30*('E Balans VL '!L10+'E Balans VL '!N10)/100/3.6*1000000</f>
        <v>0.67832952659637014</v>
      </c>
      <c r="G9" s="33"/>
      <c r="H9" s="33">
        <f>$C$30*('E Balans VL '!J10)/100/3.6*1000000</f>
        <v>0</v>
      </c>
      <c r="I9" s="33"/>
      <c r="J9" s="33">
        <f>$C$30*('E Balans VL '!D10+'E Balans VL '!E10)/100/3.6*1000000</f>
        <v>0</v>
      </c>
      <c r="K9" s="33"/>
      <c r="L9" s="33"/>
      <c r="M9" s="33"/>
      <c r="N9" s="33"/>
      <c r="O9" s="33">
        <f>$C$30*'E Balans VL '!Y10/100/3.6*1000000</f>
        <v>0.18818500711575423</v>
      </c>
      <c r="P9" s="33"/>
      <c r="Q9" s="33"/>
      <c r="S9" s="32"/>
    </row>
    <row r="10" spans="1:19">
      <c r="A10" s="32" t="s">
        <v>49</v>
      </c>
      <c r="B10" s="37">
        <f t="shared" si="1"/>
        <v>305.28507000000002</v>
      </c>
      <c r="C10" s="33"/>
      <c r="D10" s="37">
        <f>IF(ISERROR(TER_ander_gas_kWh/1000),0,TER_ander_gas_kWh/1000)*0.903</f>
        <v>236.73554582999998</v>
      </c>
      <c r="E10" s="33">
        <f>$C$31*'E Balans VL '!I14/100/3.6*1000000</f>
        <v>6.043627371537986</v>
      </c>
      <c r="F10" s="33">
        <f>$C$31*('E Balans VL '!L14+'E Balans VL '!N14)/100/3.6*1000000</f>
        <v>185.00577388112805</v>
      </c>
      <c r="G10" s="33"/>
      <c r="H10" s="33">
        <f>$C$31*('E Balans VL '!J14)/100/3.6*1000000</f>
        <v>5.9948643681101352E-2</v>
      </c>
      <c r="I10" s="33"/>
      <c r="J10" s="33">
        <f>$C$31*('E Balans VL '!D14+'E Balans VL '!E14)/100/3.6*1000000</f>
        <v>2.8563572895064994E-3</v>
      </c>
      <c r="K10" s="33"/>
      <c r="L10" s="33"/>
      <c r="M10" s="33"/>
      <c r="N10" s="33"/>
      <c r="O10" s="33">
        <f>$C$31*'E Balans VL '!Y14/100/3.6*1000000</f>
        <v>107.99566141603931</v>
      </c>
      <c r="P10" s="33"/>
      <c r="Q10" s="33"/>
      <c r="S10" s="32"/>
    </row>
    <row r="11" spans="1:19">
      <c r="A11" s="32" t="s">
        <v>54</v>
      </c>
      <c r="B11" s="37">
        <f t="shared" si="1"/>
        <v>17.474340000000002</v>
      </c>
      <c r="C11" s="33"/>
      <c r="D11" s="37">
        <f>IF(ISERROR(TER_onderwijs_gas_kWh/1000),0,TER_onderwijs_gas_kWh/1000)*0.903</f>
        <v>283.46285205000004</v>
      </c>
      <c r="E11" s="33">
        <f>$C$32*'E Balans VL '!I11/100/3.6*1000000</f>
        <v>0</v>
      </c>
      <c r="F11" s="33">
        <f>$C$32*('E Balans VL '!L11+'E Balans VL '!N11)/100/3.6*1000000</f>
        <v>1.2806216699384141</v>
      </c>
      <c r="G11" s="33"/>
      <c r="H11" s="33">
        <f>$C$32*('E Balans VL '!J11)/100/3.6*1000000</f>
        <v>0</v>
      </c>
      <c r="I11" s="33"/>
      <c r="J11" s="33">
        <f>$C$32*('E Balans VL '!D11+'E Balans VL '!E11)/100/3.6*1000000</f>
        <v>0</v>
      </c>
      <c r="K11" s="33"/>
      <c r="L11" s="33"/>
      <c r="M11" s="33"/>
      <c r="N11" s="33"/>
      <c r="O11" s="33">
        <f>$C$32*'E Balans VL '!Y11/100/3.6*1000000</f>
        <v>1.6115453363756291E-2</v>
      </c>
      <c r="P11" s="33"/>
      <c r="Q11" s="33"/>
      <c r="S11" s="32"/>
    </row>
    <row r="12" spans="1:19">
      <c r="A12" s="32" t="s">
        <v>229</v>
      </c>
      <c r="B12" s="37">
        <f t="shared" si="1"/>
        <v>21.961359999999999</v>
      </c>
      <c r="C12" s="33"/>
      <c r="D12" s="37">
        <f>IF(ISERROR(TER_rest_gas_kWh/1000),0,TER_rest_gas_kWh/1000)*0.903</f>
        <v>0</v>
      </c>
      <c r="E12" s="33">
        <f>$C$33*'E Balans VL '!I8/100/3.6*1000000</f>
        <v>0.10160871084092757</v>
      </c>
      <c r="F12" s="33">
        <f>$C$33*('E Balans VL '!L8+'E Balans VL '!N8)/100/3.6*1000000</f>
        <v>4.3828231927161694</v>
      </c>
      <c r="G12" s="33"/>
      <c r="H12" s="33">
        <f>$C$33*('E Balans VL '!J8)/100/3.6*1000000</f>
        <v>1.0063280179868049E-3</v>
      </c>
      <c r="I12" s="33"/>
      <c r="J12" s="33">
        <f>$C$33*('E Balans VL '!D8+'E Balans VL '!E8)/100/3.6*1000000</f>
        <v>4.7948246921179225E-5</v>
      </c>
      <c r="K12" s="33"/>
      <c r="L12" s="33"/>
      <c r="M12" s="33"/>
      <c r="N12" s="33"/>
      <c r="O12" s="33">
        <f>$C$33*'E Balans VL '!Y8/100/3.6*1000000</f>
        <v>1.8355448130117706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310.77682596648896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-540.03795429994943</v>
      </c>
      <c r="C15" s="17">
        <f>('Eigen gebouwen'!C4)*(-1)</f>
        <v>0</v>
      </c>
      <c r="D15" s="17">
        <f>('Eigen gebouwen'!D4)*(-1)</f>
        <v>-1202.6717586058385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4209.7417016665404</v>
      </c>
      <c r="C17" s="21">
        <f t="shared" ref="C17:O17" si="2">MAX((C5+C13+C15),0)</f>
        <v>0</v>
      </c>
      <c r="D17" s="21">
        <f t="shared" si="2"/>
        <v>2816.1123225241618</v>
      </c>
      <c r="E17" s="21">
        <f t="shared" si="2"/>
        <v>6.1900722019193823</v>
      </c>
      <c r="F17" s="21">
        <f>MAX((F5+F13+F15),0)</f>
        <v>547.17091745315474</v>
      </c>
      <c r="G17" s="21" t="s">
        <v>637</v>
      </c>
      <c r="H17" s="21">
        <f t="shared" ref="H17" si="3">MAX((H5+H13+H15),0)</f>
        <v>6.0954971699088159E-2</v>
      </c>
      <c r="I17" s="21" t="s">
        <v>637</v>
      </c>
      <c r="J17" s="21">
        <f t="shared" si="2"/>
        <v>2.9043055364276786E-3</v>
      </c>
      <c r="K17" s="21" t="s">
        <v>637</v>
      </c>
      <c r="L17" s="21" t="s">
        <v>668</v>
      </c>
      <c r="M17" s="21" t="s">
        <v>668</v>
      </c>
      <c r="N17" s="21" t="s">
        <v>668</v>
      </c>
      <c r="O17" s="21">
        <f t="shared" si="2"/>
        <v>113.16358099636433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0.12453322713371275</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524.2527195079017</v>
      </c>
      <c r="C21" s="23">
        <f t="shared" ref="C21:O21" si="4">C17*C19</f>
        <v>0</v>
      </c>
      <c r="D21" s="23">
        <f t="shared" si="4"/>
        <v>568.85468914988076</v>
      </c>
      <c r="E21" s="23">
        <f t="shared" si="4"/>
        <v>1.4051463898356997</v>
      </c>
      <c r="F21" s="23">
        <f t="shared" si="4"/>
        <v>146.09463495999233</v>
      </c>
      <c r="G21" s="23" t="s">
        <v>637</v>
      </c>
      <c r="H21" s="23">
        <f t="shared" si="4"/>
        <v>1.5177787953072952E-2</v>
      </c>
      <c r="I21" s="23" t="s">
        <v>637</v>
      </c>
      <c r="J21" s="23">
        <f t="shared" si="4"/>
        <v>1.0281241598953982E-3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1645.5193400000001</v>
      </c>
      <c r="C27" s="39">
        <f>IF(ISERROR(B27*3.6/1000000/'E Balans VL '!Z12*100),0,B27*3.6/1000000/'E Balans VL '!Z12*100)</f>
        <v>5.0124641006536373E-2</v>
      </c>
      <c r="D27" s="216" t="s">
        <v>734</v>
      </c>
      <c r="F27" s="6"/>
    </row>
    <row r="28" spans="1:19">
      <c r="A28" s="211" t="s">
        <v>52</v>
      </c>
      <c r="B28" s="33">
        <f>IF(ISERROR(TER_horeca_ele_kWh/1000),0,TER_horeca_ele_kWh/1000)</f>
        <v>781.32057999999995</v>
      </c>
      <c r="C28" s="39">
        <f>IF(ISERROR(B28*3.6/1000000/'E Balans VL '!Z9*100),0,B28*3.6/1000000/'E Balans VL '!Z9*100)</f>
        <v>9.3064686168361901E-2</v>
      </c>
      <c r="D28" s="216" t="s">
        <v>734</v>
      </c>
      <c r="F28" s="6"/>
    </row>
    <row r="29" spans="1:19">
      <c r="A29" s="164" t="s">
        <v>51</v>
      </c>
      <c r="B29" s="33">
        <f>IF(ISERROR(TER_handel_ele_kWh/1000),0,TER_handel_ele_kWh/1000)</f>
        <v>1628.81917</v>
      </c>
      <c r="C29" s="39">
        <f>IF(ISERROR(B29*3.6/1000000/'E Balans VL '!Z13*100),0,B29*3.6/1000000/'E Balans VL '!Z13*100)</f>
        <v>5.5974371080608341E-2</v>
      </c>
      <c r="D29" s="216" t="s">
        <v>734</v>
      </c>
      <c r="F29" s="6"/>
    </row>
    <row r="30" spans="1:19">
      <c r="A30" s="211" t="s">
        <v>50</v>
      </c>
      <c r="B30" s="33">
        <f>IF(ISERROR(TER_gezond_ele_kWh/1000),0,TER_gezond_ele_kWh/1000)</f>
        <v>38.622970000000002</v>
      </c>
      <c r="C30" s="39">
        <f>IF(ISERROR(B30*3.6/1000000/'E Balans VL '!Z10*100),0,B30*3.6/1000000/'E Balans VL '!Z10*100)</f>
        <v>3.7066689386470409E-3</v>
      </c>
      <c r="D30" s="216" t="s">
        <v>734</v>
      </c>
      <c r="F30" s="6"/>
    </row>
    <row r="31" spans="1:19">
      <c r="A31" s="211" t="s">
        <v>49</v>
      </c>
      <c r="B31" s="33">
        <f>IF(ISERROR(TER_ander_ele_kWh/1000),0,TER_ander_ele_kWh/1000)</f>
        <v>305.28507000000002</v>
      </c>
      <c r="C31" s="39">
        <f>IF(ISERROR(B31*3.6/1000000/'E Balans VL '!Z14*100),0,B31*3.6/1000000/'E Balans VL '!Z14*100)</f>
        <v>1.1698391629378153E-2</v>
      </c>
      <c r="D31" s="216" t="s">
        <v>734</v>
      </c>
      <c r="F31" s="6"/>
    </row>
    <row r="32" spans="1:19">
      <c r="A32" s="211" t="s">
        <v>54</v>
      </c>
      <c r="B32" s="33">
        <f>IF(ISERROR(TER_onderwijs_ele_kWh/1000),0,TER_onderwijs_ele_kWh/1000)</f>
        <v>17.474340000000002</v>
      </c>
      <c r="C32" s="39">
        <f>IF(ISERROR(B32*3.6/1000000/'E Balans VL '!Z11*100),0,B32*3.6/1000000/'E Balans VL '!Z11*100)</f>
        <v>3.4989439118148277E-3</v>
      </c>
      <c r="D32" s="216" t="s">
        <v>734</v>
      </c>
    </row>
    <row r="33" spans="1:4">
      <c r="A33" s="211" t="s">
        <v>229</v>
      </c>
      <c r="B33" s="33">
        <f>IF(ISERROR(TER_rest_ele_kWh/1000),0,TER_rest_ele_kWh/1000)</f>
        <v>21.961359999999999</v>
      </c>
      <c r="C33" s="39">
        <f>IF(ISERROR(B33*3.6/1000000/'E Balans VL '!Z8*100),0,B33*3.6/1000000/'E Balans VL '!Z8*100)</f>
        <v>1.9637507271472719E-4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1235.8107399999997</v>
      </c>
      <c r="C5" s="17">
        <f>IF(ISERROR('Eigen informatie GS &amp; warmtenet'!B63),0,'Eigen informatie GS &amp; warmtenet'!B63)</f>
        <v>0</v>
      </c>
      <c r="D5" s="30">
        <f>SUM(D6:D15)</f>
        <v>825.74055711000005</v>
      </c>
      <c r="E5" s="17">
        <f>SUM(E6:E15)</f>
        <v>9.8900334903759557</v>
      </c>
      <c r="F5" s="17">
        <f>SUM(F6:F15)</f>
        <v>664.55549863312694</v>
      </c>
      <c r="G5" s="17" t="s">
        <v>637</v>
      </c>
      <c r="H5" s="17">
        <f t="shared" ref="H5" si="0">SUM(H6:H15)</f>
        <v>0</v>
      </c>
      <c r="I5" s="17" t="s">
        <v>637</v>
      </c>
      <c r="J5" s="17">
        <f>SUM(J6:J15)</f>
        <v>1.1004254889286387</v>
      </c>
      <c r="K5" s="17" t="s">
        <v>637</v>
      </c>
      <c r="L5" s="884" t="s">
        <v>668</v>
      </c>
      <c r="M5" s="17" t="s">
        <v>668</v>
      </c>
      <c r="N5" s="17" t="s">
        <v>668</v>
      </c>
      <c r="O5" s="17">
        <f>SUM(O6:O15)</f>
        <v>73.02627491386923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92.951170000000005</v>
      </c>
      <c r="C8" s="33"/>
      <c r="D8" s="37">
        <f>IF( ISERROR(IND_metaal_Gas_kWH/1000),0,IND_metaal_Gas_kWH/1000)*0.903</f>
        <v>181.26637787999999</v>
      </c>
      <c r="E8" s="33">
        <f>C31*'E Balans VL '!I18/100/3.6*1000000</f>
        <v>0.51550808507801993</v>
      </c>
      <c r="F8" s="33">
        <f>C31*'E Balans VL '!L18/100/3.6*1000000+C31*'E Balans VL '!N18/100/3.6*1000000</f>
        <v>5.4933974479281735</v>
      </c>
      <c r="G8" s="33"/>
      <c r="H8" s="33">
        <f>E31*'E Balans VL '!J18/100/3.6*1000000</f>
        <v>0</v>
      </c>
      <c r="I8" s="33"/>
      <c r="J8" s="40">
        <f>C31*'E Balans VL '!D18/100/3.6*1000000+C31*'E Balans VL '!E18/100/3.6*1000000</f>
        <v>0</v>
      </c>
      <c r="K8" s="33"/>
      <c r="L8" s="33"/>
      <c r="M8" s="33"/>
      <c r="N8" s="33"/>
      <c r="O8" s="33">
        <f>C31*'E Balans VL '!Y18/100/3.6*1000000</f>
        <v>1.4866094503056524</v>
      </c>
      <c r="P8" s="33"/>
      <c r="Q8" s="33"/>
      <c r="S8" s="32"/>
    </row>
    <row r="9" spans="1:19">
      <c r="A9" s="6" t="s">
        <v>32</v>
      </c>
      <c r="B9" s="37">
        <f t="shared" si="1"/>
        <v>624.57759999999996</v>
      </c>
      <c r="C9" s="33"/>
      <c r="D9" s="37">
        <f>IF( ISERROR(IND_andere_gas_kWh/1000),0,IND_andere_gas_kWh/1000)*0.903</f>
        <v>452.83979013000004</v>
      </c>
      <c r="E9" s="33">
        <f>C32*'E Balans VL '!I19/100/3.6*1000000</f>
        <v>3.932568231534542</v>
      </c>
      <c r="F9" s="33">
        <f>C32*'E Balans VL '!L19/100/3.6*1000000+C32*'E Balans VL '!N19/100/3.6*1000000</f>
        <v>632.64362763908446</v>
      </c>
      <c r="G9" s="33"/>
      <c r="H9" s="33">
        <f>E32*'E Balans VL '!J19/100/3.6*1000000</f>
        <v>0</v>
      </c>
      <c r="I9" s="33"/>
      <c r="J9" s="40">
        <f>C32*'E Balans VL '!D19/100/3.6*1000000+C32*'E Balans VL '!E19/100/3.6*1000000</f>
        <v>0</v>
      </c>
      <c r="K9" s="33"/>
      <c r="L9" s="33"/>
      <c r="M9" s="33"/>
      <c r="N9" s="33"/>
      <c r="O9" s="33">
        <f>C32*'E Balans VL '!Y19/100/3.6*1000000</f>
        <v>40.240919166148267</v>
      </c>
      <c r="P9" s="33"/>
      <c r="Q9" s="33"/>
      <c r="S9" s="32"/>
    </row>
    <row r="10" spans="1:19">
      <c r="A10" s="6" t="s">
        <v>40</v>
      </c>
      <c r="B10" s="37">
        <f t="shared" si="1"/>
        <v>159.67562000000001</v>
      </c>
      <c r="C10" s="33"/>
      <c r="D10" s="37">
        <f>IF( ISERROR(IND_voed_gas_kWh/1000),0,IND_voed_gas_kWh/1000)*0.903</f>
        <v>132.54698142000001</v>
      </c>
      <c r="E10" s="33">
        <f>C33*'E Balans VL '!I20/100/3.6*1000000</f>
        <v>0.4230782768266953</v>
      </c>
      <c r="F10" s="33">
        <f>C33*'E Balans VL '!L20/100/3.6*1000000+C33*'E Balans VL '!N20/100/3.6*1000000</f>
        <v>6.4841467780683733</v>
      </c>
      <c r="G10" s="33"/>
      <c r="H10" s="33">
        <f>E33*'E Balans VL '!J20/100/3.6*1000000</f>
        <v>0</v>
      </c>
      <c r="I10" s="33"/>
      <c r="J10" s="40">
        <f>C33*'E Balans VL '!D20/100/3.6*1000000+C33*'E Balans VL '!E20/100/3.6*1000000</f>
        <v>0</v>
      </c>
      <c r="K10" s="33"/>
      <c r="L10" s="33"/>
      <c r="M10" s="33"/>
      <c r="N10" s="33"/>
      <c r="O10" s="33">
        <f>C33*'E Balans VL '!Y20/100/3.6*1000000</f>
        <v>10.495845339309499</v>
      </c>
      <c r="P10" s="33"/>
      <c r="Q10" s="33"/>
      <c r="S10" s="32"/>
    </row>
    <row r="11" spans="1:19">
      <c r="A11" s="6" t="s">
        <v>39</v>
      </c>
      <c r="B11" s="37">
        <f t="shared" si="1"/>
        <v>293.56617999999997</v>
      </c>
      <c r="C11" s="33"/>
      <c r="D11" s="37">
        <f>IF( ISERROR(IND_textiel_gas_kWh/1000),0,IND_textiel_gas_kWh/1000)*0.903</f>
        <v>0</v>
      </c>
      <c r="E11" s="33">
        <f>C34*'E Balans VL '!I21/100/3.6*1000000</f>
        <v>3.8934403736009062</v>
      </c>
      <c r="F11" s="33">
        <f>C34*'E Balans VL '!L21/100/3.6*1000000+C34*'E Balans VL '!N21/100/3.6*1000000</f>
        <v>11.694585313992281</v>
      </c>
      <c r="G11" s="33"/>
      <c r="H11" s="33">
        <f>E34*'E Balans VL '!J21/100/3.6*1000000</f>
        <v>0</v>
      </c>
      <c r="I11" s="33"/>
      <c r="J11" s="40">
        <f>C34*'E Balans VL '!D21/100/3.6*1000000+C34*'E Balans VL '!E21/100/3.6*1000000</f>
        <v>0</v>
      </c>
      <c r="K11" s="33"/>
      <c r="L11" s="33"/>
      <c r="M11" s="33"/>
      <c r="N11" s="33"/>
      <c r="O11" s="33">
        <f>C34*'E Balans VL '!Y21/100/3.6*1000000</f>
        <v>3.6563219564262076E-2</v>
      </c>
      <c r="P11" s="33"/>
      <c r="Q11" s="33"/>
      <c r="S11" s="32"/>
    </row>
    <row r="12" spans="1:19">
      <c r="A12" s="6" t="s">
        <v>36</v>
      </c>
      <c r="B12" s="37">
        <f t="shared" si="1"/>
        <v>46.870359999999998</v>
      </c>
      <c r="C12" s="33"/>
      <c r="D12" s="37">
        <f>IF( ISERROR(IND_min_gas_kWh/1000),0,IND_min_gas_kWh/1000)*0.903</f>
        <v>33.340150620000003</v>
      </c>
      <c r="E12" s="33">
        <f>C35*'E Balans VL '!I22/100/3.6*1000000</f>
        <v>0.39556117945297542</v>
      </c>
      <c r="F12" s="33">
        <f>C35*'E Balans VL '!L22/100/3.6*1000000+C35*'E Balans VL '!N22/100/3.6*1000000</f>
        <v>6.031232946587421</v>
      </c>
      <c r="G12" s="33"/>
      <c r="H12" s="33">
        <f>E35*'E Balans VL '!J22/100/3.6*1000000</f>
        <v>0</v>
      </c>
      <c r="I12" s="33"/>
      <c r="J12" s="40">
        <f>C35*'E Balans VL '!D22/100/3.6*1000000+C35*'E Balans VL '!E22/100/3.6*1000000</f>
        <v>1.0475469794208625</v>
      </c>
      <c r="K12" s="33"/>
      <c r="L12" s="33"/>
      <c r="M12" s="33"/>
      <c r="N12" s="33"/>
      <c r="O12" s="33">
        <f>C35*'E Balans VL '!Y22/100/3.6*1000000</f>
        <v>20.303018882292875</v>
      </c>
      <c r="P12" s="33"/>
      <c r="Q12" s="33"/>
      <c r="S12" s="32"/>
    </row>
    <row r="13" spans="1:19">
      <c r="A13" s="6" t="s">
        <v>38</v>
      </c>
      <c r="B13" s="37">
        <f t="shared" si="1"/>
        <v>8.4155699999999989</v>
      </c>
      <c r="C13" s="33"/>
      <c r="D13" s="37">
        <f>IF( ISERROR(IND_papier_gas_kWh/1000),0,IND_papier_gas_kWh/1000)*0.903</f>
        <v>0</v>
      </c>
      <c r="E13" s="33">
        <f>C36*'E Balans VL '!I23/100/3.6*1000000</f>
        <v>0</v>
      </c>
      <c r="F13" s="33">
        <f>C36*'E Balans VL '!L23/100/3.6*1000000+C36*'E Balans VL '!N23/100/3.6*1000000</f>
        <v>3.5065322948451737E-2</v>
      </c>
      <c r="G13" s="33"/>
      <c r="H13" s="33">
        <f>E36*'E Balans VL '!J23/100/3.6*1000000</f>
        <v>0</v>
      </c>
      <c r="I13" s="33"/>
      <c r="J13" s="40">
        <f>C36*'E Balans VL '!D23/100/3.6*1000000+C36*'E Balans VL '!E23/100/3.6*1000000</f>
        <v>0</v>
      </c>
      <c r="K13" s="33"/>
      <c r="L13" s="33"/>
      <c r="M13" s="33"/>
      <c r="N13" s="33"/>
      <c r="O13" s="33">
        <f>C36*'E Balans VL '!Y23/100/3.6*1000000</f>
        <v>-9.1695503537757686E-9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9.7542399999999994</v>
      </c>
      <c r="C15" s="33"/>
      <c r="D15" s="37">
        <f>IF( ISERROR(IND_rest_gas_kWh/1000),0,IND_rest_gas_kWh/1000)*0.903</f>
        <v>25.747257060000003</v>
      </c>
      <c r="E15" s="33">
        <f>C38*'E Balans VL '!I15/100/3.6*1000000</f>
        <v>0.72987734388281578</v>
      </c>
      <c r="F15" s="33">
        <f>C38*'E Balans VL '!L15/100/3.6*1000000+C38*'E Balans VL '!N15/100/3.6*1000000</f>
        <v>2.1734431845177729</v>
      </c>
      <c r="G15" s="33"/>
      <c r="H15" s="33">
        <f>E38*'E Balans VL '!J15/100/3.6*1000000</f>
        <v>0</v>
      </c>
      <c r="I15" s="33"/>
      <c r="J15" s="40">
        <f>C38*'E Balans VL '!D15/100/3.6*1000000+C38*'E Balans VL '!E15/100/3.6*1000000</f>
        <v>5.2878509507776103E-2</v>
      </c>
      <c r="K15" s="33"/>
      <c r="L15" s="33"/>
      <c r="M15" s="33"/>
      <c r="N15" s="33"/>
      <c r="O15" s="33">
        <f>C38*'E Balans VL '!Y15/100/3.6*1000000</f>
        <v>0.46331886541823242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222.12018417460979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1457.9309241746096</v>
      </c>
      <c r="C19" s="21">
        <f>C5+C16</f>
        <v>0</v>
      </c>
      <c r="D19" s="21">
        <f>MAX((D5+D16),0)</f>
        <v>825.74055711000005</v>
      </c>
      <c r="E19" s="21">
        <f>MAX((E5+E16),0)</f>
        <v>9.8900334903759557</v>
      </c>
      <c r="F19" s="21">
        <f>MAX((F5+F16),0)</f>
        <v>664.55549863312694</v>
      </c>
      <c r="G19" s="21" t="s">
        <v>637</v>
      </c>
      <c r="H19" s="21">
        <f t="shared" ref="H19" si="2">MAX((H5+H16),0)</f>
        <v>0</v>
      </c>
      <c r="I19" s="21" t="s">
        <v>637</v>
      </c>
      <c r="J19" s="21">
        <f>MAX((J5+J16),0)</f>
        <v>1.1004254889286387</v>
      </c>
      <c r="K19" s="21" t="s">
        <v>637</v>
      </c>
      <c r="L19" s="882" t="s">
        <v>668</v>
      </c>
      <c r="M19" s="21" t="s">
        <v>668</v>
      </c>
      <c r="N19" s="21" t="s">
        <v>668</v>
      </c>
      <c r="O19" s="21">
        <f>MAX((O5+O16),0)</f>
        <v>73.02627491386923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0.12453322713371275</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181.5608429255004</v>
      </c>
      <c r="C23" s="23">
        <f>C19*C21</f>
        <v>0</v>
      </c>
      <c r="D23" s="23">
        <f>D19*D21</f>
        <v>166.79959253622002</v>
      </c>
      <c r="E23" s="23">
        <f>E19*E21</f>
        <v>2.245037602315342</v>
      </c>
      <c r="F23" s="23">
        <f>F19*F21</f>
        <v>177.4363181350449</v>
      </c>
      <c r="G23" s="23" t="s">
        <v>637</v>
      </c>
      <c r="H23" s="23">
        <f t="shared" ref="H23" si="3">H19*H21</f>
        <v>0</v>
      </c>
      <c r="I23" s="23" t="s">
        <v>637</v>
      </c>
      <c r="J23" s="23">
        <f>J19*J21</f>
        <v>0.38955062308073807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92.951170000000005</v>
      </c>
      <c r="C31" s="39">
        <f>IF(ISERROR(B31*3.6/1000000/'E Balans VL '!Z18*100),0,B31*3.6/1000000/'E Balans VL '!Z18*100)</f>
        <v>6.5251781683766672E-3</v>
      </c>
      <c r="D31" s="216" t="s">
        <v>735</v>
      </c>
    </row>
    <row r="32" spans="1:19" ht="30">
      <c r="A32" s="6" t="s">
        <v>32</v>
      </c>
      <c r="B32" s="37">
        <f>IF( ISERROR(IND_ander_ele_kWh/1000),0,IND_ander_ele_kWh/1000)</f>
        <v>624.57759999999996</v>
      </c>
      <c r="C32" s="39">
        <f>IF(ISERROR(B32*3.6/1000000/'E Balans VL '!Z19*100),0,B32*3.6/1000000/'E Balans VL '!Z19*100)</f>
        <v>3.3264428828898761E-2</v>
      </c>
      <c r="D32" s="216" t="s">
        <v>735</v>
      </c>
    </row>
    <row r="33" spans="1:5" ht="30">
      <c r="A33" s="164" t="s">
        <v>40</v>
      </c>
      <c r="B33" s="37">
        <f>IF( ISERROR(IND_voed_ele_kWh/1000),0,IND_voed_ele_kWh/1000)</f>
        <v>159.67562000000001</v>
      </c>
      <c r="C33" s="39">
        <f>IF(ISERROR(B33*3.6/1000000/'E Balans VL '!Z20*100),0,B33*3.6/1000000/'E Balans VL '!Z20*100)</f>
        <v>5.7860728063931516E-3</v>
      </c>
      <c r="D33" s="216" t="s">
        <v>735</v>
      </c>
    </row>
    <row r="34" spans="1:5" ht="30">
      <c r="A34" s="164" t="s">
        <v>39</v>
      </c>
      <c r="B34" s="37">
        <f>IF( ISERROR(IND_textiel_ele_kWh/1000),0,IND_textiel_ele_kWh/1000)</f>
        <v>293.56617999999997</v>
      </c>
      <c r="C34" s="39">
        <f>IF(ISERROR(B34*3.6/1000000/'E Balans VL '!Z21*100),0,B34*3.6/1000000/'E Balans VL '!Z21*100)</f>
        <v>5.2779818930728362E-2</v>
      </c>
      <c r="D34" s="216" t="s">
        <v>735</v>
      </c>
    </row>
    <row r="35" spans="1:5" ht="30">
      <c r="A35" s="164" t="s">
        <v>36</v>
      </c>
      <c r="B35" s="37">
        <f>IF( ISERROR(IND_min_ele_kWh/1000),0,IND_min_ele_kWh/1000)</f>
        <v>46.870359999999998</v>
      </c>
      <c r="C35" s="39">
        <f>IF(ISERROR(B35*3.6/1000000/'E Balans VL '!Z22*100),0,B35*3.6/1000000/'E Balans VL '!Z22*100)</f>
        <v>1.2176845740765574E-2</v>
      </c>
      <c r="D35" s="216" t="s">
        <v>735</v>
      </c>
    </row>
    <row r="36" spans="1:5" ht="30">
      <c r="A36" s="164" t="s">
        <v>38</v>
      </c>
      <c r="B36" s="37">
        <f>IF( ISERROR(IND_papier_ele_kWh/1000),0,IND_papier_ele_kWh/1000)</f>
        <v>8.4155699999999989</v>
      </c>
      <c r="C36" s="39">
        <f>IF(ISERROR(B36*3.6/1000000/'E Balans VL '!Z22*100),0,B36*3.6/1000000/'E Balans VL '!Z22*100)</f>
        <v>2.1863518375069987E-3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9.7542399999999994</v>
      </c>
      <c r="C38" s="39">
        <f>IF(ISERROR(B38*3.6/1000000/'E Balans VL '!Z15*100),0,B38*3.6/1000000/'E Balans VL '!Z15*100)</f>
        <v>9.3792346258258298E-5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4033.5274200000003</v>
      </c>
      <c r="C5" s="17">
        <f>'Eigen informatie GS &amp; warmtenet'!B64</f>
        <v>0</v>
      </c>
      <c r="D5" s="30">
        <f>IF(ISERROR(SUM(LB_lb_gas_kWh,LB_rest_gas_kWh)/1000),0,SUM(LB_lb_gas_kWh,LB_rest_gas_kWh)/1000)*0.903</f>
        <v>285.81925763999999</v>
      </c>
      <c r="E5" s="17">
        <f>B18*'E Balans VL '!I25/3.6*1000000/100</f>
        <v>157.86856398535829</v>
      </c>
      <c r="F5" s="17">
        <f>B18*('E Balans VL '!L25/3.6*1000000+'E Balans VL '!N25/3.6*1000000)/100</f>
        <v>15981.77172368062</v>
      </c>
      <c r="G5" s="17" t="s">
        <v>637</v>
      </c>
      <c r="H5" s="17">
        <f>D18*('E Balans VL '!J25/3.6*1000000)/100</f>
        <v>0</v>
      </c>
      <c r="I5" s="17" t="s">
        <v>637</v>
      </c>
      <c r="J5" s="17">
        <f>('E Balans VL '!D25+'E Balans VL '!E25)/3.6*1000000*landbouw!B18/100</f>
        <v>508.2876276281653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230.15242895107059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4263.6798489510711</v>
      </c>
      <c r="C9" s="21">
        <f>C5+C6</f>
        <v>0</v>
      </c>
      <c r="D9" s="21">
        <f>MAX((D5+D6),0)</f>
        <v>285.81925763999999</v>
      </c>
      <c r="E9" s="21">
        <f>MAX((E5+E6),0)</f>
        <v>157.86856398535829</v>
      </c>
      <c r="F9" s="21">
        <f>MAX((F5+F6),0)</f>
        <v>15981.77172368062</v>
      </c>
      <c r="G9" s="21" t="s">
        <v>637</v>
      </c>
      <c r="H9" s="21" t="s">
        <v>637</v>
      </c>
      <c r="I9" s="21" t="s">
        <v>637</v>
      </c>
      <c r="J9" s="21">
        <f>MAX((J5+J6),0)</f>
        <v>508.2876276281653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0.12453322713371275</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530.96981105485781</v>
      </c>
      <c r="C13" s="23">
        <f>C9*C11</f>
        <v>0</v>
      </c>
      <c r="D13" s="23">
        <f>D9*D11</f>
        <v>57.735490043280002</v>
      </c>
      <c r="E13" s="23">
        <f>E9*E11</f>
        <v>35.836164024676336</v>
      </c>
      <c r="F13" s="23">
        <f>F9*F11</f>
        <v>4267.1330502227256</v>
      </c>
      <c r="G13" s="23" t="s">
        <v>637</v>
      </c>
      <c r="H13" s="23" t="s">
        <v>637</v>
      </c>
      <c r="I13" s="23" t="s">
        <v>637</v>
      </c>
      <c r="J13" s="23">
        <f>J9*J11</f>
        <v>179.9338201803705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0.69716425462754439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814.31661259056511</v>
      </c>
      <c r="C26" s="222">
        <f>B26*'GWP N2O_CH4'!B5</f>
        <v>22800.865152535822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272.05333692736355</v>
      </c>
      <c r="C27" s="222">
        <f>B27*'GWP N2O_CH4'!B5</f>
        <v>7617.4934339661795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11.470602477329525</v>
      </c>
      <c r="C28" s="222">
        <f>B28*'GWP N2O_CH4'!B4</f>
        <v>3039.709656492324</v>
      </c>
      <c r="D28" s="50"/>
    </row>
    <row r="29" spans="1:4">
      <c r="A29" s="41" t="s">
        <v>241</v>
      </c>
      <c r="B29" s="222">
        <f>B34*'ha_N2O bodem landbouw'!B4</f>
        <v>37.07833010728686</v>
      </c>
      <c r="C29" s="222">
        <f>B29*'GWP N2O_CH4'!B4</f>
        <v>9825.7574784310182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9.0174369546945458E-3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1.9388727497226263E-3</v>
      </c>
      <c r="C5" s="922" t="s">
        <v>667</v>
      </c>
      <c r="D5" s="924">
        <f>SUM(D6:D11)</f>
        <v>6.0643502510580958E-4</v>
      </c>
      <c r="E5" s="924">
        <f>SUM(E6:E11)</f>
        <v>2.6289114870387421E-4</v>
      </c>
      <c r="F5" s="923" t="s">
        <v>667</v>
      </c>
      <c r="G5" s="924">
        <f>SUM(G6:G11)</f>
        <v>0.10748731704187006</v>
      </c>
      <c r="H5" s="924">
        <f>SUM(H6:H11)</f>
        <v>4.1608939517081507E-2</v>
      </c>
      <c r="I5" s="922" t="s">
        <v>667</v>
      </c>
      <c r="J5" s="922" t="s">
        <v>667</v>
      </c>
      <c r="K5" s="922" t="s">
        <v>667</v>
      </c>
      <c r="L5" s="922" t="s">
        <v>667</v>
      </c>
      <c r="M5" s="922" t="s">
        <v>667</v>
      </c>
      <c r="N5" s="924">
        <f>SUM(N6:N11)</f>
        <v>1.621289870345018E-2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8.9226477840744899E-4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2.3211756743427277E-4</v>
      </c>
      <c r="E6" s="926">
        <f>vkm_GW_PW*SUMIFS(TableVerdeelsleutelVkm[LPG],TableVerdeelsleutelVkm[Voertuigtype],"Lichte voertuigen")*SUMIFS(TableECFTransport[EnergieConsumptieFactor (PJ per km)],TableECFTransport[Index],CONCATENATE($A6,"_LPG_LPG"))</f>
        <v>1.0827068373809375E-4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2.3526107870463369E-2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1.6931962839055653E-2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4.1776341803899586E-3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3.33251208168829E-6</v>
      </c>
      <c r="C7" s="926"/>
      <c r="D7" s="926">
        <f>vkm_GW_ZV*SUMIFS(TableVerdeelsleutelVkm[CNG],TableVerdeelsleutelVkm[Voertuigtype],"Zware voertuigen")*SUMIFS(TableECFTransport[EnergieConsumptieFactor (PJ per km)],TableECFTransport[Index],CONCATENATE($A7,"_CNG_CNG"))</f>
        <v>4.527152205296005E-8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3.2344091286309606E-2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1.044648818022112E-7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3.8720810463725636E-3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1.041674353804469E-3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3.7424394763714786E-4</v>
      </c>
      <c r="E8" s="927">
        <f>vkm_NGW_PW*SUMIFS(TableVerdeelsleutelVkm[LPG],TableVerdeelsleutelVkm[Voertuigtype],"Lichte voertuigen")*SUMIFS(TableECFTransport[EnergieConsumptieFactor (PJ per km)],TableECFTransport[Index],CONCATENATE($A8,"_LPG_LPG"))</f>
        <v>1.5462046496578046E-4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3.1442204841156896E-2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2.4676811632350065E-2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5.74793904119438E-3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1.6011054290199585E-6</v>
      </c>
      <c r="C9" s="926"/>
      <c r="D9" s="927">
        <f>vkm_NGW_ZV*SUMIFS(TableVerdeelsleutelVkm[CNG],TableVerdeelsleutelVkm[Voertuigtype],"Zware voertuigen")*SUMIFS(TableECFTransport[EnergieConsumptieFactor (PJ per km)],TableECFTransport[Index],CONCATENATE($A9,"_CNG_CNG"))</f>
        <v>2.8238512336003884E-8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2.0174913043940191E-2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6.0580793986051444E-8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2.4152444354932773E-3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538.5757638118406</v>
      </c>
      <c r="C14" s="21" t="s">
        <v>667</v>
      </c>
      <c r="D14" s="21">
        <f>MAX(((D5)*10^9/3600)+D12,0)</f>
        <v>168.45417364050266</v>
      </c>
      <c r="E14" s="21">
        <f>MAX(((E5)*10^9/3600)+E12,0)</f>
        <v>73.025319084409503</v>
      </c>
      <c r="F14" s="21" t="s">
        <v>667</v>
      </c>
      <c r="G14" s="21">
        <f>MAX(((G5)*10^9/3600)+G12,0)</f>
        <v>29857.588067186127</v>
      </c>
      <c r="H14" s="21">
        <f>MAX(((H5)*10^9/3600)+H12,0)</f>
        <v>11558.038754744863</v>
      </c>
      <c r="I14" s="21" t="s">
        <v>667</v>
      </c>
      <c r="J14" s="21" t="s">
        <v>667</v>
      </c>
      <c r="K14" s="21" t="s">
        <v>667</v>
      </c>
      <c r="L14" s="882" t="s">
        <v>667</v>
      </c>
      <c r="M14" s="21" t="s">
        <v>667</v>
      </c>
      <c r="N14" s="21">
        <f>MAX(((N5)*10^9/3600)+N12,0)</f>
        <v>4503.5829731806061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0.12453322713371275</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67.070577923492777</v>
      </c>
      <c r="C18" s="23" t="s">
        <v>667</v>
      </c>
      <c r="D18" s="23">
        <f t="shared" ref="D18:N18" si="0">D14*D16</f>
        <v>34.027743075381537</v>
      </c>
      <c r="E18" s="23">
        <f>E14*E16</f>
        <v>16.576747432160957</v>
      </c>
      <c r="F18" s="23" t="s">
        <v>667</v>
      </c>
      <c r="G18" s="23">
        <f t="shared" si="0"/>
        <v>7971.9760139386963</v>
      </c>
      <c r="H18" s="23">
        <f t="shared" si="0"/>
        <v>2877.9516499314709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1.2164845650346297E-5</v>
      </c>
      <c r="C50" s="937" t="s">
        <v>667</v>
      </c>
      <c r="D50" s="937" t="s">
        <v>667</v>
      </c>
      <c r="E50" s="937" t="s">
        <v>667</v>
      </c>
      <c r="F50" s="937" t="s">
        <v>667</v>
      </c>
      <c r="G50" s="937">
        <f t="shared" ref="G50:N50" si="1">SUM(G51:G52)</f>
        <v>6.8475876924341727E-4</v>
      </c>
      <c r="H50" s="937" t="s">
        <v>667</v>
      </c>
      <c r="I50" s="937" t="s">
        <v>667</v>
      </c>
      <c r="J50" s="937" t="s">
        <v>667</v>
      </c>
      <c r="K50" s="937" t="s">
        <v>667</v>
      </c>
      <c r="L50" s="937" t="s">
        <v>667</v>
      </c>
      <c r="M50" s="937" t="s">
        <v>667</v>
      </c>
      <c r="N50" s="937">
        <f t="shared" si="1"/>
        <v>8.1975890975051279E-5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1.2164845650346297E-5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6.8475876924341727E-4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8.1975890975051279E-5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3.37912379176286</v>
      </c>
      <c r="C54" s="21" t="s">
        <v>667</v>
      </c>
      <c r="D54" s="21" t="s">
        <v>667</v>
      </c>
      <c r="E54" s="21" t="s">
        <v>667</v>
      </c>
      <c r="F54" s="21" t="s">
        <v>667</v>
      </c>
      <c r="G54" s="21">
        <f t="shared" ref="G54:N54" si="2">(G50)*10^9/3600</f>
        <v>190.21076923428259</v>
      </c>
      <c r="H54" s="21" t="s">
        <v>667</v>
      </c>
      <c r="I54" s="21" t="s">
        <v>667</v>
      </c>
      <c r="J54" s="21" t="s">
        <v>667</v>
      </c>
      <c r="K54" s="21" t="s">
        <v>667</v>
      </c>
      <c r="L54" s="21" t="s">
        <v>667</v>
      </c>
      <c r="M54" s="21" t="s">
        <v>667</v>
      </c>
      <c r="N54" s="21">
        <f t="shared" si="2"/>
        <v>22.771080826403136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0.12453322713371275</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0.42081319067253692</v>
      </c>
      <c r="C58" s="23" t="s">
        <v>667</v>
      </c>
      <c r="D58" s="23" t="s">
        <v>667</v>
      </c>
      <c r="E58" s="23" t="s">
        <v>667</v>
      </c>
      <c r="F58" s="23" t="s">
        <v>667</v>
      </c>
      <c r="G58" s="23">
        <f t="shared" ref="G58:N58" si="3">G54*G56</f>
        <v>50.786275385553452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3966.3867751222288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5784.2584197347269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9750.6451948569556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2024-08-06T13:58:03Z</dcterms:modified>
</cp:coreProperties>
</file>