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26CD25C-CB25-409D-BB05-4C85479FF697}"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8" i="16"/>
  <c r="B9" i="15"/>
  <c r="P11" i="48"/>
  <c r="Q10" i="14"/>
  <c r="Q9" i="14" s="1"/>
  <c r="L13" i="13" l="1"/>
  <c r="M62" i="14" s="1"/>
  <c r="M66" i="14" s="1"/>
  <c r="L4" i="48"/>
  <c r="L22" i="48" s="1"/>
  <c r="M16" i="14"/>
  <c r="M20" i="14" s="1"/>
  <c r="E10" i="15"/>
  <c r="H10" i="15"/>
  <c r="O115" i="14"/>
  <c r="C42" i="18"/>
  <c r="G45" i="18" s="1"/>
  <c r="B42" i="18"/>
  <c r="C36" i="16"/>
  <c r="E13" i="16" s="1"/>
  <c r="O13" i="15"/>
  <c r="F8" i="15"/>
  <c r="H8" i="15"/>
  <c r="M6" i="13"/>
  <c r="M9" i="13" s="1"/>
  <c r="M13" i="13" s="1"/>
  <c r="J9" i="15"/>
  <c r="H9" i="15"/>
  <c r="H5" i="15" s="1"/>
  <c r="H17" i="15"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C45" i="18"/>
  <c r="K8" i="18" s="1"/>
  <c r="N18" i="18"/>
  <c r="B17" i="18"/>
  <c r="B20" i="18" s="1"/>
  <c r="H46"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10" i="59"/>
  <c r="B4" i="59"/>
  <c r="G19" i="59"/>
  <c r="G20" i="59" s="1"/>
  <c r="G117" i="14"/>
  <c r="H19" i="59"/>
  <c r="H20" i="59" s="1"/>
  <c r="H117" i="14"/>
  <c r="B46" i="18"/>
  <c r="C17" i="18" s="1"/>
  <c r="E46" i="18"/>
  <c r="E17" i="18" s="1"/>
  <c r="D46" i="18"/>
  <c r="F46" i="18"/>
  <c r="C46" i="18"/>
  <c r="J18" i="59"/>
  <c r="M18" i="59"/>
  <c r="J5" i="17"/>
  <c r="J9" i="17" s="1"/>
  <c r="K39" i="14" s="1"/>
  <c r="K41" i="14" s="1"/>
  <c r="E11" i="16"/>
  <c r="E12" i="16"/>
  <c r="F8" i="16"/>
  <c r="F12" i="16"/>
  <c r="J8" i="16"/>
  <c r="E8" i="16"/>
  <c r="J12" i="16"/>
  <c r="J8" i="15"/>
  <c r="E8" i="15"/>
  <c r="M5" i="48"/>
  <c r="M23" i="48" s="1"/>
  <c r="H21" i="15" l="1"/>
  <c r="I61" i="14" s="1"/>
  <c r="I59" i="14" s="1"/>
  <c r="I66" i="14" s="1"/>
  <c r="H5" i="48"/>
  <c r="H23" i="48" s="1"/>
  <c r="I15" i="14"/>
  <c r="I13" i="14" s="1"/>
  <c r="E45" i="18"/>
  <c r="E8" i="18" s="1"/>
  <c r="F103" i="14" s="1"/>
  <c r="D45" i="18"/>
  <c r="F45" i="18"/>
  <c r="D32" i="48"/>
  <c r="B5" i="22"/>
  <c r="B14" i="22" s="1"/>
  <c r="B45" i="18"/>
  <c r="J45" i="18"/>
  <c r="D8" i="18" s="1"/>
  <c r="E103" i="14" s="1"/>
  <c r="I45" i="18"/>
  <c r="H8" i="18" s="1"/>
  <c r="H45" i="18"/>
  <c r="J8" i="18" s="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E14" i="22"/>
  <c r="E18" i="22" s="1"/>
  <c r="F77" i="14" s="1"/>
  <c r="F76" i="14" s="1"/>
  <c r="F83" i="14" s="1"/>
  <c r="O13" i="13"/>
  <c r="P62" i="14" s="1"/>
  <c r="B17" i="15"/>
  <c r="C15" i="14" s="1"/>
  <c r="C13" i="14" s="1"/>
  <c r="N14" i="22"/>
  <c r="N9" i="48" s="1"/>
  <c r="N27" i="48"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P66" i="14"/>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3"/>
  <c r="C22" i="59"/>
  <c r="C8" i="19"/>
  <c r="C10" i="19" s="1"/>
  <c r="D56" i="14" s="1"/>
  <c r="D55" i="14" s="1"/>
  <c r="C29" i="20"/>
  <c r="C16" i="22"/>
  <c r="C19" i="15"/>
  <c r="C21" i="15" s="1"/>
  <c r="D61" i="14" s="1"/>
  <c r="D59" i="14" s="1"/>
  <c r="C11" i="17"/>
  <c r="C13" i="17" s="1"/>
  <c r="D85" i="14" s="1"/>
  <c r="D87" i="14" s="1"/>
  <c r="C56" i="22"/>
  <c r="B4" i="6"/>
  <c r="C17" i="48" l="1"/>
  <c r="C13" i="13"/>
  <c r="D62" i="14" s="1"/>
  <c r="D66" i="14" s="1"/>
  <c r="D72" i="14"/>
  <c r="D73" i="14"/>
  <c r="B13" i="6"/>
  <c r="B56" i="22" s="1"/>
  <c r="D71" i="14" l="1"/>
  <c r="D83" i="14" s="1"/>
  <c r="D88" i="14" s="1"/>
  <c r="D90" i="14" s="1"/>
  <c r="C29" i="48"/>
  <c r="C32" i="48"/>
  <c r="C30" i="48"/>
  <c r="C26" i="48"/>
  <c r="C31" i="48"/>
  <c r="C22" i="48"/>
  <c r="C24" i="48"/>
  <c r="C28" i="48"/>
  <c r="C23" i="48"/>
  <c r="C25" i="48"/>
  <c r="C27"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<sst xmlns="http://schemas.openxmlformats.org/spreadsheetml/2006/main" count="3029" uniqueCount="783">
  <si>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</si>
  <si>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</si>
  <si>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</si>
  <si>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</si>
  <si>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</si>
  <si>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</si>
  <si>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</si>
  <si>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</si>
  <si>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</si>
  <si>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</si>
  <si>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</si>
  <si>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</si>
  <si>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</si>
  <si>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</si>
  <si>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</si>
  <si>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</si>
  <si>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</si>
  <si>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</si>
  <si>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</si>
  <si>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</si>
  <si>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</si>
  <si>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</si>
  <si>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</si>
  <si>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</si>
  <si>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</si>
  <si>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</si>
  <si>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</si>
  <si>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</si>
  <si>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</si>
  <si>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</si>
  <si>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</si>
  <si>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</si>
  <si>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</si>
  <si>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</si>
  <si>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</si>
  <si>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</si>
  <si>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</si>
  <si>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</si>
  <si>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</si>
  <si>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</si>
  <si>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</si>
  <si>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</si>
  <si>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</si>
  <si>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</si>
  <si>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</si>
  <si>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</si>
  <si>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</si>
  <si>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</si>
  <si>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</si>
  <si>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</si>
  <si>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</si>
  <si>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</si>
  <si>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</si>
  <si>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</si>
  <si>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</si>
  <si>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</si>
  <si>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</si>
  <si>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</si>
  <si>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</si>
  <si>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</si>
  <si>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</si>
  <si>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</si>
  <si>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</si>
  <si>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</si>
  <si>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</si>
  <si>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</si>
  <si>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</si>
  <si>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</si>
  <si>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</si>
  <si>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</si>
  <si>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</si>
  <si>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</si>
  <si>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</si>
  <si>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</si>
  <si>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</si>
  <si>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</si>
  <si>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</si>
  <si>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</si>
  <si>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</si>
  <si>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</si>
  <si>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</si>
  <si>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</si>
  <si>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</si>
  <si>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</si>
  <si>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</si>
  <si>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</si>
  <si>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</si>
  <si>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</si>
  <si>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</si>
  <si>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</si>
  <si>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</si>
  <si>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</si>
  <si>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</si>
  <si>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</si>
  <si>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</si>
  <si>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</si>
  <si>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</si>
  <si>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</si>
  <si>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</si>
  <si>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</si>
  <si>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</si>
  <si>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</si>
  <si>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</si>
  <si>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</si>
  <si>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</si>
  <si>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</si>
  <si>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</si>
  <si>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</si>
  <si>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</si>
  <si>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</si>
  <si>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</si>
  <si>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</si>
  <si>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</si>
  <si>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</si>
  <si>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</si>
  <si>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</si>
  <si>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</si>
  <si>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</si>
  <si>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</si>
  <si>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</si>
  <si>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</si>
  <si>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</si>
  <si>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</si>
  <si>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</si>
  <si>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</si>
  <si>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</si>
  <si>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</si>
  <si>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</si>
  <si>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</si>
  <si>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</si>
  <si>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</si>
  <si>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</si>
  <si>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</si>
  <si>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</si>
  <si>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</si>
  <si>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</si>
  <si>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</si>
  <si>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</si>
  <si>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</si>
  <si>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</si>
  <si>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</si>
  <si>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</si>
  <si>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</si>
  <si>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</si>
  <si>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</si>
  <si>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</si>
  <si>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</si>
  <si>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</si>
  <si>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</si>
  <si>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</si>
  <si>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</si>
  <si>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</si>
  <si>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</si>
  <si>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</si>
  <si>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</si>
  <si>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</si>
  <si>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</si>
  <si>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</si>
  <si>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</si>
  <si>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</si>
  <si>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</si>
  <si>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</si>
  <si>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</si>
  <si>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</si>
  <si>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</si>
  <si>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</si>
  <si>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</si>
  <si>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</si>
  <si>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</si>
  <si>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</si>
  <si>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</si>
  <si>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</si>
  <si>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</si>
  <si>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</si>
  <si>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</si>
  <si>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</si>
  <si>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</si>
  <si>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</si>
  <si>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</si>
  <si>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</si>
  <si>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</si>
  <si>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</si>
  <si>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</si>
  <si>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</si>
  <si>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</si>
  <si>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</si>
  <si>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</si>
  <si>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</si>
  <si>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</si>
  <si>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</si>
  <si>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</si>
  <si>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</si>
  <si>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</si>
  <si>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</si>
  <si>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</si>
  <si>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</si>
  <si>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</si>
  <si>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</si>
  <si>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</si>
  <si>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</si>
  <si>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</si>
  <si>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</si>
  <si>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</si>
  <si>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</si>
  <si>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</si>
  <si>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</si>
  <si>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</si>
  <si>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</si>
  <si>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</si>
  <si>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</si>
  <si>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</si>
  <si>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</si>
  <si>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</si>
  <si>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</si>
  <si>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</si>
  <si>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</si>
  <si>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</si>
  <si>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</si>
  <si>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</si>
  <si>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</si>
  <si>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</si>
  <si>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</si>
  <si>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</si>
  <si>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</si>
  <si>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</si>
  <si>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</si>
  <si>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</si>
  <si>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</si>
  <si>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</si>
  <si>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</si>
  <si>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</si>
  <si>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</si>
  <si>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</si>
  <si>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</si>
  <si>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</si>
  <si>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</si>
  <si>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</si>
  <si>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</si>
  <si>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</si>
  <si>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</si>
  <si>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</si>
  <si>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</si>
  <si>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</si>
  <si>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</si>
  <si>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</si>
  <si>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</si>
  <si>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</si>
  <si>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</si>
  <si>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</si>
  <si>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</si>
  <si>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</si>
  <si>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</si>
  <si>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</si>
  <si>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</si>
  <si>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</si>
  <si>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</si>
  <si>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</si>
  <si>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</si>
  <si>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</si>
  <si>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</si>
  <si>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</si>
  <si>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</si>
  <si>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</si>
  <si>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</si>
  <si>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</si>
  <si>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</si>
  <si>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</si>
  <si>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</si>
  <si>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</si>
  <si>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</si>
  <si>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</si>
  <si>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</si>
  <si>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</si>
  <si>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</si>
  <si>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</si>
  <si>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</si>
  <si>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</si>
  <si>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</si>
  <si>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</si>
  <si>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</si>
  <si>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</si>
  <si>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</si>
  <si>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</si>
  <si>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</si>
  <si>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</si>
  <si>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</si>
  <si>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</si>
  <si>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</si>
  <si>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</si>
  <si>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</si>
  <si>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</si>
  <si>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</si>
  <si>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</si>
  <si>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</si>
  <si>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</si>
  <si>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</si>
  <si>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</si>
  <si>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</si>
  <si>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</si>
  <si>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</si>
  <si>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</si>
  <si>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</si>
  <si>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</si>
  <si>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</si>
  <si>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</si>
  <si>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</si>
  <si>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</si>
  <si>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</si>
  <si>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</si>
  <si>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</si>
  <si>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</si>
  <si>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</si>
  <si>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</si>
  <si>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</si>
  <si>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</si>
  <si>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</si>
  <si>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</si>
  <si>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</si>
  <si>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</si>
  <si>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</si>
  <si>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</si>
  <si>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</si>
  <si>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</si>
  <si>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</si>
  <si>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</si>
  <si>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</si>
  <si>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</si>
  <si>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</si>
  <si>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</si>
  <si>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</si>
  <si>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</si>
  <si>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</si>
  <si>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</si>
  <si>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</si>
  <si>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</si>
  <si>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</si>
  <si>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</si>
  <si>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</si>
  <si>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</si>
  <si>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</si>
  <si>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</si>
  <si>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</si>
  <si>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</si>
  <si>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</si>
  <si>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</si>
  <si>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</si>
  <si>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</si>
  <si>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</si>
  <si>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</si>
  <si>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</si>
  <si>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</si>
  <si>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</si>
  <si>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</si>
  <si>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</si>
  <si>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</si>
  <si>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</si>
  <si>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</si>
  <si>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</si>
  <si>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</si>
  <si>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</si>
  <si>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</si>
  <si>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</si>
  <si>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</si>
  <si>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</si>
  <si>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</si>
  <si>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</si>
  <si>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</si>
  <si>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</si>
  <si>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</si>
  <si>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</si>
  <si>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</si>
  <si>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</si>
  <si>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</si>
  <si>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</si>
  <si>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</si>
  <si>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</si>
  <si>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</si>
  <si>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</si>
  <si>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</si>
  <si>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</si>
  <si>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</si>
  <si>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</si>
  <si>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</si>
  <si>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</si>
  <si>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</si>
  <si>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</si>
  <si>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</si>
  <si>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</si>
  <si>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</si>
  <si>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</si>
  <si>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</si>
  <si>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</si>
  <si>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</si>
  <si>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</si>
  <si>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</si>
  <si>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</si>
  <si>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</si>
  <si>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</si>
  <si>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</si>
  <si>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</si>
  <si>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</si>
  <si>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</si>
  <si>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</si>
  <si>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</si>
  <si>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</si>
  <si>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</si>
  <si>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</si>
  <si>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</si>
  <si>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</si>
  <si>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</si>
  <si>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</si>
  <si>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</si>
  <si>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</si>
  <si>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</si>
  <si>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</si>
  <si>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</si>
  <si>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</si>
  <si>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</si>
  <si>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</si>
  <si>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</si>
  <si>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</si>
  <si>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</si>
  <si>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</si>
  <si>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</si>
  <si>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</si>
  <si>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</si>
  <si>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</si>
  <si>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</si>
  <si>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</si>
  <si>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</si>
  <si>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</si>
  <si>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</si>
  <si>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</si>
  <si>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</si>
  <si>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</si>
  <si>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</si>
  <si>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</si>
  <si>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</si>
  <si>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</si>
  <si>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</si>
  <si>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</si>
  <si>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</si>
  <si>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</si>
  <si>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</si>
  <si>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</si>
  <si>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71022</t>
  </si>
  <si>
    <t>HASSELT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</si>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</sst>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5F66EF30-B551-497B-8301-9FBD95B7952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B7C957B6-7079-4A7E-8F18-E514B0B51AC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550774.043391229</c:v>
                </c:pt>
                <c:pt idx="1">
                  <c:v>371434.45985698566</c:v>
                </c:pt>
                <c:pt idx="2">
                  <c:v>4.8556566980550997E-6</c:v>
                </c:pt>
                <c:pt idx="3">
                  <c:v>9022.5029581160506</c:v>
                </c:pt>
                <c:pt idx="4">
                  <c:v>137157.84883671452</c:v>
                </c:pt>
                <c:pt idx="5">
                  <c:v>639801.18773600704</c:v>
                </c:pt>
                <c:pt idx="6">
                  <c:v>16878.595333779933</c:v>
                </c:pt>
                <c:pt idx="7">
                  <c:v>17001.274854403822</c:v>
                </c:pt>
                <c:pt idx="8">
                  <c:v>4999.1911951443435</c:v>
                </c:pt>
                <c:pt idx="9">
                  <c:v>1989.85231</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550774.043391229</c:v>
                </c:pt>
                <c:pt idx="1">
                  <c:v>371434.45985698566</c:v>
                </c:pt>
                <c:pt idx="2">
                  <c:v>4.8556566980550997E-6</c:v>
                </c:pt>
                <c:pt idx="3">
                  <c:v>9022.5029581160506</c:v>
                </c:pt>
                <c:pt idx="4">
                  <c:v>137157.84883671452</c:v>
                </c:pt>
                <c:pt idx="5">
                  <c:v>639801.18773600704</c:v>
                </c:pt>
                <c:pt idx="6">
                  <c:v>16878.595333779933</c:v>
                </c:pt>
                <c:pt idx="7">
                  <c:v>17001.274854403822</c:v>
                </c:pt>
                <c:pt idx="8">
                  <c:v>4999.1911951443435</c:v>
                </c:pt>
                <c:pt idx="9">
                  <c:v>1989.85231</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108181.00720195728</c:v>
                </c:pt>
                <c:pt idx="1">
                  <c:v>71891.675526929379</c:v>
                </c:pt>
                <c:pt idx="2">
                  <c:v>0</c:v>
                </c:pt>
                <c:pt idx="3">
                  <c:v>2224.6669149899371</c:v>
                </c:pt>
                <c:pt idx="4">
                  <c:v>27042.637851380947</c:v>
                </c:pt>
                <c:pt idx="5">
                  <c:v>150241.74765143558</c:v>
                </c:pt>
                <c:pt idx="6">
                  <c:v>4022.3618350586107</c:v>
                </c:pt>
                <c:pt idx="7">
                  <c:v>3379.1488162367127</c:v>
                </c:pt>
                <c:pt idx="8">
                  <c:v>896.02084393683356</c:v>
                </c:pt>
                <c:pt idx="9">
                  <c:v>468.76804991748247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108181.00720195728</c:v>
                </c:pt>
                <c:pt idx="1">
                  <c:v>71891.675526929379</c:v>
                </c:pt>
                <c:pt idx="2">
                  <c:v>0</c:v>
                </c:pt>
                <c:pt idx="3">
                  <c:v>2224.6669149899371</c:v>
                </c:pt>
                <c:pt idx="4">
                  <c:v>27042.637851380947</c:v>
                </c:pt>
                <c:pt idx="5">
                  <c:v>150241.74765143558</c:v>
                </c:pt>
                <c:pt idx="6">
                  <c:v>4022.3618350586107</c:v>
                </c:pt>
                <c:pt idx="7">
                  <c:v>3379.1488162367127</c:v>
                </c:pt>
                <c:pt idx="8">
                  <c:v>896.02084393683356</c:v>
                </c:pt>
                <c:pt idx="9">
                  <c:v>468.76804991748247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504</v>
      </c>
      <c r="B2" s="340"/>
      <c r="C2" s="341"/>
    </row>
    <row r="3" spans="1:7" s="11" customFormat="1" ht="15" customHeight="1">
      <c r="A3" s="92"/>
      <c r="B3" s="73"/>
      <c r="C3" s="93"/>
    </row>
    <row r="4" spans="1:7" s="11" customFormat="1" ht="15.75" customHeight="1" thickBot="1">
      <c r="A4" s="104" t="s">
        <v>712</v>
      </c>
      <c r="B4" s="105"/>
      <c r="C4" s="106"/>
    </row>
    <row r="5" spans="1:7" s="334" customFormat="1" ht="15.75" customHeight="1">
      <c r="A5" s="331" t="s">
        <v>0</v>
      </c>
      <c r="B5" s="332"/>
      <c r="C5" s="333"/>
    </row>
    <row r="6" spans="1:7" s="334" customFormat="1" ht="15" customHeight="1">
      <c r="A6" s="335" t="str">
        <f>txtNIS</f>
        <v>71022</v>
      </c>
      <c r="B6" s="336"/>
      <c r="C6" s="337"/>
    </row>
    <row r="7" spans="1:7" s="334" customFormat="1" ht="15.75" customHeight="1">
      <c r="A7" s="338" t="str">
        <f>txtMunicipality</f>
        <v>HASSELT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702</v>
      </c>
      <c r="B10" s="1033"/>
      <c r="C10" s="1034"/>
    </row>
    <row r="11" spans="1:7" s="328" customFormat="1" ht="15.75" thickBot="1">
      <c r="A11" s="351" t="s">
        <v>311</v>
      </c>
      <c r="B11" s="354"/>
      <c r="C11" s="355"/>
      <c r="G11" s="329"/>
    </row>
    <row r="12" spans="1:7">
      <c r="A12" s="44"/>
      <c r="B12" s="43"/>
      <c r="C12" s="95"/>
    </row>
    <row r="13" spans="1:7" s="328" customFormat="1">
      <c r="A13" s="611" t="s">
        <v>481</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703</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470</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680</v>
      </c>
      <c r="B39" s="352"/>
      <c r="C39" s="353"/>
    </row>
    <row r="40" spans="1:3">
      <c r="A40" t="s">
        <v>669</v>
      </c>
      <c r="B40" s="347" t="s">
        <v>675</v>
      </c>
    </row>
    <row r="41" spans="1:3">
      <c r="A41" t="s">
        <v>670</v>
      </c>
      <c r="B41" s="347" t="s">
        <v>676</v>
      </c>
    </row>
    <row r="42" spans="1:3">
      <c r="A42" t="s">
        <v>639</v>
      </c>
      <c r="B42" s="347" t="s">
        <v>677</v>
      </c>
    </row>
    <row r="43" spans="1:3">
      <c r="A43" t="s">
        <v>678</v>
      </c>
      <c r="B43" s="347" t="s">
        <v>679</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666</v>
      </c>
      <c r="B6" s="360" t="s">
        <v>664</v>
      </c>
      <c r="C6" s="361" t="s">
        <v>310</v>
      </c>
    </row>
    <row r="7" spans="1:3" s="286" customFormat="1">
      <c r="A7" s="726" t="s">
        <v>667</v>
      </c>
      <c r="B7" s="362" t="s">
        <v>622</v>
      </c>
      <c r="C7" s="363" t="s">
        <v>478</v>
      </c>
    </row>
    <row r="8" spans="1:3" s="286" customFormat="1">
      <c r="A8" s="816" t="s">
        <v>589</v>
      </c>
      <c r="B8" s="362" t="s">
        <v>591</v>
      </c>
      <c r="C8" s="363" t="s">
        <v>310</v>
      </c>
    </row>
    <row r="9" spans="1:3" s="286" customFormat="1">
      <c r="A9" s="816" t="s">
        <v>665</v>
      </c>
      <c r="B9" s="362" t="s">
        <v>592</v>
      </c>
      <c r="C9" s="363" t="s">
        <v>310</v>
      </c>
    </row>
    <row r="10" spans="1:3" s="286" customFormat="1">
      <c r="A10" s="816" t="s">
        <v>590</v>
      </c>
      <c r="B10" s="362" t="s">
        <v>593</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654</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10311.02674412484</v>
      </c>
      <c r="D9" s="531">
        <f t="shared" ref="D9:R9" si="0">SUM(D10:D11)</f>
        <v>377.02166879999999</v>
      </c>
      <c r="E9" s="531">
        <f t="shared" si="0"/>
        <v>10417.162394968491</v>
      </c>
      <c r="F9" s="531">
        <f t="shared" si="0"/>
        <v>0</v>
      </c>
      <c r="G9" s="531">
        <f t="shared" si="0"/>
        <v>895.25524165483625</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22000.466049548166</v>
      </c>
      <c r="T9" s="66"/>
    </row>
    <row r="10" spans="1:20" s="382" customFormat="1">
      <c r="A10" s="870" t="s">
        <v>197</v>
      </c>
      <c r="B10" s="639"/>
      <c r="C10" s="531">
        <f>'Eigen gebouwen'!B6</f>
        <v>5311.8355489804953</v>
      </c>
      <c r="D10" s="531">
        <f>'Eigen gebouwen'!C6</f>
        <v>377.02166879999999</v>
      </c>
      <c r="E10" s="531">
        <f>'Eigen gebouwen'!D6</f>
        <v>10417.162394968491</v>
      </c>
      <c r="F10" s="531">
        <f>'Eigen gebouwen'!E6</f>
        <v>0</v>
      </c>
      <c r="G10" s="531">
        <f>'Eigen gebouwen'!F6</f>
        <v>895.25524165483625</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17001.274854403822</v>
      </c>
      <c r="T10" s="66"/>
    </row>
    <row r="11" spans="1:20" s="382" customFormat="1">
      <c r="A11" s="870" t="s">
        <v>410</v>
      </c>
      <c r="B11" s="639"/>
      <c r="C11" s="531">
        <f>'Eigen openbare verlichting'!B6</f>
        <v>4999.1911951443435</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4999.1911951443435</v>
      </c>
      <c r="T11" s="66"/>
    </row>
    <row r="12" spans="1:20" s="382" customFormat="1">
      <c r="A12" s="870" t="s">
        <v>107</v>
      </c>
      <c r="B12" s="867"/>
      <c r="C12" s="868" t="s">
        <v>670</v>
      </c>
      <c r="D12" s="868" t="s">
        <v>670</v>
      </c>
      <c r="E12" s="868" t="s">
        <v>670</v>
      </c>
      <c r="F12" s="868" t="s">
        <v>670</v>
      </c>
      <c r="G12" s="868" t="s">
        <v>670</v>
      </c>
      <c r="H12" s="868" t="s">
        <v>670</v>
      </c>
      <c r="I12" s="868" t="s">
        <v>670</v>
      </c>
      <c r="J12" s="868" t="s">
        <v>670</v>
      </c>
      <c r="K12" s="868" t="s">
        <v>670</v>
      </c>
      <c r="L12" s="868" t="s">
        <v>670</v>
      </c>
      <c r="M12" s="868" t="s">
        <v>670</v>
      </c>
      <c r="N12" s="868" t="s">
        <v>670</v>
      </c>
      <c r="O12" s="868" t="s">
        <v>670</v>
      </c>
      <c r="P12" s="868" t="s">
        <v>670</v>
      </c>
      <c r="Q12" s="868" t="s">
        <v>670</v>
      </c>
      <c r="R12" s="869" t="s">
        <v>670</v>
      </c>
      <c r="S12" s="562" t="s">
        <v>670</v>
      </c>
      <c r="T12" s="66"/>
    </row>
    <row r="13" spans="1:20" s="382" customFormat="1">
      <c r="A13" s="635" t="s">
        <v>198</v>
      </c>
      <c r="B13" s="867"/>
      <c r="C13" s="868">
        <f>SUM(C14:C15)</f>
        <v>186900.82315856923</v>
      </c>
      <c r="D13" s="868">
        <f t="shared" ref="D13:P13" si="1">SUM(D14:D15)</f>
        <v>9297.4232609633727</v>
      </c>
      <c r="E13" s="868">
        <f t="shared" si="1"/>
        <v>152163.1631644122</v>
      </c>
      <c r="F13" s="868">
        <f t="shared" si="1"/>
        <v>283.52481600651998</v>
      </c>
      <c r="G13" s="868">
        <f t="shared" si="1"/>
        <v>20690.885519950883</v>
      </c>
      <c r="H13" s="868">
        <f t="shared" si="1"/>
        <v>0</v>
      </c>
      <c r="I13" s="868">
        <f t="shared" si="1"/>
        <v>2.7978531287955768</v>
      </c>
      <c r="J13" s="868">
        <f t="shared" si="1"/>
        <v>0</v>
      </c>
      <c r="K13" s="868">
        <f t="shared" si="1"/>
        <v>0.13330857361704021</v>
      </c>
      <c r="L13" s="868">
        <f t="shared" si="1"/>
        <v>0</v>
      </c>
      <c r="M13" s="868">
        <f t="shared" si="1"/>
        <v>0</v>
      </c>
      <c r="N13" s="868">
        <f t="shared" si="1"/>
        <v>0</v>
      </c>
      <c r="O13" s="868">
        <f t="shared" si="1"/>
        <v>0</v>
      </c>
      <c r="P13" s="868">
        <f t="shared" si="1"/>
        <v>2095.7087802366568</v>
      </c>
      <c r="Q13" s="868">
        <f t="shared" ref="Q13" si="2">SUM(Q14:Q15)</f>
        <v>0</v>
      </c>
      <c r="R13" s="869">
        <f t="shared" ref="R13" si="3">SUM(R14:R15)</f>
        <v>0</v>
      </c>
      <c r="S13" s="562">
        <f t="shared" ref="S13" si="4">SUM(C13:R13)</f>
        <v>371434.45986184134</v>
      </c>
      <c r="T13" s="66"/>
    </row>
    <row r="14" spans="1:20" s="382" customFormat="1">
      <c r="A14" s="871" t="s">
        <v>645</v>
      </c>
      <c r="B14" s="867"/>
      <c r="C14" s="868" t="s">
        <v>670</v>
      </c>
      <c r="D14" s="868" t="s">
        <v>670</v>
      </c>
      <c r="E14" s="868" t="s">
        <v>670</v>
      </c>
      <c r="F14" s="868" t="s">
        <v>670</v>
      </c>
      <c r="G14" s="868" t="s">
        <v>670</v>
      </c>
      <c r="H14" s="868" t="s">
        <v>670</v>
      </c>
      <c r="I14" s="868" t="s">
        <v>670</v>
      </c>
      <c r="J14" s="868" t="s">
        <v>670</v>
      </c>
      <c r="K14" s="868" t="s">
        <v>670</v>
      </c>
      <c r="L14" s="868" t="s">
        <v>670</v>
      </c>
      <c r="M14" s="868" t="s">
        <v>670</v>
      </c>
      <c r="N14" s="868" t="s">
        <v>670</v>
      </c>
      <c r="O14" s="868" t="s">
        <v>670</v>
      </c>
      <c r="P14" s="868" t="s">
        <v>670</v>
      </c>
      <c r="Q14" s="868" t="s">
        <v>670</v>
      </c>
      <c r="R14" s="869" t="s">
        <v>670</v>
      </c>
      <c r="S14" s="562" t="s">
        <v>670</v>
      </c>
      <c r="T14" s="66"/>
    </row>
    <row r="15" spans="1:20" s="382" customFormat="1">
      <c r="A15" s="871" t="s">
        <v>107</v>
      </c>
      <c r="B15" s="640"/>
      <c r="C15" s="531">
        <f>tertiair!B17+'openbare verlichting'!B8</f>
        <v>186900.82315856923</v>
      </c>
      <c r="D15" s="531">
        <f>tertiair!C17</f>
        <v>9297.4232609633727</v>
      </c>
      <c r="E15" s="531">
        <f>tertiair!D17</f>
        <v>152163.1631644122</v>
      </c>
      <c r="F15" s="531">
        <f>tertiair!E17</f>
        <v>283.52481600651998</v>
      </c>
      <c r="G15" s="531">
        <f>tertiair!F17</f>
        <v>20690.885519950883</v>
      </c>
      <c r="H15" s="531" t="str">
        <f>tertiair!G17</f>
        <v>NE</v>
      </c>
      <c r="I15" s="531">
        <f>tertiair!H17</f>
        <v>2.7978531287955768</v>
      </c>
      <c r="J15" s="531" t="str">
        <f>tertiair!I17</f>
        <v>NE</v>
      </c>
      <c r="K15" s="531">
        <f>tertiair!J17</f>
        <v>0.13330857361704021</v>
      </c>
      <c r="L15" s="531" t="str">
        <f>tertiair!K17</f>
        <v>NE</v>
      </c>
      <c r="M15" s="531" t="str">
        <f>tertiair!L17</f>
        <v>IE</v>
      </c>
      <c r="N15" s="531" t="str">
        <f>tertiair!M17</f>
        <v>IE</v>
      </c>
      <c r="O15" s="531" t="str">
        <f>tertiair!N17</f>
        <v>IE</v>
      </c>
      <c r="P15" s="531">
        <f>tertiair!O17</f>
        <v>2095.7087802366568</v>
      </c>
      <c r="Q15" s="531" t="str">
        <f>tertiair!P17</f>
        <v>NE</v>
      </c>
      <c r="R15" s="869" t="str">
        <f>tertiair!Q17</f>
        <v>NE</v>
      </c>
      <c r="S15" s="562">
        <f>SUM(C15:R15)</f>
        <v>371434.45986184134</v>
      </c>
      <c r="T15" s="66"/>
    </row>
    <row r="16" spans="1:20" s="382" customFormat="1">
      <c r="A16" s="634" t="s">
        <v>646</v>
      </c>
      <c r="B16" s="639"/>
      <c r="C16" s="531">
        <f>huishoudens!B9</f>
        <v>108180.14552183828</v>
      </c>
      <c r="D16" s="531">
        <f>huishoudens!C9</f>
        <v>194.80504961322654</v>
      </c>
      <c r="E16" s="531">
        <f>huishoudens!D9</f>
        <v>269466.2119845727</v>
      </c>
      <c r="F16" s="531">
        <f>huishoudens!E9</f>
        <v>7441.1083684860187</v>
      </c>
      <c r="G16" s="531">
        <f>huishoudens!F9</f>
        <v>120913.14522579068</v>
      </c>
      <c r="H16" s="531" t="str">
        <f>huishoudens!G9</f>
        <v>NE</v>
      </c>
      <c r="I16" s="531" t="str">
        <f>huishoudens!H9</f>
        <v>NE</v>
      </c>
      <c r="J16" s="531" t="str">
        <f>huishoudens!I9</f>
        <v xml:space="preserve">NE </v>
      </c>
      <c r="K16" s="531">
        <f>huishoudens!J9</f>
        <v>969.28454742987765</v>
      </c>
      <c r="L16" s="531" t="str">
        <f>huishoudens!K9</f>
        <v>NE</v>
      </c>
      <c r="M16" s="531">
        <f>huishoudens!L9</f>
        <v>0</v>
      </c>
      <c r="N16" s="531">
        <f>huishoudens!M9</f>
        <v>0</v>
      </c>
      <c r="O16" s="531" t="str">
        <f>huishoudens!N9</f>
        <v>NE</v>
      </c>
      <c r="P16" s="531">
        <f>huishoudens!O9</f>
        <v>43609.342693498205</v>
      </c>
      <c r="Q16" s="531" t="str">
        <f>huishoudens!P9</f>
        <v>NE</v>
      </c>
      <c r="R16" s="869" t="str">
        <f>huishoudens!Q9</f>
        <v>NE</v>
      </c>
      <c r="S16" s="562">
        <f>SUM(C16:R16)</f>
        <v>550774.043391229</v>
      </c>
      <c r="T16" s="66"/>
    </row>
    <row r="17" spans="1:20" s="382" customFormat="1">
      <c r="A17" s="634" t="s">
        <v>497</v>
      </c>
      <c r="B17" s="643" t="s">
        <v>495</v>
      </c>
      <c r="C17" s="531">
        <f>industrie!B19</f>
        <v>47273.948462515044</v>
      </c>
      <c r="D17" s="531">
        <f>industrie!C19</f>
        <v>525.28104341175583</v>
      </c>
      <c r="E17" s="531">
        <f>industrie!D19</f>
        <v>58440.81891415365</v>
      </c>
      <c r="F17" s="531">
        <f>industrie!E19</f>
        <v>761.9730800086918</v>
      </c>
      <c r="G17" s="531">
        <f>industrie!F19</f>
        <v>23978.260964591987</v>
      </c>
      <c r="H17" s="531" t="str">
        <f>industrie!G19</f>
        <v>NE</v>
      </c>
      <c r="I17" s="531">
        <f>industrie!H19</f>
        <v>0</v>
      </c>
      <c r="J17" s="531" t="str">
        <f>industrie!I19</f>
        <v>NE</v>
      </c>
      <c r="K17" s="531">
        <f>industrie!J19</f>
        <v>205.1629653249781</v>
      </c>
      <c r="L17" s="531" t="str">
        <f>industrie!K19</f>
        <v>NE</v>
      </c>
      <c r="M17" s="531" t="str">
        <f>industrie!L19</f>
        <v>IE</v>
      </c>
      <c r="N17" s="531" t="str">
        <f>industrie!M19</f>
        <v>IE</v>
      </c>
      <c r="O17" s="531" t="str">
        <f>industrie!N19</f>
        <v>IE</v>
      </c>
      <c r="P17" s="531">
        <f>industrie!O19</f>
        <v>5972.4034067084276</v>
      </c>
      <c r="Q17" s="531" t="str">
        <f>industrie!P19</f>
        <v>NE</v>
      </c>
      <c r="R17" s="869" t="str">
        <f>industrie!Q19</f>
        <v>NE</v>
      </c>
      <c r="S17" s="562">
        <f>SUM(C17:R17)</f>
        <v>137157.84883671452</v>
      </c>
      <c r="T17" s="66"/>
    </row>
    <row r="18" spans="1:20" s="382" customFormat="1">
      <c r="A18" s="634"/>
      <c r="B18" s="643" t="s">
        <v>496</v>
      </c>
      <c r="C18" s="531" t="s">
        <v>639</v>
      </c>
      <c r="D18" s="531" t="s">
        <v>639</v>
      </c>
      <c r="E18" s="531" t="s">
        <v>639</v>
      </c>
      <c r="F18" s="531" t="s">
        <v>639</v>
      </c>
      <c r="G18" s="531" t="s">
        <v>639</v>
      </c>
      <c r="H18" s="531" t="s">
        <v>639</v>
      </c>
      <c r="I18" s="531" t="s">
        <v>639</v>
      </c>
      <c r="J18" s="531" t="s">
        <v>639</v>
      </c>
      <c r="K18" s="531" t="s">
        <v>639</v>
      </c>
      <c r="L18" s="531" t="s">
        <v>639</v>
      </c>
      <c r="M18" s="531" t="s">
        <v>639</v>
      </c>
      <c r="N18" s="531" t="s">
        <v>639</v>
      </c>
      <c r="O18" s="531" t="s">
        <v>639</v>
      </c>
      <c r="P18" s="531" t="s">
        <v>639</v>
      </c>
      <c r="Q18" s="531" t="s">
        <v>639</v>
      </c>
      <c r="R18" s="869" t="s">
        <v>639</v>
      </c>
      <c r="S18" s="562" t="s">
        <v>639</v>
      </c>
      <c r="T18" s="66"/>
    </row>
    <row r="19" spans="1:20" s="382" customFormat="1" ht="15" thickBot="1">
      <c r="A19" s="747" t="s">
        <v>538</v>
      </c>
      <c r="B19" s="748"/>
      <c r="C19" s="531" t="s">
        <v>639</v>
      </c>
      <c r="D19" s="531" t="s">
        <v>639</v>
      </c>
      <c r="E19" s="531" t="s">
        <v>639</v>
      </c>
      <c r="F19" s="531" t="s">
        <v>639</v>
      </c>
      <c r="G19" s="531" t="s">
        <v>639</v>
      </c>
      <c r="H19" s="531" t="s">
        <v>639</v>
      </c>
      <c r="I19" s="531" t="s">
        <v>639</v>
      </c>
      <c r="J19" s="531" t="s">
        <v>639</v>
      </c>
      <c r="K19" s="531" t="s">
        <v>639</v>
      </c>
      <c r="L19" s="531" t="s">
        <v>639</v>
      </c>
      <c r="M19" s="531" t="s">
        <v>639</v>
      </c>
      <c r="N19" s="531" t="s">
        <v>639</v>
      </c>
      <c r="O19" s="531" t="s">
        <v>639</v>
      </c>
      <c r="P19" s="531" t="s">
        <v>639</v>
      </c>
      <c r="Q19" s="531" t="s">
        <v>639</v>
      </c>
      <c r="R19" s="869" t="s">
        <v>639</v>
      </c>
      <c r="S19" s="952" t="s">
        <v>639</v>
      </c>
      <c r="T19" s="66"/>
    </row>
    <row r="20" spans="1:20" s="382" customFormat="1" ht="15.75" thickBot="1">
      <c r="A20" s="534" t="s">
        <v>199</v>
      </c>
      <c r="B20" s="641"/>
      <c r="C20" s="564">
        <f>SUM(C9,C13,C16,C17,C18,C19)</f>
        <v>352665.94388704735</v>
      </c>
      <c r="D20" s="564">
        <f>SUM(D9,D13,D16,D17,D18,D19)</f>
        <v>10394.531022788356</v>
      </c>
      <c r="E20" s="564">
        <f t="shared" ref="E20:R20" si="5">SUM(E9,E13,E16,E17,E18,E19)</f>
        <v>490487.35645810707</v>
      </c>
      <c r="F20" s="564">
        <f t="shared" si="5"/>
        <v>8486.6062645012316</v>
      </c>
      <c r="G20" s="564">
        <f t="shared" si="5"/>
        <v>166477.54695198839</v>
      </c>
      <c r="H20" s="564">
        <f t="shared" si="5"/>
        <v>0</v>
      </c>
      <c r="I20" s="564">
        <f t="shared" si="5"/>
        <v>2.7978531287955768</v>
      </c>
      <c r="J20" s="564">
        <f t="shared" si="5"/>
        <v>0</v>
      </c>
      <c r="K20" s="564">
        <f t="shared" si="5"/>
        <v>1174.5808213284727</v>
      </c>
      <c r="L20" s="564">
        <f t="shared" si="5"/>
        <v>0</v>
      </c>
      <c r="M20" s="564">
        <f t="shared" si="5"/>
        <v>0</v>
      </c>
      <c r="N20" s="564">
        <f t="shared" si="5"/>
        <v>0</v>
      </c>
      <c r="O20" s="564">
        <f t="shared" si="5"/>
        <v>0</v>
      </c>
      <c r="P20" s="564">
        <f t="shared" si="5"/>
        <v>51677.454880443292</v>
      </c>
      <c r="Q20" s="564">
        <f t="shared" si="5"/>
        <v>0</v>
      </c>
      <c r="R20" s="564">
        <f t="shared" si="5"/>
        <v>0</v>
      </c>
      <c r="S20" s="564">
        <f>SUM(C20:R20)</f>
        <v>1081366.8181393328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0.83287</v>
      </c>
      <c r="D22" s="531">
        <f t="shared" ref="D22:R22" si="6">SUM(D23:D24)</f>
        <v>0</v>
      </c>
      <c r="E22" s="531">
        <f t="shared" si="6"/>
        <v>107.973</v>
      </c>
      <c r="F22" s="531">
        <f t="shared" si="6"/>
        <v>0</v>
      </c>
      <c r="G22" s="531">
        <f t="shared" si="6"/>
        <v>0</v>
      </c>
      <c r="H22" s="531">
        <f t="shared" si="6"/>
        <v>1485.921016539249</v>
      </c>
      <c r="I22" s="531">
        <f t="shared" si="6"/>
        <v>201.07355252250278</v>
      </c>
      <c r="J22" s="531">
        <f t="shared" si="6"/>
        <v>0</v>
      </c>
      <c r="K22" s="531">
        <f t="shared" si="6"/>
        <v>0</v>
      </c>
      <c r="L22" s="531">
        <f t="shared" si="6"/>
        <v>0</v>
      </c>
      <c r="M22" s="531">
        <f t="shared" si="6"/>
        <v>0</v>
      </c>
      <c r="N22" s="531">
        <f t="shared" si="6"/>
        <v>194.05187093824833</v>
      </c>
      <c r="O22" s="531">
        <f t="shared" si="6"/>
        <v>0</v>
      </c>
      <c r="P22" s="531">
        <f t="shared" si="6"/>
        <v>0</v>
      </c>
      <c r="Q22" s="531">
        <f t="shared" si="6"/>
        <v>0</v>
      </c>
      <c r="R22" s="869">
        <f t="shared" si="6"/>
        <v>0</v>
      </c>
      <c r="S22" s="950">
        <f>SUM(C22:R22)</f>
        <v>1989.85231</v>
      </c>
      <c r="T22" s="66"/>
    </row>
    <row r="23" spans="1:20" s="382" customFormat="1">
      <c r="A23" s="870" t="s">
        <v>647</v>
      </c>
      <c r="B23" s="639"/>
      <c r="C23" s="531">
        <f>'Eigen vloot'!B27</f>
        <v>0.83287</v>
      </c>
      <c r="D23" s="531" t="str">
        <f>'Eigen vloot'!C27</f>
        <v>NO</v>
      </c>
      <c r="E23" s="531">
        <f>'Eigen vloot'!D27</f>
        <v>107.973</v>
      </c>
      <c r="F23" s="531">
        <f>'Eigen vloot'!E27</f>
        <v>0</v>
      </c>
      <c r="G23" s="531" t="str">
        <f>'Eigen vloot'!F27</f>
        <v>NO</v>
      </c>
      <c r="H23" s="531">
        <f>'Eigen vloot'!G27</f>
        <v>1485.921016539249</v>
      </c>
      <c r="I23" s="531">
        <f>'Eigen vloot'!H27</f>
        <v>201.07355252250278</v>
      </c>
      <c r="J23" s="531" t="str">
        <f>'Eigen vloot'!I27</f>
        <v>NO</v>
      </c>
      <c r="K23" s="531" t="str">
        <f>'Eigen vloot'!J27</f>
        <v>NO</v>
      </c>
      <c r="L23" s="531" t="str">
        <f>'Eigen vloot'!K27</f>
        <v>NO</v>
      </c>
      <c r="M23" s="531" t="str">
        <f>'Eigen vloot'!M27</f>
        <v>NO</v>
      </c>
      <c r="N23" s="531">
        <f>'Eigen vloot'!N27</f>
        <v>194.05187093824833</v>
      </c>
      <c r="O23" s="531" t="str">
        <f>'Eigen vloot'!O27</f>
        <v>NO</v>
      </c>
      <c r="P23" s="531" t="str">
        <f>'Eigen vloot'!P27</f>
        <v>NO</v>
      </c>
      <c r="Q23" s="531" t="str">
        <f>'Eigen vloot'!Q27</f>
        <v>NO</v>
      </c>
      <c r="R23" s="869">
        <f>'Eigen vloot'!R27</f>
        <v>0</v>
      </c>
      <c r="S23" s="562">
        <f>SUM(C23:R23)</f>
        <v>1989.85231</v>
      </c>
      <c r="T23" s="66"/>
    </row>
    <row r="24" spans="1:20" s="382" customFormat="1">
      <c r="A24" s="870" t="s">
        <v>107</v>
      </c>
      <c r="B24" s="867"/>
      <c r="C24" s="531" t="s">
        <v>639</v>
      </c>
      <c r="D24" s="531" t="s">
        <v>639</v>
      </c>
      <c r="E24" s="531" t="s">
        <v>639</v>
      </c>
      <c r="F24" s="531" t="s">
        <v>639</v>
      </c>
      <c r="G24" s="531" t="s">
        <v>639</v>
      </c>
      <c r="H24" s="531" t="s">
        <v>639</v>
      </c>
      <c r="I24" s="531" t="s">
        <v>639</v>
      </c>
      <c r="J24" s="531" t="s">
        <v>639</v>
      </c>
      <c r="K24" s="531" t="s">
        <v>639</v>
      </c>
      <c r="L24" s="531" t="s">
        <v>639</v>
      </c>
      <c r="M24" s="531" t="s">
        <v>639</v>
      </c>
      <c r="N24" s="531" t="s">
        <v>639</v>
      </c>
      <c r="O24" s="531" t="s">
        <v>639</v>
      </c>
      <c r="P24" s="531" t="s">
        <v>639</v>
      </c>
      <c r="Q24" s="531" t="s">
        <v>639</v>
      </c>
      <c r="R24" s="869" t="s">
        <v>639</v>
      </c>
      <c r="S24" s="562" t="s">
        <v>639</v>
      </c>
      <c r="T24" s="66"/>
    </row>
    <row r="25" spans="1:20" s="382" customFormat="1">
      <c r="A25" s="634" t="s">
        <v>202</v>
      </c>
      <c r="B25" s="639"/>
      <c r="C25" s="531">
        <f>SUM(C26:C29)</f>
        <v>40.508282452409382</v>
      </c>
      <c r="D25" s="531">
        <f t="shared" ref="D25:R25" si="7">SUM(D26:D29)</f>
        <v>0</v>
      </c>
      <c r="E25" s="531">
        <f t="shared" si="7"/>
        <v>0</v>
      </c>
      <c r="F25" s="531">
        <f t="shared" si="7"/>
        <v>0</v>
      </c>
      <c r="G25" s="531">
        <f t="shared" si="7"/>
        <v>0</v>
      </c>
      <c r="H25" s="531">
        <f t="shared" si="7"/>
        <v>15037.832986962221</v>
      </c>
      <c r="I25" s="531">
        <f t="shared" si="7"/>
        <v>0</v>
      </c>
      <c r="J25" s="531">
        <f t="shared" si="7"/>
        <v>0</v>
      </c>
      <c r="K25" s="531">
        <f t="shared" si="7"/>
        <v>0</v>
      </c>
      <c r="L25" s="531">
        <f t="shared" si="7"/>
        <v>0</v>
      </c>
      <c r="M25" s="531">
        <f t="shared" si="7"/>
        <v>0</v>
      </c>
      <c r="N25" s="531">
        <f t="shared" si="7"/>
        <v>0</v>
      </c>
      <c r="O25" s="531">
        <f t="shared" si="7"/>
        <v>1800.2540643653033</v>
      </c>
      <c r="P25" s="531">
        <f t="shared" si="7"/>
        <v>0</v>
      </c>
      <c r="Q25" s="531">
        <f t="shared" si="7"/>
        <v>0</v>
      </c>
      <c r="R25" s="869">
        <f t="shared" si="7"/>
        <v>0</v>
      </c>
      <c r="S25" s="562">
        <f>SUM(C25:R25)</f>
        <v>16878.595333779933</v>
      </c>
      <c r="T25" s="66"/>
    </row>
    <row r="26" spans="1:20" s="382" customFormat="1">
      <c r="A26" s="870" t="s">
        <v>647</v>
      </c>
      <c r="B26" s="867"/>
      <c r="C26" s="868">
        <f>transport!B51*10^9/3600</f>
        <v>40.508282452409382</v>
      </c>
      <c r="D26" s="868">
        <f>transport!C51*10^9/3600</f>
        <v>0</v>
      </c>
      <c r="E26" s="868">
        <f>transport!D51*10^9/3600</f>
        <v>0</v>
      </c>
      <c r="F26" s="868">
        <f>transport!E51*10^9/3600</f>
        <v>0</v>
      </c>
      <c r="G26" s="868">
        <f>transport!F51*10^9/3600</f>
        <v>0</v>
      </c>
      <c r="H26" s="868">
        <f>transport!G51*10^9/3600</f>
        <v>15037.832986962221</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1800.2540643653033</v>
      </c>
      <c r="P26" s="868">
        <f>transport!O51*10^9/3600</f>
        <v>0</v>
      </c>
      <c r="Q26" s="868">
        <f>transport!P51*10^9/3600</f>
        <v>0</v>
      </c>
      <c r="R26" s="868">
        <f>transport!Q51*10^9/3600</f>
        <v>0</v>
      </c>
      <c r="S26" s="562">
        <f>SUM(C26:R26)</f>
        <v>16878.595333779933</v>
      </c>
      <c r="T26" s="66"/>
    </row>
    <row r="27" spans="1:20" s="382" customFormat="1">
      <c r="A27" s="870" t="s">
        <v>648</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649</v>
      </c>
      <c r="B28" s="867"/>
      <c r="C28" s="868" t="s">
        <v>639</v>
      </c>
      <c r="D28" s="868" t="s">
        <v>639</v>
      </c>
      <c r="E28" s="868" t="s">
        <v>639</v>
      </c>
      <c r="F28" s="868" t="s">
        <v>639</v>
      </c>
      <c r="G28" s="868" t="s">
        <v>639</v>
      </c>
      <c r="H28" s="868" t="s">
        <v>639</v>
      </c>
      <c r="I28" s="868" t="s">
        <v>639</v>
      </c>
      <c r="J28" s="868" t="s">
        <v>639</v>
      </c>
      <c r="K28" s="868" t="s">
        <v>639</v>
      </c>
      <c r="L28" s="868" t="s">
        <v>639</v>
      </c>
      <c r="M28" s="868" t="s">
        <v>639</v>
      </c>
      <c r="N28" s="868" t="s">
        <v>639</v>
      </c>
      <c r="O28" s="868" t="s">
        <v>639</v>
      </c>
      <c r="P28" s="868" t="s">
        <v>639</v>
      </c>
      <c r="Q28" s="868" t="s">
        <v>639</v>
      </c>
      <c r="R28" s="869" t="s">
        <v>639</v>
      </c>
      <c r="S28" s="562" t="s">
        <v>639</v>
      </c>
      <c r="T28" s="66"/>
    </row>
    <row r="29" spans="1:20" s="382" customFormat="1">
      <c r="A29" s="870" t="s">
        <v>107</v>
      </c>
      <c r="B29" s="867"/>
      <c r="C29" s="868" t="s">
        <v>639</v>
      </c>
      <c r="D29" s="868" t="s">
        <v>639</v>
      </c>
      <c r="E29" s="868" t="s">
        <v>639</v>
      </c>
      <c r="F29" s="868" t="s">
        <v>639</v>
      </c>
      <c r="G29" s="868" t="s">
        <v>639</v>
      </c>
      <c r="H29" s="868" t="s">
        <v>639</v>
      </c>
      <c r="I29" s="868" t="s">
        <v>639</v>
      </c>
      <c r="J29" s="868" t="s">
        <v>639</v>
      </c>
      <c r="K29" s="868" t="s">
        <v>639</v>
      </c>
      <c r="L29" s="868" t="s">
        <v>639</v>
      </c>
      <c r="M29" s="868" t="s">
        <v>639</v>
      </c>
      <c r="N29" s="868" t="s">
        <v>639</v>
      </c>
      <c r="O29" s="868" t="s">
        <v>639</v>
      </c>
      <c r="P29" s="868" t="s">
        <v>639</v>
      </c>
      <c r="Q29" s="868" t="s">
        <v>639</v>
      </c>
      <c r="R29" s="869" t="s">
        <v>639</v>
      </c>
      <c r="S29" s="562" t="s">
        <v>639</v>
      </c>
      <c r="T29" s="66"/>
    </row>
    <row r="30" spans="1:20" s="382" customFormat="1">
      <c r="A30" s="634" t="s">
        <v>263</v>
      </c>
      <c r="B30" s="867"/>
      <c r="C30" s="868">
        <f>SUM(C31:C35)</f>
        <v>10952.150808365583</v>
      </c>
      <c r="D30" s="868">
        <f t="shared" ref="D30:R30" si="9">SUM(D31:D35)</f>
        <v>0</v>
      </c>
      <c r="E30" s="868">
        <f t="shared" si="9"/>
        <v>2366.8667596098417</v>
      </c>
      <c r="F30" s="868">
        <f t="shared" si="9"/>
        <v>1213.2846174668807</v>
      </c>
      <c r="G30" s="868">
        <f t="shared" si="9"/>
        <v>0</v>
      </c>
      <c r="H30" s="868">
        <f t="shared" si="9"/>
        <v>382488.19357090583</v>
      </c>
      <c r="I30" s="868">
        <f t="shared" si="9"/>
        <v>182332.88617431934</v>
      </c>
      <c r="J30" s="868">
        <f t="shared" si="9"/>
        <v>0</v>
      </c>
      <c r="K30" s="868">
        <f t="shared" si="9"/>
        <v>0</v>
      </c>
      <c r="L30" s="868">
        <f t="shared" si="9"/>
        <v>0</v>
      </c>
      <c r="M30" s="868">
        <f t="shared" si="9"/>
        <v>0</v>
      </c>
      <c r="N30" s="868">
        <f t="shared" si="9"/>
        <v>0</v>
      </c>
      <c r="O30" s="868">
        <f t="shared" si="9"/>
        <v>60447.805805339638</v>
      </c>
      <c r="P30" s="868">
        <f t="shared" si="9"/>
        <v>0</v>
      </c>
      <c r="Q30" s="868">
        <f t="shared" si="9"/>
        <v>0</v>
      </c>
      <c r="R30" s="869">
        <f t="shared" si="9"/>
        <v>0</v>
      </c>
      <c r="S30" s="562">
        <f>SUM(C30:R30)</f>
        <v>639801.18773600704</v>
      </c>
      <c r="T30" s="66"/>
    </row>
    <row r="31" spans="1:20" s="382" customFormat="1">
      <c r="A31" s="870" t="s">
        <v>647</v>
      </c>
      <c r="B31" s="639"/>
      <c r="C31" s="531">
        <f>transport!B14</f>
        <v>10952.150808365583</v>
      </c>
      <c r="D31" s="531" t="str">
        <f>transport!C14</f>
        <v>NO</v>
      </c>
      <c r="E31" s="531">
        <f>transport!D14</f>
        <v>2366.8667596098417</v>
      </c>
      <c r="F31" s="531">
        <f>transport!E14</f>
        <v>1213.2846174668807</v>
      </c>
      <c r="G31" s="531" t="str">
        <f>transport!F14</f>
        <v>NO</v>
      </c>
      <c r="H31" s="531">
        <f>transport!G14</f>
        <v>382488.19357090583</v>
      </c>
      <c r="I31" s="531">
        <f>transport!H14</f>
        <v>182332.88617431934</v>
      </c>
      <c r="J31" s="531" t="str">
        <f>transport!I14</f>
        <v>NO</v>
      </c>
      <c r="K31" s="531" t="str">
        <f>transport!J14</f>
        <v>NO</v>
      </c>
      <c r="L31" s="531" t="str">
        <f>transport!K14</f>
        <v>NO</v>
      </c>
      <c r="M31" s="531" t="str">
        <f>transport!L14</f>
        <v>NO</v>
      </c>
      <c r="N31" s="531" t="str">
        <f>transport!M14</f>
        <v>NO</v>
      </c>
      <c r="O31" s="531">
        <f>transport!N14</f>
        <v>60447.805805339638</v>
      </c>
      <c r="P31" s="531" t="str">
        <f>transport!O14</f>
        <v>NO</v>
      </c>
      <c r="Q31" s="531" t="str">
        <f>transport!P14</f>
        <v>NO</v>
      </c>
      <c r="R31" s="869" t="str">
        <f>transport!Q14</f>
        <v>NO</v>
      </c>
      <c r="S31" s="562">
        <f>SUM(C31:R31)</f>
        <v>639801.18773600704</v>
      </c>
      <c r="T31" s="66"/>
    </row>
    <row r="32" spans="1:20" s="382" customFormat="1">
      <c r="A32" s="870" t="s">
        <v>648</v>
      </c>
      <c r="B32" s="639"/>
      <c r="C32" s="531" t="s">
        <v>639</v>
      </c>
      <c r="D32" s="531" t="s">
        <v>639</v>
      </c>
      <c r="E32" s="531" t="s">
        <v>639</v>
      </c>
      <c r="F32" s="531" t="s">
        <v>639</v>
      </c>
      <c r="G32" s="531" t="s">
        <v>639</v>
      </c>
      <c r="H32" s="531" t="s">
        <v>639</v>
      </c>
      <c r="I32" s="531" t="s">
        <v>639</v>
      </c>
      <c r="J32" s="531" t="s">
        <v>639</v>
      </c>
      <c r="K32" s="531" t="s">
        <v>639</v>
      </c>
      <c r="L32" s="531" t="s">
        <v>639</v>
      </c>
      <c r="M32" s="531" t="s">
        <v>639</v>
      </c>
      <c r="N32" s="531" t="s">
        <v>639</v>
      </c>
      <c r="O32" s="531" t="s">
        <v>639</v>
      </c>
      <c r="P32" s="531" t="s">
        <v>639</v>
      </c>
      <c r="Q32" s="531" t="s">
        <v>639</v>
      </c>
      <c r="R32" s="869" t="s">
        <v>639</v>
      </c>
      <c r="S32" s="562" t="s">
        <v>639</v>
      </c>
      <c r="T32" s="66"/>
    </row>
    <row r="33" spans="1:20" s="382" customFormat="1">
      <c r="A33" s="870" t="s">
        <v>649</v>
      </c>
      <c r="B33" s="639"/>
      <c r="C33" s="531" t="s">
        <v>639</v>
      </c>
      <c r="D33" s="531" t="s">
        <v>639</v>
      </c>
      <c r="E33" s="531" t="s">
        <v>639</v>
      </c>
      <c r="F33" s="531" t="s">
        <v>639</v>
      </c>
      <c r="G33" s="531" t="s">
        <v>639</v>
      </c>
      <c r="H33" s="531" t="s">
        <v>639</v>
      </c>
      <c r="I33" s="531" t="s">
        <v>639</v>
      </c>
      <c r="J33" s="531" t="s">
        <v>639</v>
      </c>
      <c r="K33" s="531" t="s">
        <v>639</v>
      </c>
      <c r="L33" s="531" t="s">
        <v>639</v>
      </c>
      <c r="M33" s="531" t="s">
        <v>639</v>
      </c>
      <c r="N33" s="531" t="s">
        <v>639</v>
      </c>
      <c r="O33" s="531" t="s">
        <v>639</v>
      </c>
      <c r="P33" s="531" t="s">
        <v>639</v>
      </c>
      <c r="Q33" s="531" t="s">
        <v>639</v>
      </c>
      <c r="R33" s="869" t="s">
        <v>639</v>
      </c>
      <c r="S33" s="562" t="s">
        <v>639</v>
      </c>
      <c r="T33" s="66"/>
    </row>
    <row r="34" spans="1:20" s="382" customFormat="1">
      <c r="A34" s="870" t="s">
        <v>650</v>
      </c>
      <c r="B34" s="639"/>
      <c r="C34" s="531" t="s">
        <v>639</v>
      </c>
      <c r="D34" s="531" t="s">
        <v>639</v>
      </c>
      <c r="E34" s="531" t="s">
        <v>639</v>
      </c>
      <c r="F34" s="531" t="s">
        <v>639</v>
      </c>
      <c r="G34" s="531" t="s">
        <v>639</v>
      </c>
      <c r="H34" s="531" t="s">
        <v>639</v>
      </c>
      <c r="I34" s="531" t="s">
        <v>639</v>
      </c>
      <c r="J34" s="531" t="s">
        <v>639</v>
      </c>
      <c r="K34" s="531" t="s">
        <v>639</v>
      </c>
      <c r="L34" s="531" t="s">
        <v>639</v>
      </c>
      <c r="M34" s="531" t="s">
        <v>639</v>
      </c>
      <c r="N34" s="531" t="s">
        <v>639</v>
      </c>
      <c r="O34" s="531" t="s">
        <v>639</v>
      </c>
      <c r="P34" s="531" t="s">
        <v>639</v>
      </c>
      <c r="Q34" s="531" t="s">
        <v>639</v>
      </c>
      <c r="R34" s="869" t="s">
        <v>639</v>
      </c>
      <c r="S34" s="562" t="s">
        <v>639</v>
      </c>
      <c r="T34" s="66"/>
    </row>
    <row r="35" spans="1:20" s="382" customFormat="1">
      <c r="A35" s="870" t="s">
        <v>107</v>
      </c>
      <c r="B35" s="867"/>
      <c r="C35" s="531" t="s">
        <v>639</v>
      </c>
      <c r="D35" s="531" t="s">
        <v>639</v>
      </c>
      <c r="E35" s="531" t="s">
        <v>639</v>
      </c>
      <c r="F35" s="531" t="s">
        <v>639</v>
      </c>
      <c r="G35" s="531" t="s">
        <v>639</v>
      </c>
      <c r="H35" s="531" t="s">
        <v>639</v>
      </c>
      <c r="I35" s="531" t="s">
        <v>639</v>
      </c>
      <c r="J35" s="531" t="s">
        <v>639</v>
      </c>
      <c r="K35" s="531" t="s">
        <v>639</v>
      </c>
      <c r="L35" s="531" t="s">
        <v>639</v>
      </c>
      <c r="M35" s="531" t="s">
        <v>639</v>
      </c>
      <c r="N35" s="531" t="s">
        <v>639</v>
      </c>
      <c r="O35" s="531" t="s">
        <v>639</v>
      </c>
      <c r="P35" s="531" t="s">
        <v>639</v>
      </c>
      <c r="Q35" s="531" t="s">
        <v>639</v>
      </c>
      <c r="R35" s="869" t="s">
        <v>639</v>
      </c>
      <c r="S35" s="562" t="s">
        <v>639</v>
      </c>
      <c r="T35" s="66"/>
    </row>
    <row r="36" spans="1:20" s="382" customFormat="1" ht="15" thickBot="1">
      <c r="A36" s="634" t="s">
        <v>541</v>
      </c>
      <c r="B36" s="639"/>
      <c r="C36" s="531" t="s">
        <v>639</v>
      </c>
      <c r="D36" s="531" t="s">
        <v>639</v>
      </c>
      <c r="E36" s="531" t="s">
        <v>639</v>
      </c>
      <c r="F36" s="531" t="s">
        <v>639</v>
      </c>
      <c r="G36" s="531" t="s">
        <v>639</v>
      </c>
      <c r="H36" s="531" t="s">
        <v>639</v>
      </c>
      <c r="I36" s="531" t="s">
        <v>639</v>
      </c>
      <c r="J36" s="531" t="s">
        <v>639</v>
      </c>
      <c r="K36" s="531" t="s">
        <v>639</v>
      </c>
      <c r="L36" s="531" t="s">
        <v>639</v>
      </c>
      <c r="M36" s="531" t="s">
        <v>639</v>
      </c>
      <c r="N36" s="531" t="s">
        <v>639</v>
      </c>
      <c r="O36" s="531" t="s">
        <v>639</v>
      </c>
      <c r="P36" s="531" t="s">
        <v>639</v>
      </c>
      <c r="Q36" s="531" t="s">
        <v>639</v>
      </c>
      <c r="R36" s="869" t="s">
        <v>639</v>
      </c>
      <c r="S36" s="952" t="s">
        <v>639</v>
      </c>
      <c r="T36" s="66"/>
    </row>
    <row r="37" spans="1:20" s="382" customFormat="1" ht="15.75" thickBot="1">
      <c r="A37" s="537" t="s">
        <v>203</v>
      </c>
      <c r="B37" s="642"/>
      <c r="C37" s="637">
        <f>SUM(C22,C25,C30,C36)</f>
        <v>10993.491960817992</v>
      </c>
      <c r="D37" s="637">
        <f t="shared" ref="D37:R37" si="10">SUM(D22,D25,D30,D36)</f>
        <v>0</v>
      </c>
      <c r="E37" s="637">
        <f t="shared" si="10"/>
        <v>2474.8397596098416</v>
      </c>
      <c r="F37" s="637">
        <f t="shared" si="10"/>
        <v>1213.2846174668807</v>
      </c>
      <c r="G37" s="637">
        <f t="shared" si="10"/>
        <v>0</v>
      </c>
      <c r="H37" s="637">
        <f t="shared" si="10"/>
        <v>399011.94757440733</v>
      </c>
      <c r="I37" s="637">
        <f t="shared" si="10"/>
        <v>182533.95972684186</v>
      </c>
      <c r="J37" s="637">
        <f t="shared" si="10"/>
        <v>0</v>
      </c>
      <c r="K37" s="637">
        <f t="shared" si="10"/>
        <v>0</v>
      </c>
      <c r="L37" s="637">
        <f t="shared" si="10"/>
        <v>0</v>
      </c>
      <c r="M37" s="637">
        <f t="shared" si="10"/>
        <v>0</v>
      </c>
      <c r="N37" s="637">
        <f t="shared" si="10"/>
        <v>194.05187093824833</v>
      </c>
      <c r="O37" s="637">
        <f t="shared" si="10"/>
        <v>62248.059869704943</v>
      </c>
      <c r="P37" s="637">
        <f t="shared" si="10"/>
        <v>0</v>
      </c>
      <c r="Q37" s="637">
        <f t="shared" si="10"/>
        <v>0</v>
      </c>
      <c r="R37" s="637">
        <f t="shared" si="10"/>
        <v>0</v>
      </c>
      <c r="S37" s="637">
        <f>SUM(C37:R37)</f>
        <v>658669.63537978707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493</v>
      </c>
      <c r="B39" s="639"/>
      <c r="C39" s="531">
        <f>+landbouw!B9</f>
        <v>1703.5353607300572</v>
      </c>
      <c r="D39" s="531">
        <f>+landbouw!C9</f>
        <v>0</v>
      </c>
      <c r="E39" s="531">
        <f>+landbouw!D9</f>
        <v>765.37803215999998</v>
      </c>
      <c r="F39" s="531">
        <f>+landbouw!E9</f>
        <v>62.146218969460044</v>
      </c>
      <c r="G39" s="531">
        <f>+landbouw!F9</f>
        <v>6291.3518688362592</v>
      </c>
      <c r="H39" s="531" t="str">
        <f>+landbouw!G9</f>
        <v>NE</v>
      </c>
      <c r="I39" s="531" t="str">
        <f>+landbouw!H9</f>
        <v>NE</v>
      </c>
      <c r="J39" s="531" t="str">
        <f>+landbouw!I9</f>
        <v>NE</v>
      </c>
      <c r="K39" s="531">
        <f>+landbouw!J9</f>
        <v>200.09147742027352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9022.5029581160506</v>
      </c>
      <c r="T39" s="66"/>
    </row>
    <row r="40" spans="1:20" s="382" customFormat="1" ht="15" thickBot="1">
      <c r="A40" s="654" t="s">
        <v>539</v>
      </c>
      <c r="B40" s="748"/>
      <c r="C40" s="749">
        <f>IF(Onbekend_ele_kWh="---",0,Onbekend_ele_kWh)/1000+IF(REST_rest_ele_kWh="---",0,REST_rest_ele_kWh)/1000</f>
        <v>6642.8704900000002</v>
      </c>
      <c r="D40" s="749" t="s">
        <v>639</v>
      </c>
      <c r="E40" s="749">
        <f>IF(onbekend_gas_kWh="---",0,onbekend_gas_kWh)/1000+IF(REST_rest_gas_kWh="---",0,REST_rest_gas_kWh)/1000</f>
        <v>20384.183539999998</v>
      </c>
      <c r="F40" s="749" t="s">
        <v>639</v>
      </c>
      <c r="G40" s="749" t="s">
        <v>639</v>
      </c>
      <c r="H40" s="749" t="s">
        <v>639</v>
      </c>
      <c r="I40" s="749" t="s">
        <v>639</v>
      </c>
      <c r="J40" s="749" t="s">
        <v>639</v>
      </c>
      <c r="K40" s="749" t="s">
        <v>639</v>
      </c>
      <c r="L40" s="749" t="s">
        <v>639</v>
      </c>
      <c r="M40" s="749" t="s">
        <v>639</v>
      </c>
      <c r="N40" s="749" t="s">
        <v>639</v>
      </c>
      <c r="O40" s="749" t="s">
        <v>639</v>
      </c>
      <c r="P40" s="749" t="s">
        <v>639</v>
      </c>
      <c r="Q40" s="749" t="s">
        <v>639</v>
      </c>
      <c r="R40" s="749" t="s">
        <v>639</v>
      </c>
      <c r="S40" s="533">
        <f>SUM(C40:R40)</f>
        <v>27027.054029999999</v>
      </c>
      <c r="T40" s="66"/>
    </row>
    <row r="41" spans="1:20" s="382" customFormat="1" ht="15.75" thickBot="1">
      <c r="A41" s="537" t="s">
        <v>540</v>
      </c>
      <c r="B41" s="642"/>
      <c r="C41" s="637">
        <f>SUM(C39:C40)</f>
        <v>8346.4058507300579</v>
      </c>
      <c r="D41" s="637">
        <f t="shared" ref="D41:R41" si="11">SUM(D39:D40)</f>
        <v>0</v>
      </c>
      <c r="E41" s="637">
        <f t="shared" si="11"/>
        <v>21149.561572159997</v>
      </c>
      <c r="F41" s="637">
        <f t="shared" si="11"/>
        <v>62.146218969460044</v>
      </c>
      <c r="G41" s="637">
        <f t="shared" si="11"/>
        <v>6291.3518688362592</v>
      </c>
      <c r="H41" s="637">
        <f t="shared" si="11"/>
        <v>0</v>
      </c>
      <c r="I41" s="637">
        <f t="shared" si="11"/>
        <v>0</v>
      </c>
      <c r="J41" s="637">
        <f t="shared" si="11"/>
        <v>0</v>
      </c>
      <c r="K41" s="637">
        <f t="shared" si="11"/>
        <v>200.09147742027352</v>
      </c>
      <c r="L41" s="637">
        <f t="shared" si="11"/>
        <v>0</v>
      </c>
      <c r="M41" s="637">
        <f t="shared" si="11"/>
        <v>0</v>
      </c>
      <c r="N41" s="637">
        <f t="shared" si="11"/>
        <v>0</v>
      </c>
      <c r="O41" s="637">
        <f t="shared" si="11"/>
        <v>0</v>
      </c>
      <c r="P41" s="637">
        <f t="shared" si="11"/>
        <v>0</v>
      </c>
      <c r="Q41" s="637">
        <f t="shared" si="11"/>
        <v>0</v>
      </c>
      <c r="R41" s="637">
        <f t="shared" si="11"/>
        <v>0</v>
      </c>
      <c r="S41" s="637">
        <f>SUM(C41:R41)</f>
        <v>36049.556988116048</v>
      </c>
      <c r="T41" s="66"/>
    </row>
    <row r="42" spans="1:20" s="382" customFormat="1" ht="17.25" thickTop="1" thickBot="1">
      <c r="A42" s="538" t="s">
        <v>96</v>
      </c>
      <c r="B42" s="630"/>
      <c r="C42" s="539">
        <f t="shared" ref="C42:S42" si="12">C37+C20+C41</f>
        <v>372005.84169859544</v>
      </c>
      <c r="D42" s="539">
        <f t="shared" si="12"/>
        <v>10394.531022788356</v>
      </c>
      <c r="E42" s="539">
        <f t="shared" si="12"/>
        <v>514111.75778987689</v>
      </c>
      <c r="F42" s="539">
        <f t="shared" si="12"/>
        <v>9762.0371009375722</v>
      </c>
      <c r="G42" s="539">
        <f t="shared" si="12"/>
        <v>172768.89882082466</v>
      </c>
      <c r="H42" s="539">
        <f t="shared" si="12"/>
        <v>399011.94757440733</v>
      </c>
      <c r="I42" s="539">
        <f t="shared" si="12"/>
        <v>182536.75757997067</v>
      </c>
      <c r="J42" s="539">
        <f t="shared" si="12"/>
        <v>0</v>
      </c>
      <c r="K42" s="539">
        <f t="shared" si="12"/>
        <v>1374.6722987487462</v>
      </c>
      <c r="L42" s="539">
        <f t="shared" si="12"/>
        <v>0</v>
      </c>
      <c r="M42" s="539">
        <f t="shared" si="12"/>
        <v>0</v>
      </c>
      <c r="N42" s="539">
        <f t="shared" si="12"/>
        <v>194.05187093824833</v>
      </c>
      <c r="O42" s="539">
        <f t="shared" si="12"/>
        <v>62248.059869704943</v>
      </c>
      <c r="P42" s="539">
        <f t="shared" si="12"/>
        <v>51677.454880443292</v>
      </c>
      <c r="Q42" s="539">
        <f t="shared" si="12"/>
        <v>0</v>
      </c>
      <c r="R42" s="539">
        <f t="shared" si="12"/>
        <v>0</v>
      </c>
      <c r="S42" s="539">
        <f t="shared" si="12"/>
        <v>1776086.010507236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651</v>
      </c>
      <c r="C44" s="872" t="s">
        <v>658</v>
      </c>
      <c r="D44" s="541"/>
      <c r="E44" s="541"/>
      <c r="F44" s="541"/>
      <c r="G44" s="541"/>
      <c r="H44" s="541"/>
      <c r="I44" s="541"/>
      <c r="J44" s="541"/>
      <c r="K44" s="541"/>
      <c r="L44" s="541"/>
      <c r="M44" s="541"/>
      <c r="N44" s="541"/>
      <c r="O44" s="541"/>
      <c r="P44" s="541"/>
      <c r="Q44" s="541"/>
      <c r="R44" s="541"/>
      <c r="S44" s="541"/>
    </row>
    <row r="45" spans="1:20" ht="41.25" customHeight="1" thickTop="1" thickBot="1">
      <c r="A45" s="542" t="s">
        <v>653</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652</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654</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1848.077923904897</v>
      </c>
      <c r="D55" s="531">
        <f t="shared" ref="D55:R55" si="13">SUM(D56:D58)</f>
        <v>83.791782963172906</v>
      </c>
      <c r="E55" s="531">
        <f t="shared" si="13"/>
        <v>2104.2668037836352</v>
      </c>
      <c r="F55" s="531">
        <f t="shared" si="13"/>
        <v>0</v>
      </c>
      <c r="G55" s="531">
        <f t="shared" si="13"/>
        <v>239.0331495218413</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4275.1696601735466</v>
      </c>
    </row>
    <row r="56" spans="1:19">
      <c r="A56" s="899" t="s">
        <v>197</v>
      </c>
      <c r="B56" s="652"/>
      <c r="C56" s="531">
        <f>'Eigen gebouwen'!B10</f>
        <v>952.05707996806348</v>
      </c>
      <c r="D56" s="531">
        <f>'Eigen gebouwen'!C10</f>
        <v>83.791782963172906</v>
      </c>
      <c r="E56" s="531">
        <f>'Eigen gebouwen'!D10</f>
        <v>2104.2668037836352</v>
      </c>
      <c r="F56" s="531">
        <f>'Eigen gebouwen'!E10</f>
        <v>0</v>
      </c>
      <c r="G56" s="531">
        <f>'Eigen gebouwen'!F10</f>
        <v>239.0331495218413</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3379.1488162367127</v>
      </c>
    </row>
    <row r="57" spans="1:19">
      <c r="A57" s="900" t="s">
        <v>410</v>
      </c>
      <c r="B57" s="652"/>
      <c r="C57" s="531">
        <f>'Eigen openbare verlichting'!B10</f>
        <v>896.02084393683356</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896.02084393683356</v>
      </c>
    </row>
    <row r="58" spans="1:19">
      <c r="A58" s="902" t="s">
        <v>107</v>
      </c>
      <c r="B58" s="898"/>
      <c r="C58" s="868" t="s">
        <v>670</v>
      </c>
      <c r="D58" s="868" t="s">
        <v>670</v>
      </c>
      <c r="E58" s="868" t="s">
        <v>670</v>
      </c>
      <c r="F58" s="868" t="s">
        <v>670</v>
      </c>
      <c r="G58" s="868" t="s">
        <v>670</v>
      </c>
      <c r="H58" s="868" t="s">
        <v>670</v>
      </c>
      <c r="I58" s="868" t="s">
        <v>670</v>
      </c>
      <c r="J58" s="868" t="s">
        <v>670</v>
      </c>
      <c r="K58" s="868" t="s">
        <v>670</v>
      </c>
      <c r="L58" s="868" t="s">
        <v>670</v>
      </c>
      <c r="M58" s="868" t="s">
        <v>670</v>
      </c>
      <c r="N58" s="868" t="s">
        <v>670</v>
      </c>
      <c r="O58" s="868" t="s">
        <v>670</v>
      </c>
      <c r="P58" s="868" t="s">
        <v>670</v>
      </c>
      <c r="Q58" s="868" t="s">
        <v>670</v>
      </c>
      <c r="R58" s="869" t="s">
        <v>670</v>
      </c>
      <c r="S58" s="562" t="s">
        <v>670</v>
      </c>
    </row>
    <row r="59" spans="1:19">
      <c r="A59" s="635" t="s">
        <v>198</v>
      </c>
      <c r="B59" s="898"/>
      <c r="C59" s="868">
        <f>SUM(C60:C61)</f>
        <v>33498.825462344561</v>
      </c>
      <c r="D59" s="868">
        <f t="shared" ref="D59:R59" si="15">SUM(D60:D61)</f>
        <v>2066.3206825193442</v>
      </c>
      <c r="E59" s="868">
        <f t="shared" si="15"/>
        <v>30736.958959211264</v>
      </c>
      <c r="F59" s="868">
        <f t="shared" si="15"/>
        <v>64.360133233480042</v>
      </c>
      <c r="G59" s="868">
        <f t="shared" si="15"/>
        <v>5524.4664338268858</v>
      </c>
      <c r="H59" s="868">
        <f t="shared" si="15"/>
        <v>0</v>
      </c>
      <c r="I59" s="868">
        <f t="shared" si="15"/>
        <v>0.69666542907009865</v>
      </c>
      <c r="J59" s="868">
        <f t="shared" si="15"/>
        <v>0</v>
      </c>
      <c r="K59" s="868">
        <f t="shared" si="15"/>
        <v>4.7191235060432234E-2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71891.675527799671</v>
      </c>
    </row>
    <row r="60" spans="1:19">
      <c r="A60" s="902" t="s">
        <v>645</v>
      </c>
      <c r="B60" s="898"/>
      <c r="C60" s="868" t="s">
        <v>670</v>
      </c>
      <c r="D60" s="868" t="s">
        <v>670</v>
      </c>
      <c r="E60" s="868" t="s">
        <v>670</v>
      </c>
      <c r="F60" s="868" t="s">
        <v>670</v>
      </c>
      <c r="G60" s="868" t="s">
        <v>670</v>
      </c>
      <c r="H60" s="868" t="s">
        <v>670</v>
      </c>
      <c r="I60" s="868" t="s">
        <v>670</v>
      </c>
      <c r="J60" s="868" t="s">
        <v>670</v>
      </c>
      <c r="K60" s="868" t="s">
        <v>670</v>
      </c>
      <c r="L60" s="868" t="s">
        <v>670</v>
      </c>
      <c r="M60" s="868" t="s">
        <v>670</v>
      </c>
      <c r="N60" s="868" t="s">
        <v>670</v>
      </c>
      <c r="O60" s="868" t="s">
        <v>670</v>
      </c>
      <c r="P60" s="868" t="s">
        <v>670</v>
      </c>
      <c r="Q60" s="868" t="s">
        <v>670</v>
      </c>
      <c r="R60" s="869" t="s">
        <v>670</v>
      </c>
      <c r="S60" s="562" t="s">
        <v>670</v>
      </c>
    </row>
    <row r="61" spans="1:19">
      <c r="A61" s="871" t="s">
        <v>107</v>
      </c>
      <c r="B61" s="653"/>
      <c r="C61" s="531">
        <f>tertiair!B21+'openbare verlichting'!B12</f>
        <v>33498.825462344561</v>
      </c>
      <c r="D61" s="531">
        <f>tertiair!C21</f>
        <v>2066.3206825193442</v>
      </c>
      <c r="E61" s="531">
        <f>tertiair!D21</f>
        <v>30736.958959211264</v>
      </c>
      <c r="F61" s="531">
        <f>tertiair!E21</f>
        <v>64.360133233480042</v>
      </c>
      <c r="G61" s="531">
        <f>tertiair!F21</f>
        <v>5524.4664338268858</v>
      </c>
      <c r="H61" s="531" t="str">
        <f>tertiair!G21</f>
        <v>NE</v>
      </c>
      <c r="I61" s="531">
        <f>tertiair!H21</f>
        <v>0.69666542907009865</v>
      </c>
      <c r="J61" s="531" t="str">
        <f>tertiair!I21</f>
        <v>NE</v>
      </c>
      <c r="K61" s="531">
        <f>tertiair!J21</f>
        <v>4.7191235060432234E-2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71891.675527799671</v>
      </c>
    </row>
    <row r="62" spans="1:19" ht="14.45" customHeight="1">
      <c r="A62" s="647" t="s">
        <v>646</v>
      </c>
      <c r="B62" s="652"/>
      <c r="C62" s="531">
        <f>huishoudens!B13</f>
        <v>19389.469516956182</v>
      </c>
      <c r="D62" s="531">
        <f>huishoudens!C13</f>
        <v>43.29475939479903</v>
      </c>
      <c r="E62" s="531">
        <f>huishoudens!D13</f>
        <v>54432.174820883687</v>
      </c>
      <c r="F62" s="531">
        <f>huishoudens!E13</f>
        <v>1689.1315996463263</v>
      </c>
      <c r="G62" s="531">
        <f>huishoudens!F13</f>
        <v>32283.809775286114</v>
      </c>
      <c r="H62" s="531" t="str">
        <f>huishoudens!G13</f>
        <v>NE</v>
      </c>
      <c r="I62" s="531" t="str">
        <f>huishoudens!H13</f>
        <v>NE</v>
      </c>
      <c r="J62" s="531" t="str">
        <f>huishoudens!I13</f>
        <v>NE</v>
      </c>
      <c r="K62" s="531">
        <f>huishoudens!J13</f>
        <v>343.12672979017668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108181.00720195728</v>
      </c>
    </row>
    <row r="63" spans="1:19">
      <c r="A63" s="647" t="s">
        <v>498</v>
      </c>
      <c r="B63" s="660" t="s">
        <v>495</v>
      </c>
      <c r="C63" s="531">
        <f>industrie!B23</f>
        <v>8473.0592498145234</v>
      </c>
      <c r="D63" s="531">
        <f>industrie!C23</f>
        <v>116.74192447430717</v>
      </c>
      <c r="E63" s="531">
        <f>industrie!D23</f>
        <v>11805.045420659038</v>
      </c>
      <c r="F63" s="531">
        <f>industrie!E23</f>
        <v>172.96788916197303</v>
      </c>
      <c r="G63" s="531">
        <f>industrie!F23</f>
        <v>6402.1956775460612</v>
      </c>
      <c r="H63" s="531" t="str">
        <f>industrie!G23</f>
        <v>NE</v>
      </c>
      <c r="I63" s="531">
        <f>industrie!H23</f>
        <v>0</v>
      </c>
      <c r="J63" s="531" t="str">
        <f>industrie!I23</f>
        <v>NE</v>
      </c>
      <c r="K63" s="531">
        <f>industrie!J23</f>
        <v>72.627689725042245</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27042.637851380947</v>
      </c>
    </row>
    <row r="64" spans="1:19">
      <c r="A64" s="647"/>
      <c r="B64" s="652" t="s">
        <v>496</v>
      </c>
      <c r="C64" s="531" t="s">
        <v>639</v>
      </c>
      <c r="D64" s="531" t="s">
        <v>639</v>
      </c>
      <c r="E64" s="531" t="s">
        <v>639</v>
      </c>
      <c r="F64" s="531" t="s">
        <v>639</v>
      </c>
      <c r="G64" s="531" t="s">
        <v>639</v>
      </c>
      <c r="H64" s="531" t="s">
        <v>639</v>
      </c>
      <c r="I64" s="531" t="s">
        <v>639</v>
      </c>
      <c r="J64" s="531" t="s">
        <v>639</v>
      </c>
      <c r="K64" s="531" t="s">
        <v>639</v>
      </c>
      <c r="L64" s="531" t="s">
        <v>639</v>
      </c>
      <c r="M64" s="531" t="s">
        <v>639</v>
      </c>
      <c r="N64" s="531" t="s">
        <v>639</v>
      </c>
      <c r="O64" s="531" t="s">
        <v>639</v>
      </c>
      <c r="P64" s="531" t="s">
        <v>639</v>
      </c>
      <c r="Q64" s="531" t="s">
        <v>639</v>
      </c>
      <c r="R64" s="869" t="s">
        <v>639</v>
      </c>
      <c r="S64" s="562" t="s">
        <v>639</v>
      </c>
    </row>
    <row r="65" spans="1:19" ht="15" thickBot="1">
      <c r="A65" s="747" t="s">
        <v>538</v>
      </c>
      <c r="B65" s="750"/>
      <c r="C65" s="531" t="s">
        <v>639</v>
      </c>
      <c r="D65" s="531" t="s">
        <v>639</v>
      </c>
      <c r="E65" s="531" t="s">
        <v>639</v>
      </c>
      <c r="F65" s="531" t="s">
        <v>639</v>
      </c>
      <c r="G65" s="531" t="s">
        <v>639</v>
      </c>
      <c r="H65" s="531" t="s">
        <v>639</v>
      </c>
      <c r="I65" s="531" t="s">
        <v>639</v>
      </c>
      <c r="J65" s="531" t="s">
        <v>639</v>
      </c>
      <c r="K65" s="531" t="s">
        <v>639</v>
      </c>
      <c r="L65" s="531" t="s">
        <v>639</v>
      </c>
      <c r="M65" s="531" t="s">
        <v>639</v>
      </c>
      <c r="N65" s="531" t="s">
        <v>639</v>
      </c>
      <c r="O65" s="531" t="s">
        <v>639</v>
      </c>
      <c r="P65" s="531" t="s">
        <v>639</v>
      </c>
      <c r="Q65" s="531" t="s">
        <v>639</v>
      </c>
      <c r="R65" s="869" t="s">
        <v>639</v>
      </c>
      <c r="S65" s="952" t="s">
        <v>639</v>
      </c>
    </row>
    <row r="66" spans="1:19" ht="15.75" thickBot="1">
      <c r="A66" s="648" t="s">
        <v>199</v>
      </c>
      <c r="B66" s="659"/>
      <c r="C66" s="564">
        <f>SUM(C55,C59,C62,C63,C64,C65)</f>
        <v>63209.432153020156</v>
      </c>
      <c r="D66" s="564">
        <f t="shared" ref="D66:E66" si="17">SUM(D55,D59,D62,D63,D64,D65)</f>
        <v>2310.1491493516237</v>
      </c>
      <c r="E66" s="564">
        <f t="shared" si="17"/>
        <v>99078.446004537633</v>
      </c>
      <c r="F66" s="564">
        <f t="shared" ref="F66" si="18">SUM(F55,F59,F62,F63,F64,F65)</f>
        <v>1926.4596220417795</v>
      </c>
      <c r="G66" s="564">
        <f t="shared" ref="G66" si="19">SUM(G55,G59,G62,G63,G64,G65)</f>
        <v>44449.505036180904</v>
      </c>
      <c r="H66" s="564">
        <f t="shared" ref="H66" si="20">SUM(H55,H59,H62,H63,H64,H65)</f>
        <v>0</v>
      </c>
      <c r="I66" s="564">
        <f t="shared" ref="I66" si="21">SUM(I55,I59,I62,I63,I64,I65)</f>
        <v>0.69666542907009865</v>
      </c>
      <c r="J66" s="564">
        <f t="shared" ref="J66" si="22">SUM(J55,J59,J62,J63,J64,J65)</f>
        <v>0</v>
      </c>
      <c r="K66" s="564">
        <f t="shared" ref="K66" si="23">SUM(K55,K59,K62,K63,K64,K65)</f>
        <v>415.80161075027934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211390.49024131146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0.14927792339979173</v>
      </c>
      <c r="D68" s="531">
        <f t="shared" ref="D68:R68" si="31">SUM(D69:D70)</f>
        <v>0</v>
      </c>
      <c r="E68" s="531">
        <f t="shared" si="31"/>
        <v>21.810546000000002</v>
      </c>
      <c r="F68" s="531">
        <f t="shared" si="31"/>
        <v>0</v>
      </c>
      <c r="G68" s="531">
        <f t="shared" si="31"/>
        <v>0</v>
      </c>
      <c r="H68" s="531">
        <f t="shared" si="31"/>
        <v>396.7409114159795</v>
      </c>
      <c r="I68" s="531">
        <f t="shared" si="31"/>
        <v>50.067314578103193</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468.76804991748247</v>
      </c>
    </row>
    <row r="69" spans="1:19">
      <c r="A69" s="900" t="s">
        <v>647</v>
      </c>
      <c r="B69" s="652"/>
      <c r="C69" s="531">
        <f>'Eigen vloot'!B31</f>
        <v>0.14927792339979173</v>
      </c>
      <c r="D69" s="531" t="str">
        <f>'Eigen vloot'!C31</f>
        <v>NO</v>
      </c>
      <c r="E69" s="531">
        <f>'Eigen vloot'!D31</f>
        <v>21.810546000000002</v>
      </c>
      <c r="F69" s="531">
        <f>'Eigen vloot'!E31</f>
        <v>0</v>
      </c>
      <c r="G69" s="531" t="str">
        <f>'Eigen vloot'!F31</f>
        <v>NO</v>
      </c>
      <c r="H69" s="531">
        <f>'Eigen vloot'!G31</f>
        <v>396.7409114159795</v>
      </c>
      <c r="I69" s="531">
        <f>'Eigen vloot'!H31</f>
        <v>50.067314578103193</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468.76804991748247</v>
      </c>
    </row>
    <row r="70" spans="1:19">
      <c r="A70" s="900" t="s">
        <v>107</v>
      </c>
      <c r="B70" s="898"/>
      <c r="C70" s="868" t="s">
        <v>639</v>
      </c>
      <c r="D70" s="868" t="s">
        <v>639</v>
      </c>
      <c r="E70" s="868" t="s">
        <v>639</v>
      </c>
      <c r="F70" s="868" t="s">
        <v>639</v>
      </c>
      <c r="G70" s="868" t="s">
        <v>639</v>
      </c>
      <c r="H70" s="868" t="s">
        <v>639</v>
      </c>
      <c r="I70" s="868" t="s">
        <v>639</v>
      </c>
      <c r="J70" s="868" t="s">
        <v>639</v>
      </c>
      <c r="K70" s="868" t="s">
        <v>639</v>
      </c>
      <c r="L70" s="868" t="s">
        <v>639</v>
      </c>
      <c r="M70" s="868" t="s">
        <v>639</v>
      </c>
      <c r="N70" s="868" t="s">
        <v>639</v>
      </c>
      <c r="O70" s="868" t="s">
        <v>639</v>
      </c>
      <c r="P70" s="868" t="s">
        <v>639</v>
      </c>
      <c r="Q70" s="868" t="s">
        <v>639</v>
      </c>
      <c r="R70" s="868" t="s">
        <v>639</v>
      </c>
      <c r="S70" s="562" t="s">
        <v>639</v>
      </c>
    </row>
    <row r="71" spans="1:19">
      <c r="A71" s="647" t="s">
        <v>202</v>
      </c>
      <c r="B71" s="652"/>
      <c r="C71" s="531">
        <f>SUM(C72:C75)</f>
        <v>7.2604275396975444</v>
      </c>
      <c r="D71" s="531">
        <f t="shared" ref="D71:R71" si="32">SUM(D72:D75)</f>
        <v>0</v>
      </c>
      <c r="E71" s="531">
        <f t="shared" si="32"/>
        <v>0</v>
      </c>
      <c r="F71" s="531">
        <f t="shared" si="32"/>
        <v>0</v>
      </c>
      <c r="G71" s="531">
        <f t="shared" si="32"/>
        <v>0</v>
      </c>
      <c r="H71" s="531">
        <f t="shared" si="32"/>
        <v>4015.1014075189132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4022.3618350586107</v>
      </c>
    </row>
    <row r="72" spans="1:19">
      <c r="A72" s="904" t="s">
        <v>647</v>
      </c>
      <c r="B72" s="903"/>
      <c r="C72" s="876">
        <f>transport!B51*transport!B56*10^9/3600</f>
        <v>7.2604275396975444</v>
      </c>
      <c r="D72" s="876">
        <f>transport!C51*transport!C56*10^9/3600</f>
        <v>0</v>
      </c>
      <c r="E72" s="876">
        <f>transport!D51*transport!D56*10^9/3600</f>
        <v>0</v>
      </c>
      <c r="F72" s="876">
        <f>transport!E51*transport!E56*10^9/3600</f>
        <v>0</v>
      </c>
      <c r="G72" s="876">
        <f>transport!F51*transport!F56*10^9/3600</f>
        <v>0</v>
      </c>
      <c r="H72" s="876">
        <f>transport!G51*transport!G56*10^9/3600</f>
        <v>4015.1014075189132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4022.3618350586107</v>
      </c>
    </row>
    <row r="73" spans="1:19">
      <c r="A73" s="904" t="s">
        <v>648</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649</v>
      </c>
      <c r="B74" s="903"/>
      <c r="C74" s="876" t="s">
        <v>639</v>
      </c>
      <c r="D74" s="876" t="s">
        <v>639</v>
      </c>
      <c r="E74" s="876" t="s">
        <v>639</v>
      </c>
      <c r="F74" s="876" t="s">
        <v>639</v>
      </c>
      <c r="G74" s="876" t="s">
        <v>639</v>
      </c>
      <c r="H74" s="876" t="s">
        <v>639</v>
      </c>
      <c r="I74" s="876" t="s">
        <v>639</v>
      </c>
      <c r="J74" s="876" t="s">
        <v>639</v>
      </c>
      <c r="K74" s="876" t="s">
        <v>639</v>
      </c>
      <c r="L74" s="876" t="s">
        <v>639</v>
      </c>
      <c r="M74" s="876" t="s">
        <v>639</v>
      </c>
      <c r="N74" s="876" t="s">
        <v>639</v>
      </c>
      <c r="O74" s="876" t="s">
        <v>639</v>
      </c>
      <c r="P74" s="876" t="s">
        <v>639</v>
      </c>
      <c r="Q74" s="876" t="s">
        <v>639</v>
      </c>
      <c r="R74" s="876" t="s">
        <v>639</v>
      </c>
      <c r="S74" s="562" t="s">
        <v>639</v>
      </c>
    </row>
    <row r="75" spans="1:19">
      <c r="A75" s="904" t="s">
        <v>107</v>
      </c>
      <c r="B75" s="903"/>
      <c r="C75" s="876" t="s">
        <v>639</v>
      </c>
      <c r="D75" s="876" t="s">
        <v>639</v>
      </c>
      <c r="E75" s="876" t="s">
        <v>639</v>
      </c>
      <c r="F75" s="876" t="s">
        <v>639</v>
      </c>
      <c r="G75" s="876" t="s">
        <v>639</v>
      </c>
      <c r="H75" s="876" t="s">
        <v>639</v>
      </c>
      <c r="I75" s="876" t="s">
        <v>639</v>
      </c>
      <c r="J75" s="876" t="s">
        <v>639</v>
      </c>
      <c r="K75" s="876" t="s">
        <v>639</v>
      </c>
      <c r="L75" s="876" t="s">
        <v>639</v>
      </c>
      <c r="M75" s="876" t="s">
        <v>639</v>
      </c>
      <c r="N75" s="876" t="s">
        <v>639</v>
      </c>
      <c r="O75" s="876" t="s">
        <v>639</v>
      </c>
      <c r="P75" s="876" t="s">
        <v>639</v>
      </c>
      <c r="Q75" s="876" t="s">
        <v>639</v>
      </c>
      <c r="R75" s="876" t="s">
        <v>639</v>
      </c>
      <c r="S75" s="562" t="s">
        <v>639</v>
      </c>
    </row>
    <row r="76" spans="1:19">
      <c r="A76" s="650" t="s">
        <v>263</v>
      </c>
      <c r="B76" s="903"/>
      <c r="C76" s="876">
        <f>SUM(C77:C81)</f>
        <v>1962.9886169920451</v>
      </c>
      <c r="D76" s="876">
        <f t="shared" ref="D76:R76" si="34">SUM(D77:D81)</f>
        <v>0</v>
      </c>
      <c r="E76" s="876">
        <f t="shared" si="34"/>
        <v>478.10708544118802</v>
      </c>
      <c r="F76" s="876">
        <f t="shared" si="34"/>
        <v>275.4156081649819</v>
      </c>
      <c r="G76" s="876">
        <f t="shared" si="34"/>
        <v>0</v>
      </c>
      <c r="H76" s="876">
        <f t="shared" si="34"/>
        <v>102124.34768343186</v>
      </c>
      <c r="I76" s="876">
        <f t="shared" si="34"/>
        <v>45400.888657405514</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150241.74765143558</v>
      </c>
    </row>
    <row r="77" spans="1:19">
      <c r="A77" s="905" t="s">
        <v>647</v>
      </c>
      <c r="B77" s="658"/>
      <c r="C77" s="536">
        <f>transport!B18</f>
        <v>1962.9886169920451</v>
      </c>
      <c r="D77" s="536" t="str">
        <f>transport!C18</f>
        <v>NO</v>
      </c>
      <c r="E77" s="536">
        <f>transport!D18</f>
        <v>478.10708544118802</v>
      </c>
      <c r="F77" s="536">
        <f>transport!E18</f>
        <v>275.4156081649819</v>
      </c>
      <c r="G77" s="536" t="str">
        <f>transport!F18</f>
        <v>NO</v>
      </c>
      <c r="H77" s="536">
        <f>transport!G18</f>
        <v>102124.34768343186</v>
      </c>
      <c r="I77" s="536">
        <f>transport!H18</f>
        <v>45400.888657405514</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150241.74765143558</v>
      </c>
    </row>
    <row r="78" spans="1:19">
      <c r="A78" s="904" t="s">
        <v>648</v>
      </c>
      <c r="B78" s="903"/>
      <c r="C78" s="876" t="s">
        <v>639</v>
      </c>
      <c r="D78" s="876" t="s">
        <v>639</v>
      </c>
      <c r="E78" s="876" t="s">
        <v>639</v>
      </c>
      <c r="F78" s="876" t="s">
        <v>639</v>
      </c>
      <c r="G78" s="876" t="s">
        <v>639</v>
      </c>
      <c r="H78" s="876" t="s">
        <v>639</v>
      </c>
      <c r="I78" s="876" t="s">
        <v>639</v>
      </c>
      <c r="J78" s="876" t="s">
        <v>639</v>
      </c>
      <c r="K78" s="876" t="s">
        <v>639</v>
      </c>
      <c r="L78" s="876" t="s">
        <v>639</v>
      </c>
      <c r="M78" s="876" t="s">
        <v>639</v>
      </c>
      <c r="N78" s="876" t="s">
        <v>639</v>
      </c>
      <c r="O78" s="876" t="s">
        <v>639</v>
      </c>
      <c r="P78" s="876" t="s">
        <v>639</v>
      </c>
      <c r="Q78" s="876" t="s">
        <v>639</v>
      </c>
      <c r="R78" s="876" t="s">
        <v>639</v>
      </c>
      <c r="S78" s="563" t="s">
        <v>639</v>
      </c>
    </row>
    <row r="79" spans="1:19">
      <c r="A79" s="904" t="s">
        <v>649</v>
      </c>
      <c r="B79" s="903"/>
      <c r="C79" s="876" t="s">
        <v>639</v>
      </c>
      <c r="D79" s="876" t="s">
        <v>639</v>
      </c>
      <c r="E79" s="876" t="s">
        <v>639</v>
      </c>
      <c r="F79" s="876" t="s">
        <v>639</v>
      </c>
      <c r="G79" s="876" t="s">
        <v>639</v>
      </c>
      <c r="H79" s="876" t="s">
        <v>639</v>
      </c>
      <c r="I79" s="876" t="s">
        <v>639</v>
      </c>
      <c r="J79" s="876" t="s">
        <v>639</v>
      </c>
      <c r="K79" s="876" t="s">
        <v>639</v>
      </c>
      <c r="L79" s="876" t="s">
        <v>639</v>
      </c>
      <c r="M79" s="876" t="s">
        <v>639</v>
      </c>
      <c r="N79" s="876" t="s">
        <v>639</v>
      </c>
      <c r="O79" s="876" t="s">
        <v>639</v>
      </c>
      <c r="P79" s="876" t="s">
        <v>639</v>
      </c>
      <c r="Q79" s="876" t="s">
        <v>639</v>
      </c>
      <c r="R79" s="876" t="s">
        <v>639</v>
      </c>
      <c r="S79" s="563" t="s">
        <v>639</v>
      </c>
    </row>
    <row r="80" spans="1:19">
      <c r="A80" s="904" t="s">
        <v>650</v>
      </c>
      <c r="B80" s="903"/>
      <c r="C80" s="876" t="s">
        <v>639</v>
      </c>
      <c r="D80" s="876" t="s">
        <v>639</v>
      </c>
      <c r="E80" s="876" t="s">
        <v>639</v>
      </c>
      <c r="F80" s="876" t="s">
        <v>639</v>
      </c>
      <c r="G80" s="876" t="s">
        <v>639</v>
      </c>
      <c r="H80" s="876" t="s">
        <v>639</v>
      </c>
      <c r="I80" s="876" t="s">
        <v>639</v>
      </c>
      <c r="J80" s="876" t="s">
        <v>639</v>
      </c>
      <c r="K80" s="876" t="s">
        <v>639</v>
      </c>
      <c r="L80" s="876" t="s">
        <v>639</v>
      </c>
      <c r="M80" s="876" t="s">
        <v>639</v>
      </c>
      <c r="N80" s="876" t="s">
        <v>639</v>
      </c>
      <c r="O80" s="876" t="s">
        <v>639</v>
      </c>
      <c r="P80" s="876" t="s">
        <v>639</v>
      </c>
      <c r="Q80" s="876" t="s">
        <v>639</v>
      </c>
      <c r="R80" s="876" t="s">
        <v>639</v>
      </c>
      <c r="S80" s="563" t="s">
        <v>639</v>
      </c>
    </row>
    <row r="81" spans="1:20">
      <c r="A81" s="904" t="s">
        <v>107</v>
      </c>
      <c r="B81" s="903"/>
      <c r="C81" s="876" t="s">
        <v>639</v>
      </c>
      <c r="D81" s="876" t="s">
        <v>639</v>
      </c>
      <c r="E81" s="876" t="s">
        <v>639</v>
      </c>
      <c r="F81" s="876" t="s">
        <v>639</v>
      </c>
      <c r="G81" s="876" t="s">
        <v>639</v>
      </c>
      <c r="H81" s="876" t="s">
        <v>639</v>
      </c>
      <c r="I81" s="876" t="s">
        <v>639</v>
      </c>
      <c r="J81" s="876" t="s">
        <v>639</v>
      </c>
      <c r="K81" s="876" t="s">
        <v>639</v>
      </c>
      <c r="L81" s="876" t="s">
        <v>639</v>
      </c>
      <c r="M81" s="876" t="s">
        <v>639</v>
      </c>
      <c r="N81" s="876" t="s">
        <v>639</v>
      </c>
      <c r="O81" s="876" t="s">
        <v>639</v>
      </c>
      <c r="P81" s="876" t="s">
        <v>639</v>
      </c>
      <c r="Q81" s="876" t="s">
        <v>639</v>
      </c>
      <c r="R81" s="876" t="s">
        <v>639</v>
      </c>
      <c r="S81" s="563" t="s">
        <v>639</v>
      </c>
    </row>
    <row r="82" spans="1:20" ht="15" thickBot="1">
      <c r="A82" s="647" t="s">
        <v>541</v>
      </c>
      <c r="B82" s="652"/>
      <c r="C82" s="531" t="s">
        <v>639</v>
      </c>
      <c r="D82" s="531" t="s">
        <v>639</v>
      </c>
      <c r="E82" s="531" t="s">
        <v>639</v>
      </c>
      <c r="F82" s="531" t="s">
        <v>639</v>
      </c>
      <c r="G82" s="531" t="s">
        <v>639</v>
      </c>
      <c r="H82" s="531" t="s">
        <v>639</v>
      </c>
      <c r="I82" s="531" t="s">
        <v>639</v>
      </c>
      <c r="J82" s="531" t="s">
        <v>639</v>
      </c>
      <c r="K82" s="531" t="s">
        <v>639</v>
      </c>
      <c r="L82" s="531" t="s">
        <v>639</v>
      </c>
      <c r="M82" s="531" t="s">
        <v>639</v>
      </c>
      <c r="N82" s="531" t="s">
        <v>639</v>
      </c>
      <c r="O82" s="531" t="s">
        <v>639</v>
      </c>
      <c r="P82" s="531" t="s">
        <v>639</v>
      </c>
      <c r="Q82" s="531" t="s">
        <v>639</v>
      </c>
      <c r="R82" s="531" t="s">
        <v>639</v>
      </c>
      <c r="S82" s="563" t="s">
        <v>639</v>
      </c>
    </row>
    <row r="83" spans="1:20" ht="15.75" thickBot="1">
      <c r="A83" s="648" t="s">
        <v>203</v>
      </c>
      <c r="B83" s="659"/>
      <c r="C83" s="564">
        <f>SUM(C68,C71,C76,C82)</f>
        <v>1970.3983224551423</v>
      </c>
      <c r="D83" s="564">
        <f t="shared" ref="D83:R83" si="35">SUM(D68,D71,D76,D82)</f>
        <v>0</v>
      </c>
      <c r="E83" s="564">
        <f t="shared" si="35"/>
        <v>499.91763144118801</v>
      </c>
      <c r="F83" s="564">
        <f t="shared" si="35"/>
        <v>275.4156081649819</v>
      </c>
      <c r="G83" s="564">
        <f t="shared" si="35"/>
        <v>0</v>
      </c>
      <c r="H83" s="564">
        <f t="shared" si="35"/>
        <v>106536.19000236675</v>
      </c>
      <c r="I83" s="564">
        <f t="shared" si="35"/>
        <v>45450.955971983618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154732.87753641169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493</v>
      </c>
      <c r="B85" s="658"/>
      <c r="C85" s="536">
        <f>+landbouw!B13</f>
        <v>305.33002880149127</v>
      </c>
      <c r="D85" s="536">
        <f>+landbouw!C13</f>
        <v>0</v>
      </c>
      <c r="E85" s="536">
        <f>+landbouw!D13</f>
        <v>154.60636249632</v>
      </c>
      <c r="F85" s="536">
        <f>+landbouw!E13</f>
        <v>14.107191706067431</v>
      </c>
      <c r="G85" s="536">
        <f>+landbouw!F13</f>
        <v>1679.7909489792812</v>
      </c>
      <c r="H85" s="536" t="str">
        <f>+landbouw!G13</f>
        <v>NE</v>
      </c>
      <c r="I85" s="536" t="str">
        <f>+landbouw!H13</f>
        <v>NE</v>
      </c>
      <c r="J85" s="536" t="str">
        <f>+landbouw!I13</f>
        <v>NE</v>
      </c>
      <c r="K85" s="536">
        <f>+landbouw!J13</f>
        <v>70.832383006776823</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2224.6669149899371</v>
      </c>
    </row>
    <row r="86" spans="1:20" ht="15" thickBot="1">
      <c r="A86" s="650" t="s">
        <v>539</v>
      </c>
      <c r="B86" s="658"/>
      <c r="C86" s="536">
        <f>C40*'EF ele_warmte'!B13</f>
        <v>1190.6226808036752</v>
      </c>
      <c r="D86" s="536" t="s">
        <v>639</v>
      </c>
      <c r="E86" s="536">
        <f>E40*EF_CO2_aardgas</f>
        <v>4117.6050750799996</v>
      </c>
      <c r="F86" s="536" t="s">
        <v>639</v>
      </c>
      <c r="G86" s="536" t="s">
        <v>639</v>
      </c>
      <c r="H86" s="536" t="s">
        <v>639</v>
      </c>
      <c r="I86" s="536" t="s">
        <v>639</v>
      </c>
      <c r="J86" s="536" t="s">
        <v>639</v>
      </c>
      <c r="K86" s="536" t="s">
        <v>639</v>
      </c>
      <c r="L86" s="536" t="s">
        <v>639</v>
      </c>
      <c r="M86" s="536" t="s">
        <v>639</v>
      </c>
      <c r="N86" s="536" t="s">
        <v>639</v>
      </c>
      <c r="O86" s="536" t="s">
        <v>639</v>
      </c>
      <c r="P86" s="536" t="s">
        <v>639</v>
      </c>
      <c r="Q86" s="536" t="s">
        <v>639</v>
      </c>
      <c r="R86" s="536" t="s">
        <v>639</v>
      </c>
      <c r="S86" s="563">
        <f>SUM(C86:R86)</f>
        <v>5308.2277558836749</v>
      </c>
    </row>
    <row r="87" spans="1:20" ht="15.75" thickBot="1">
      <c r="A87" s="648" t="s">
        <v>540</v>
      </c>
      <c r="B87" s="659"/>
      <c r="C87" s="564">
        <f>SUM(C85:C86)</f>
        <v>1495.9527096051665</v>
      </c>
      <c r="D87" s="564">
        <f t="shared" ref="D87:R87" si="36">SUM(D85:D86)</f>
        <v>0</v>
      </c>
      <c r="E87" s="564">
        <f t="shared" si="36"/>
        <v>4272.2114375763194</v>
      </c>
      <c r="F87" s="564">
        <f t="shared" si="36"/>
        <v>14.107191706067431</v>
      </c>
      <c r="G87" s="564">
        <f t="shared" si="36"/>
        <v>1679.7909489792812</v>
      </c>
      <c r="H87" s="564">
        <f t="shared" si="36"/>
        <v>0</v>
      </c>
      <c r="I87" s="564">
        <f t="shared" si="36"/>
        <v>0</v>
      </c>
      <c r="J87" s="564">
        <f t="shared" si="36"/>
        <v>0</v>
      </c>
      <c r="K87" s="564">
        <f t="shared" si="36"/>
        <v>70.832383006776823</v>
      </c>
      <c r="L87" s="564">
        <f t="shared" si="36"/>
        <v>0</v>
      </c>
      <c r="M87" s="564">
        <f t="shared" si="36"/>
        <v>0</v>
      </c>
      <c r="N87" s="564">
        <f t="shared" si="36"/>
        <v>0</v>
      </c>
      <c r="O87" s="564">
        <f t="shared" si="36"/>
        <v>0</v>
      </c>
      <c r="P87" s="564">
        <f t="shared" si="36"/>
        <v>0</v>
      </c>
      <c r="Q87" s="564">
        <f t="shared" si="36"/>
        <v>0</v>
      </c>
      <c r="R87" s="565">
        <f t="shared" si="36"/>
        <v>0</v>
      </c>
      <c r="S87" s="566">
        <f>SUM(S85:S86)</f>
        <v>7532.8946708736121</v>
      </c>
    </row>
    <row r="88" spans="1:20" ht="16.5" thickBot="1">
      <c r="A88" s="661" t="s">
        <v>96</v>
      </c>
      <c r="B88" s="662"/>
      <c r="C88" s="569">
        <f t="shared" ref="C88:S88" si="37">C66+C83+C87</f>
        <v>66675.783185080465</v>
      </c>
      <c r="D88" s="569">
        <f t="shared" si="37"/>
        <v>2310.1491493516237</v>
      </c>
      <c r="E88" s="569">
        <f t="shared" si="37"/>
        <v>103850.57507355514</v>
      </c>
      <c r="F88" s="569">
        <f t="shared" si="37"/>
        <v>2215.9824219128291</v>
      </c>
      <c r="G88" s="569">
        <f t="shared" si="37"/>
        <v>46129.295985160185</v>
      </c>
      <c r="H88" s="569">
        <f t="shared" si="37"/>
        <v>106536.19000236675</v>
      </c>
      <c r="I88" s="569">
        <f t="shared" si="37"/>
        <v>45451.652637412692</v>
      </c>
      <c r="J88" s="569">
        <f t="shared" si="37"/>
        <v>0</v>
      </c>
      <c r="K88" s="569">
        <f t="shared" si="37"/>
        <v>486.63399375705615</v>
      </c>
      <c r="L88" s="569">
        <f t="shared" si="37"/>
        <v>0</v>
      </c>
      <c r="M88" s="569">
        <f t="shared" si="37"/>
        <v>0</v>
      </c>
      <c r="N88" s="569">
        <f t="shared" si="37"/>
        <v>0</v>
      </c>
      <c r="O88" s="569">
        <f t="shared" si="37"/>
        <v>0</v>
      </c>
      <c r="P88" s="569">
        <f t="shared" si="37"/>
        <v>0</v>
      </c>
      <c r="Q88" s="569">
        <f t="shared" si="37"/>
        <v>0</v>
      </c>
      <c r="R88" s="569">
        <f t="shared" si="37"/>
        <v>0</v>
      </c>
      <c r="S88" s="569">
        <f t="shared" si="37"/>
        <v>373656.26244859671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0.17923316171766507</v>
      </c>
      <c r="D90" s="613">
        <f t="shared" si="38"/>
        <v>0.22224659720452891</v>
      </c>
      <c r="E90" s="758">
        <f t="shared" si="38"/>
        <v>0.20200000000000001</v>
      </c>
      <c r="F90" s="613">
        <f t="shared" si="38"/>
        <v>0.22700000000000001</v>
      </c>
      <c r="G90" s="613">
        <f t="shared" si="38"/>
        <v>0.26700000000000002</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500</v>
      </c>
      <c r="P96" s="1098"/>
      <c r="T96" s="380"/>
    </row>
    <row r="97" spans="1:20" ht="31.5" thickTop="1" thickBot="1">
      <c r="A97" s="1045"/>
      <c r="B97" s="1082"/>
      <c r="C97" s="1083"/>
      <c r="D97" s="1077" t="s">
        <v>177</v>
      </c>
      <c r="E97" s="1078"/>
      <c r="F97" s="1078"/>
      <c r="G97" s="1078"/>
      <c r="H97" s="1079"/>
      <c r="I97" s="579" t="s">
        <v>215</v>
      </c>
      <c r="J97" s="740" t="s">
        <v>216</v>
      </c>
      <c r="K97" s="845" t="s">
        <v>207</v>
      </c>
      <c r="L97" s="845" t="s">
        <v>654</v>
      </c>
      <c r="M97" s="740" t="s">
        <v>217</v>
      </c>
      <c r="N97" s="742" t="s">
        <v>107</v>
      </c>
      <c r="O97" s="673"/>
      <c r="P97" s="674"/>
      <c r="T97" s="380"/>
    </row>
    <row r="98" spans="1:20" ht="95.25" customHeight="1" thickTop="1" thickBot="1">
      <c r="A98" s="1046"/>
      <c r="B98" s="743" t="s">
        <v>499</v>
      </c>
      <c r="C98" s="743" t="s">
        <v>543</v>
      </c>
      <c r="D98" s="751" t="s">
        <v>179</v>
      </c>
      <c r="E98" s="752" t="s">
        <v>180</v>
      </c>
      <c r="F98" s="740" t="s">
        <v>181</v>
      </c>
      <c r="G98" s="739" t="s">
        <v>183</v>
      </c>
      <c r="H98" s="753" t="s">
        <v>184</v>
      </c>
      <c r="I98" s="581"/>
      <c r="J98" s="741"/>
      <c r="K98" s="843"/>
      <c r="L98" s="843"/>
      <c r="M98" s="741"/>
      <c r="N98" s="744"/>
      <c r="O98" s="745" t="s">
        <v>501</v>
      </c>
      <c r="P98" s="744" t="s">
        <v>502</v>
      </c>
      <c r="T98" s="380"/>
    </row>
    <row r="99" spans="1:20" ht="13.9" customHeight="1" thickTop="1">
      <c r="A99" s="582" t="s">
        <v>219</v>
      </c>
      <c r="B99" s="663">
        <f>'lokale energieproductie'!B4</f>
        <v>15504.966484568711</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1375.525001</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53470.365303814673</v>
      </c>
      <c r="C101" s="1093"/>
      <c r="D101" s="1093"/>
      <c r="E101" s="1101"/>
      <c r="F101" s="1101"/>
      <c r="G101" s="1108"/>
      <c r="H101" s="1111"/>
      <c r="I101" s="1101"/>
      <c r="J101" s="1093"/>
      <c r="K101" s="848"/>
      <c r="L101" s="848"/>
      <c r="M101" s="1101"/>
      <c r="N101" s="1104"/>
      <c r="O101" s="675"/>
      <c r="P101" s="669">
        <v>0</v>
      </c>
      <c r="T101" s="380"/>
    </row>
    <row r="102" spans="1:20" ht="15.75" thickBot="1">
      <c r="A102" s="583" t="s">
        <v>542</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1085.3586709580561</v>
      </c>
      <c r="C103" s="582">
        <f>'lokale energieproductie'!B8*IFERROR(SUM(D103:F103,I103)/SUM(D103:F103,I103:L103),0)</f>
        <v>6961.7636137461504</v>
      </c>
      <c r="D103" s="754">
        <f>'lokale energieproductie'!C8</f>
        <v>8853.6908171497234</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1380.3154820426746</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1788.4455450642442</v>
      </c>
      <c r="P103" s="669">
        <v>0</v>
      </c>
      <c r="T103" s="380"/>
    </row>
    <row r="104" spans="1:20" ht="15.75" thickBot="1">
      <c r="A104" s="585" t="s">
        <v>562</v>
      </c>
      <c r="B104" s="582" t="s">
        <v>670</v>
      </c>
      <c r="C104" s="582" t="s">
        <v>670</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670</v>
      </c>
      <c r="P104" s="672" t="s">
        <v>670</v>
      </c>
      <c r="T104" s="380"/>
    </row>
    <row r="105" spans="1:20" ht="16.5" thickTop="1" thickBot="1">
      <c r="A105" s="586" t="s">
        <v>96</v>
      </c>
      <c r="B105" s="587">
        <f>SUM(B99:B104)</f>
        <v>71436.215460341438</v>
      </c>
      <c r="C105" s="587">
        <f>SUM(C99:C104)</f>
        <v>6961.7636137461504</v>
      </c>
      <c r="D105" s="588">
        <f t="shared" ref="D105:N105" si="39">SUM(D103:D104)</f>
        <v>8853.6908171497234</v>
      </c>
      <c r="E105" s="588">
        <f t="shared" si="39"/>
        <v>0</v>
      </c>
      <c r="F105" s="588">
        <f t="shared" si="39"/>
        <v>0</v>
      </c>
      <c r="G105" s="588">
        <f t="shared" si="39"/>
        <v>0</v>
      </c>
      <c r="H105" s="588">
        <f t="shared" si="39"/>
        <v>0</v>
      </c>
      <c r="I105" s="588">
        <f t="shared" si="39"/>
        <v>0</v>
      </c>
      <c r="J105" s="588">
        <f t="shared" si="39"/>
        <v>0</v>
      </c>
      <c r="K105" s="588">
        <f t="shared" si="39"/>
        <v>0</v>
      </c>
      <c r="L105" s="588">
        <f t="shared" si="39"/>
        <v>1380.3154820426746</v>
      </c>
      <c r="M105" s="588">
        <f t="shared" si="39"/>
        <v>0</v>
      </c>
      <c r="N105" s="588">
        <f t="shared" si="39"/>
        <v>0</v>
      </c>
      <c r="O105" s="589">
        <f>SUM(O103:O104)</f>
        <v>1788.4455450642442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500</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654</v>
      </c>
      <c r="M112" s="845" t="s">
        <v>226</v>
      </c>
      <c r="N112" s="1084" t="s">
        <v>107</v>
      </c>
      <c r="O112" s="673"/>
      <c r="P112" s="674"/>
      <c r="T112" s="380"/>
    </row>
    <row r="113" spans="1:20" ht="110.25" customHeight="1" thickTop="1" thickBot="1">
      <c r="A113" s="1046"/>
      <c r="B113" s="664" t="s">
        <v>499</v>
      </c>
      <c r="C113" s="664" t="s">
        <v>543</v>
      </c>
      <c r="D113" s="596" t="s">
        <v>179</v>
      </c>
      <c r="E113" s="580" t="s">
        <v>180</v>
      </c>
      <c r="F113" s="597" t="s">
        <v>181</v>
      </c>
      <c r="G113" s="580" t="s">
        <v>183</v>
      </c>
      <c r="H113" s="598" t="s">
        <v>184</v>
      </c>
      <c r="I113" s="843"/>
      <c r="J113" s="843"/>
      <c r="K113" s="843"/>
      <c r="L113" s="843"/>
      <c r="M113" s="843"/>
      <c r="N113" s="1085"/>
      <c r="O113" s="623" t="s">
        <v>501</v>
      </c>
      <c r="P113" s="621" t="s">
        <v>502</v>
      </c>
      <c r="T113" s="380"/>
    </row>
    <row r="114" spans="1:20" ht="15.75" thickTop="1">
      <c r="A114" s="599" t="s">
        <v>222</v>
      </c>
      <c r="B114" s="600">
        <f>'lokale energieproductie'!B17*IFERROR(SUM(J114:L114)/SUM(D114:F114,I114:L114),0)</f>
        <v>1401.9663150353811</v>
      </c>
      <c r="C114" s="600">
        <f>'lokale energieproductie'!B17*IFERROR(SUM(D114:F114,I114)/SUM(D114:F114,I114:L114),0)</f>
        <v>8992.5647077529738</v>
      </c>
      <c r="D114" s="610">
        <f>'lokale energieproductie'!C17</f>
        <v>11436.381927483284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1782.9643432409991</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2310.1491493516237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669</v>
      </c>
      <c r="C116" s="600" t="s">
        <v>669</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669</v>
      </c>
      <c r="P116" s="667">
        <v>0</v>
      </c>
      <c r="T116" s="380"/>
    </row>
    <row r="117" spans="1:20" ht="16.5" thickTop="1" thickBot="1">
      <c r="A117" s="602" t="s">
        <v>96</v>
      </c>
      <c r="B117" s="587">
        <f>SUM(B114:B116)</f>
        <v>1401.9663150353811</v>
      </c>
      <c r="C117" s="587">
        <f>SUM(C114:C116)</f>
        <v>8992.5647077529738</v>
      </c>
      <c r="D117" s="587">
        <f t="shared" ref="D117:N117" si="40">SUM(D114:D116)</f>
        <v>11436.381927483284</v>
      </c>
      <c r="E117" s="587">
        <f t="shared" si="40"/>
        <v>0</v>
      </c>
      <c r="F117" s="587">
        <f t="shared" si="40"/>
        <v>0</v>
      </c>
      <c r="G117" s="587">
        <f t="shared" si="40"/>
        <v>0</v>
      </c>
      <c r="H117" s="587">
        <f t="shared" si="40"/>
        <v>0</v>
      </c>
      <c r="I117" s="587">
        <f t="shared" si="40"/>
        <v>0</v>
      </c>
      <c r="J117" s="587">
        <f t="shared" si="40"/>
        <v>0</v>
      </c>
      <c r="K117" s="587">
        <f t="shared" si="40"/>
        <v>0</v>
      </c>
      <c r="L117" s="587">
        <f t="shared" si="40"/>
        <v>1782.9643432409991</v>
      </c>
      <c r="M117" s="587">
        <f t="shared" si="40"/>
        <v>0</v>
      </c>
      <c r="N117" s="587">
        <f t="shared" si="40"/>
        <v>0</v>
      </c>
      <c r="O117" s="587">
        <f>SUM(O114:O116)</f>
        <v>2310.1491493516237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448</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654</v>
      </c>
      <c r="M3" s="383" t="s">
        <v>186</v>
      </c>
      <c r="N3" s="383" t="s">
        <v>187</v>
      </c>
      <c r="O3" s="383" t="s">
        <v>188</v>
      </c>
      <c r="P3" s="383" t="s">
        <v>189</v>
      </c>
      <c r="Q3" s="383" t="s">
        <v>190</v>
      </c>
      <c r="R3" s="383" t="s">
        <v>96</v>
      </c>
    </row>
    <row r="4" spans="1:18">
      <c r="A4" s="385" t="s">
        <v>135</v>
      </c>
      <c r="B4" s="955">
        <f>huishoudens!B9</f>
        <v>108180.14552183828</v>
      </c>
      <c r="C4" s="955">
        <f>huishoudens!C9</f>
        <v>194.80504961322654</v>
      </c>
      <c r="D4" s="955">
        <f>huishoudens!D9</f>
        <v>269466.2119845727</v>
      </c>
      <c r="E4" s="955">
        <f>huishoudens!E9</f>
        <v>7441.1083684860187</v>
      </c>
      <c r="F4" s="955">
        <f>huishoudens!F9</f>
        <v>120913.14522579068</v>
      </c>
      <c r="G4" s="955" t="str">
        <f>huishoudens!G9</f>
        <v>NE</v>
      </c>
      <c r="H4" s="955" t="str">
        <f>huishoudens!H9</f>
        <v>NE</v>
      </c>
      <c r="I4" s="955" t="str">
        <f>huishoudens!I9</f>
        <v xml:space="preserve">NE </v>
      </c>
      <c r="J4" s="955">
        <f>huishoudens!J9</f>
        <v>969.28454742987765</v>
      </c>
      <c r="K4" s="955" t="str">
        <f>huishoudens!K9</f>
        <v>NE</v>
      </c>
      <c r="L4" s="955">
        <f>huishoudens!L9</f>
        <v>0</v>
      </c>
      <c r="M4" s="955">
        <f>huishoudens!M9</f>
        <v>0</v>
      </c>
      <c r="N4" s="955" t="str">
        <f>huishoudens!N9</f>
        <v>NE</v>
      </c>
      <c r="O4" s="955">
        <f>huishoudens!O9</f>
        <v>43609.342693498205</v>
      </c>
      <c r="P4" s="955" t="str">
        <f>huishoudens!P9</f>
        <v>NE</v>
      </c>
      <c r="Q4" s="956" t="str">
        <f>huishoudens!Q9</f>
        <v>NE</v>
      </c>
      <c r="R4" s="957">
        <f>SUM(B4:Q4)</f>
        <v>550774.043391229</v>
      </c>
    </row>
    <row r="5" spans="1:18">
      <c r="A5" s="385" t="s">
        <v>136</v>
      </c>
      <c r="B5" s="955">
        <f>tertiair!B17</f>
        <v>186900.82315371357</v>
      </c>
      <c r="C5" s="955">
        <f>tertiair!C17</f>
        <v>9297.4232609633727</v>
      </c>
      <c r="D5" s="955">
        <f>tertiair!D17</f>
        <v>152163.1631644122</v>
      </c>
      <c r="E5" s="955">
        <f>tertiair!E17</f>
        <v>283.52481600651998</v>
      </c>
      <c r="F5" s="955">
        <f>tertiair!F17</f>
        <v>20690.885519950883</v>
      </c>
      <c r="G5" s="955" t="str">
        <f>tertiair!G17</f>
        <v>NE</v>
      </c>
      <c r="H5" s="955">
        <f>tertiair!H17</f>
        <v>2.7978531287955768</v>
      </c>
      <c r="I5" s="955" t="str">
        <f>tertiair!I17</f>
        <v>NE</v>
      </c>
      <c r="J5" s="955">
        <f>tertiair!J17</f>
        <v>0.13330857361704021</v>
      </c>
      <c r="K5" s="955" t="str">
        <f>tertiair!K17</f>
        <v>NE</v>
      </c>
      <c r="L5" s="955" t="str">
        <f>tertiair!L17</f>
        <v>IE</v>
      </c>
      <c r="M5" s="955" t="str">
        <f>tertiair!M17</f>
        <v>IE</v>
      </c>
      <c r="N5" s="955" t="str">
        <f>tertiair!N17</f>
        <v>IE</v>
      </c>
      <c r="O5" s="955">
        <f>tertiair!O17</f>
        <v>2095.7087802366568</v>
      </c>
      <c r="P5" s="955" t="str">
        <f>tertiair!P17</f>
        <v>NE</v>
      </c>
      <c r="Q5" s="956" t="str">
        <f>tertiair!Q17</f>
        <v>NE</v>
      </c>
      <c r="R5" s="958">
        <f t="shared" ref="R5:R14" si="0">SUM(B5:Q5)</f>
        <v>371434.45985698566</v>
      </c>
    </row>
    <row r="6" spans="1:18">
      <c r="A6" s="385" t="s">
        <v>174</v>
      </c>
      <c r="B6" s="955">
        <f>'openbare verlichting'!B8</f>
        <v>4.8556566980550997E-6</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4.8556566980550997E-6</v>
      </c>
    </row>
    <row r="7" spans="1:18">
      <c r="A7" s="385" t="s">
        <v>92</v>
      </c>
      <c r="B7" s="955">
        <f>landbouw!B9</f>
        <v>1703.5353607300572</v>
      </c>
      <c r="C7" s="955">
        <f>landbouw!C9</f>
        <v>0</v>
      </c>
      <c r="D7" s="955">
        <f>landbouw!D9</f>
        <v>765.37803215999998</v>
      </c>
      <c r="E7" s="955">
        <f>landbouw!E9</f>
        <v>62.146218969460044</v>
      </c>
      <c r="F7" s="955">
        <f>landbouw!F9</f>
        <v>6291.3518688362592</v>
      </c>
      <c r="G7" s="955" t="str">
        <f>landbouw!G9</f>
        <v>NE</v>
      </c>
      <c r="H7" s="955" t="str">
        <f>landbouw!H9</f>
        <v>NE</v>
      </c>
      <c r="I7" s="955" t="str">
        <f>landbouw!I9</f>
        <v>NE</v>
      </c>
      <c r="J7" s="955">
        <f>landbouw!J9</f>
        <v>200.09147742027352</v>
      </c>
      <c r="K7" s="955" t="str">
        <f>landbouw!K9</f>
        <v>NE</v>
      </c>
      <c r="L7" s="955" t="str">
        <f>landbouw!L9</f>
        <v>IE</v>
      </c>
      <c r="M7" s="955" t="str">
        <f>landbouw!M9</f>
        <v>IE</v>
      </c>
      <c r="N7" s="955" t="str">
        <f>landbouw!N9</f>
        <v>IE</v>
      </c>
      <c r="O7" s="955">
        <f>landbouw!O9</f>
        <v>0</v>
      </c>
      <c r="P7" s="955" t="str">
        <f>landbouw!P9</f>
        <v>NE</v>
      </c>
      <c r="Q7" s="956" t="str">
        <f>landbouw!Q9</f>
        <v>NE</v>
      </c>
      <c r="R7" s="958">
        <f t="shared" si="0"/>
        <v>9022.5029581160506</v>
      </c>
    </row>
    <row r="8" spans="1:18">
      <c r="A8" s="385" t="s">
        <v>494</v>
      </c>
      <c r="B8" s="955">
        <f>industrie!B19</f>
        <v>47273.948462515044</v>
      </c>
      <c r="C8" s="955">
        <f>industrie!C19</f>
        <v>525.28104341175583</v>
      </c>
      <c r="D8" s="955">
        <f>industrie!D19</f>
        <v>58440.81891415365</v>
      </c>
      <c r="E8" s="955">
        <f>industrie!E19</f>
        <v>761.9730800086918</v>
      </c>
      <c r="F8" s="955">
        <f>industrie!F19</f>
        <v>23978.260964591987</v>
      </c>
      <c r="G8" s="955" t="str">
        <f>industrie!G19</f>
        <v>NE</v>
      </c>
      <c r="H8" s="955">
        <f>industrie!H19</f>
        <v>0</v>
      </c>
      <c r="I8" s="955" t="str">
        <f>industrie!I19</f>
        <v>NE</v>
      </c>
      <c r="J8" s="955">
        <f>industrie!J19</f>
        <v>205.1629653249781</v>
      </c>
      <c r="K8" s="955" t="str">
        <f>industrie!K19</f>
        <v>NE</v>
      </c>
      <c r="L8" s="955" t="str">
        <f>industrie!L19</f>
        <v>IE</v>
      </c>
      <c r="M8" s="955" t="str">
        <f>industrie!M19</f>
        <v>IE</v>
      </c>
      <c r="N8" s="955" t="str">
        <f>industrie!N19</f>
        <v>IE</v>
      </c>
      <c r="O8" s="955">
        <f>industrie!O19</f>
        <v>5972.4034067084276</v>
      </c>
      <c r="P8" s="955" t="str">
        <f>industrie!P19</f>
        <v>NE</v>
      </c>
      <c r="Q8" s="956" t="str">
        <f>industrie!Q19</f>
        <v>NE</v>
      </c>
      <c r="R8" s="958">
        <f t="shared" si="0"/>
        <v>137157.84883671452</v>
      </c>
    </row>
    <row r="9" spans="1:18" s="389" customFormat="1">
      <c r="A9" s="388" t="s">
        <v>459</v>
      </c>
      <c r="B9" s="959">
        <f>transport!B14</f>
        <v>10952.150808365583</v>
      </c>
      <c r="C9" s="959" t="str">
        <f>transport!C14</f>
        <v>NO</v>
      </c>
      <c r="D9" s="959">
        <f>transport!D14</f>
        <v>2366.8667596098417</v>
      </c>
      <c r="E9" s="959">
        <f>transport!E14</f>
        <v>1213.2846174668807</v>
      </c>
      <c r="F9" s="959" t="str">
        <f>transport!F14</f>
        <v>NO</v>
      </c>
      <c r="G9" s="959">
        <f>transport!G14</f>
        <v>382488.19357090583</v>
      </c>
      <c r="H9" s="959">
        <f>transport!H14</f>
        <v>182332.88617431934</v>
      </c>
      <c r="I9" s="959" t="str">
        <f>transport!I14</f>
        <v>NO</v>
      </c>
      <c r="J9" s="959" t="str">
        <f>transport!J14</f>
        <v>NO</v>
      </c>
      <c r="K9" s="959" t="str">
        <f>transport!K14</f>
        <v>NO</v>
      </c>
      <c r="L9" s="959" t="str">
        <f>transport!L14</f>
        <v>NO</v>
      </c>
      <c r="M9" s="959" t="str">
        <f>transport!M14</f>
        <v>NO</v>
      </c>
      <c r="N9" s="959">
        <f>transport!N14</f>
        <v>60447.805805339638</v>
      </c>
      <c r="O9" s="959" t="str">
        <f>transport!O14</f>
        <v>NO</v>
      </c>
      <c r="P9" s="959" t="str">
        <f>transport!P14</f>
        <v>NO</v>
      </c>
      <c r="Q9" s="959" t="str">
        <f>transport!Q14</f>
        <v>NO</v>
      </c>
      <c r="R9" s="960">
        <f>SUM(B9:Q9)</f>
        <v>639801.18773600704</v>
      </c>
    </row>
    <row r="10" spans="1:18">
      <c r="A10" s="385" t="s">
        <v>449</v>
      </c>
      <c r="B10" s="955">
        <f>transport!B54</f>
        <v>40.508282452409382</v>
      </c>
      <c r="C10" s="955" t="str">
        <f>transport!C54</f>
        <v>NO</v>
      </c>
      <c r="D10" s="955" t="str">
        <f>transport!D54</f>
        <v>NO</v>
      </c>
      <c r="E10" s="955" t="str">
        <f>transport!E54</f>
        <v>NO</v>
      </c>
      <c r="F10" s="955" t="str">
        <f>transport!F54</f>
        <v>NO</v>
      </c>
      <c r="G10" s="955">
        <f>transport!G54</f>
        <v>15037.832986962221</v>
      </c>
      <c r="H10" s="955" t="str">
        <f>transport!H54</f>
        <v>NO</v>
      </c>
      <c r="I10" s="955" t="str">
        <f>transport!I54</f>
        <v>NO</v>
      </c>
      <c r="J10" s="955" t="str">
        <f>transport!J54</f>
        <v>NO</v>
      </c>
      <c r="K10" s="955" t="str">
        <f>transport!K54</f>
        <v>NO</v>
      </c>
      <c r="L10" s="955" t="str">
        <f>transport!L54</f>
        <v>NO</v>
      </c>
      <c r="M10" s="955" t="str">
        <f>transport!M54</f>
        <v>NO</v>
      </c>
      <c r="N10" s="955">
        <f>transport!N54</f>
        <v>1800.2540643653033</v>
      </c>
      <c r="O10" s="955" t="str">
        <f>transport!O54</f>
        <v>NO</v>
      </c>
      <c r="P10" s="955" t="str">
        <f>transport!P54</f>
        <v>NO</v>
      </c>
      <c r="Q10" s="956" t="str">
        <f>transport!Q54</f>
        <v xml:space="preserve">NO </v>
      </c>
      <c r="R10" s="958">
        <f t="shared" si="0"/>
        <v>16878.595333779933</v>
      </c>
    </row>
    <row r="11" spans="1:18">
      <c r="A11" s="385" t="s">
        <v>450</v>
      </c>
      <c r="B11" s="955">
        <f>'Eigen gebouwen'!B6</f>
        <v>5311.8355489804953</v>
      </c>
      <c r="C11" s="955">
        <f>'Eigen gebouwen'!C6</f>
        <v>377.02166879999999</v>
      </c>
      <c r="D11" s="955">
        <f>'Eigen gebouwen'!D6</f>
        <v>10417.162394968491</v>
      </c>
      <c r="E11" s="955">
        <f>'Eigen gebouwen'!E6</f>
        <v>0</v>
      </c>
      <c r="F11" s="955">
        <f>'Eigen gebouwen'!F6</f>
        <v>895.25524165483625</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17001.274854403822</v>
      </c>
    </row>
    <row r="12" spans="1:18">
      <c r="A12" s="385" t="s">
        <v>451</v>
      </c>
      <c r="B12" s="955">
        <f>'Eigen openbare verlichting'!B6</f>
        <v>4999.1911951443435</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4999.1911951443435</v>
      </c>
    </row>
    <row r="13" spans="1:18">
      <c r="A13" s="385" t="s">
        <v>452</v>
      </c>
      <c r="B13" s="955">
        <f>'Eigen vloot'!B27</f>
        <v>0.83287</v>
      </c>
      <c r="C13" s="955" t="str">
        <f>'Eigen vloot'!C27</f>
        <v>NO</v>
      </c>
      <c r="D13" s="955">
        <f>'Eigen vloot'!D27</f>
        <v>107.973</v>
      </c>
      <c r="E13" s="955">
        <f>'Eigen vloot'!E27</f>
        <v>0</v>
      </c>
      <c r="F13" s="955" t="str">
        <f>'Eigen vloot'!F27</f>
        <v>NO</v>
      </c>
      <c r="G13" s="955">
        <f>'Eigen vloot'!G27</f>
        <v>1485.921016539249</v>
      </c>
      <c r="H13" s="955">
        <f>'Eigen vloot'!H27</f>
        <v>201.07355252250278</v>
      </c>
      <c r="I13" s="955" t="str">
        <f>'Eigen vloot'!I27</f>
        <v>NO</v>
      </c>
      <c r="J13" s="955" t="str">
        <f>'Eigen vloot'!J27</f>
        <v>NO</v>
      </c>
      <c r="K13" s="955" t="str">
        <f>'Eigen vloot'!K27</f>
        <v>NO</v>
      </c>
      <c r="L13" s="955" t="str">
        <f>'Eigen vloot'!L27</f>
        <v>NO</v>
      </c>
      <c r="M13" s="955" t="str">
        <f>'Eigen vloot'!M27</f>
        <v>NO</v>
      </c>
      <c r="N13" s="955">
        <f>'Eigen vloot'!N27</f>
        <v>194.05187093824833</v>
      </c>
      <c r="O13" s="955" t="str">
        <f>'Eigen vloot'!O27</f>
        <v>NO</v>
      </c>
      <c r="P13" s="955" t="str">
        <f>'Eigen vloot'!P27</f>
        <v>NO</v>
      </c>
      <c r="Q13" s="955" t="str">
        <f>'Eigen vloot'!Q27</f>
        <v>NO</v>
      </c>
      <c r="R13" s="958">
        <f t="shared" si="0"/>
        <v>1989.85231</v>
      </c>
    </row>
    <row r="14" spans="1:18">
      <c r="A14" s="390" t="s">
        <v>555</v>
      </c>
      <c r="B14" s="961">
        <f>'SECAP template'!C40</f>
        <v>6642.8704900000002</v>
      </c>
      <c r="C14" s="961" t="str">
        <f>'SECAP template'!D40</f>
        <v>NE</v>
      </c>
      <c r="D14" s="961">
        <f>'SECAP template'!E40</f>
        <v>20384.183539999998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27027.054029999999</v>
      </c>
    </row>
    <row r="15" spans="1:18" s="393" customFormat="1">
      <c r="A15" s="391" t="s">
        <v>453</v>
      </c>
      <c r="B15" s="962">
        <f>SUM(B4:B14)</f>
        <v>372005.84169859544</v>
      </c>
      <c r="C15" s="962">
        <f t="shared" ref="C15:R15" si="1">SUM(C4:C14)</f>
        <v>10394.531022788356</v>
      </c>
      <c r="D15" s="962">
        <f t="shared" si="1"/>
        <v>514111.75778987689</v>
      </c>
      <c r="E15" s="962">
        <f t="shared" si="1"/>
        <v>9762.0371009375722</v>
      </c>
      <c r="F15" s="962">
        <f t="shared" si="1"/>
        <v>172768.89882082466</v>
      </c>
      <c r="G15" s="962">
        <f t="shared" si="1"/>
        <v>399011.94757440733</v>
      </c>
      <c r="H15" s="962">
        <f t="shared" si="1"/>
        <v>182536.75757997067</v>
      </c>
      <c r="I15" s="962">
        <f t="shared" si="1"/>
        <v>0</v>
      </c>
      <c r="J15" s="962">
        <f t="shared" si="1"/>
        <v>1374.6722987487462</v>
      </c>
      <c r="K15" s="962">
        <f t="shared" si="1"/>
        <v>0</v>
      </c>
      <c r="L15" s="962">
        <f t="shared" si="1"/>
        <v>0</v>
      </c>
      <c r="M15" s="962">
        <f t="shared" si="1"/>
        <v>0</v>
      </c>
      <c r="N15" s="962">
        <f t="shared" si="1"/>
        <v>62442.111740643188</v>
      </c>
      <c r="O15" s="962">
        <f t="shared" si="1"/>
        <v>51677.454880443292</v>
      </c>
      <c r="P15" s="962">
        <f t="shared" si="1"/>
        <v>0</v>
      </c>
      <c r="Q15" s="962">
        <f t="shared" si="1"/>
        <v>0</v>
      </c>
      <c r="R15" s="962">
        <f t="shared" si="1"/>
        <v>1776086.0105072362</v>
      </c>
    </row>
    <row r="17" spans="1:18">
      <c r="A17" s="394" t="s">
        <v>454</v>
      </c>
      <c r="B17" s="617">
        <f>huishoudens!B11</f>
        <v>0.1792331617176651</v>
      </c>
      <c r="C17" s="617">
        <f>huishoudens!C11</f>
        <v>0.22224659720452891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456</v>
      </c>
      <c r="B19" s="1114" t="s">
        <v>455</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654</v>
      </c>
      <c r="M21" s="383" t="s">
        <v>186</v>
      </c>
      <c r="N21" s="383" t="s">
        <v>187</v>
      </c>
      <c r="O21" s="383" t="s">
        <v>188</v>
      </c>
      <c r="P21" s="383" t="s">
        <v>189</v>
      </c>
      <c r="Q21" s="383" t="s">
        <v>190</v>
      </c>
      <c r="R21" s="383" t="s">
        <v>96</v>
      </c>
    </row>
    <row r="22" spans="1:18">
      <c r="A22" s="385" t="s">
        <v>135</v>
      </c>
      <c r="B22" s="955">
        <f>B4*$B$17</f>
        <v>19389.469516956182</v>
      </c>
      <c r="C22" s="955">
        <f t="shared" ref="C22:C32" si="2">IFERROR(C4*$C$17,C4)</f>
        <v>43.29475939479903</v>
      </c>
      <c r="D22" s="955">
        <f t="shared" ref="D22:D32" si="3">IFERROR(D4*$D$17,D4)</f>
        <v>54432.174820883687</v>
      </c>
      <c r="E22" s="955">
        <f t="shared" ref="E22:E32" si="4">IFERROR(E4*$E$17,E4)</f>
        <v>1689.1315996463263</v>
      </c>
      <c r="F22" s="955">
        <f t="shared" ref="F22:F32" si="5">IFERROR(F4*$F$17,F4)</f>
        <v>32283.809775286114</v>
      </c>
      <c r="G22" s="955" t="str">
        <f t="shared" ref="G22:G32" si="6">IFERROR(G4*$G$17,G4)</f>
        <v>NE</v>
      </c>
      <c r="H22" s="955" t="str">
        <f t="shared" ref="H22:H32" si="7">IFERROR(H4*$H$17,H4)</f>
        <v>NE</v>
      </c>
      <c r="I22" s="955" t="str">
        <f t="shared" ref="I22:I32" si="8">IFERROR(I4*$I$17,I4)</f>
        <v xml:space="preserve">NE </v>
      </c>
      <c r="J22" s="955">
        <f t="shared" ref="J22:J32" si="9">IFERROR(J4*$J$17,J4)</f>
        <v>343.12672979017668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108181.00720195728</v>
      </c>
    </row>
    <row r="23" spans="1:18">
      <c r="A23" s="385" t="s">
        <v>136</v>
      </c>
      <c r="B23" s="955">
        <f t="shared" ref="B23:B32" si="17">B5*$B$17</f>
        <v>33498.825461474269</v>
      </c>
      <c r="C23" s="955">
        <f t="shared" si="2"/>
        <v>2066.3206825193442</v>
      </c>
      <c r="D23" s="955">
        <f t="shared" si="3"/>
        <v>30736.958959211264</v>
      </c>
      <c r="E23" s="955">
        <f t="shared" si="4"/>
        <v>64.360133233480042</v>
      </c>
      <c r="F23" s="955">
        <f t="shared" si="5"/>
        <v>5524.4664338268858</v>
      </c>
      <c r="G23" s="955" t="str">
        <f t="shared" si="6"/>
        <v>NE</v>
      </c>
      <c r="H23" s="955">
        <f t="shared" si="7"/>
        <v>0.69666542907009865</v>
      </c>
      <c r="I23" s="955" t="str">
        <f t="shared" si="8"/>
        <v>NE</v>
      </c>
      <c r="J23" s="955">
        <f t="shared" si="9"/>
        <v>4.7191235060432234E-2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71891.675526929379</v>
      </c>
    </row>
    <row r="24" spans="1:18">
      <c r="A24" s="385" t="s">
        <v>174</v>
      </c>
      <c r="B24" s="955">
        <f t="shared" si="17"/>
        <v>8.7029470220797338E-7</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305.33002880149127</v>
      </c>
      <c r="C25" s="955">
        <f t="shared" si="2"/>
        <v>0</v>
      </c>
      <c r="D25" s="955">
        <f t="shared" si="3"/>
        <v>154.60636249632</v>
      </c>
      <c r="E25" s="955">
        <f t="shared" si="4"/>
        <v>14.107191706067431</v>
      </c>
      <c r="F25" s="955">
        <f t="shared" si="5"/>
        <v>1679.7909489792812</v>
      </c>
      <c r="G25" s="955" t="str">
        <f t="shared" si="6"/>
        <v>NE</v>
      </c>
      <c r="H25" s="955" t="str">
        <f t="shared" si="7"/>
        <v>NE</v>
      </c>
      <c r="I25" s="955" t="str">
        <f t="shared" si="8"/>
        <v>NE</v>
      </c>
      <c r="J25" s="955">
        <f t="shared" si="9"/>
        <v>70.832383006776823</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2224.6669149899371</v>
      </c>
    </row>
    <row r="26" spans="1:18">
      <c r="A26" s="385" t="s">
        <v>494</v>
      </c>
      <c r="B26" s="955">
        <f t="shared" si="17"/>
        <v>8473.0592498145234</v>
      </c>
      <c r="C26" s="955">
        <f t="shared" si="2"/>
        <v>116.74192447430717</v>
      </c>
      <c r="D26" s="955">
        <f t="shared" si="3"/>
        <v>11805.045420659038</v>
      </c>
      <c r="E26" s="955">
        <f t="shared" si="4"/>
        <v>172.96788916197303</v>
      </c>
      <c r="F26" s="955">
        <f t="shared" si="5"/>
        <v>6402.1956775460612</v>
      </c>
      <c r="G26" s="955" t="str">
        <f t="shared" si="6"/>
        <v>NE</v>
      </c>
      <c r="H26" s="955">
        <f t="shared" si="7"/>
        <v>0</v>
      </c>
      <c r="I26" s="955" t="str">
        <f t="shared" si="8"/>
        <v>NE</v>
      </c>
      <c r="J26" s="955">
        <f t="shared" si="9"/>
        <v>72.627689725042245</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27042.637851380947</v>
      </c>
    </row>
    <row r="27" spans="1:18" s="389" customFormat="1">
      <c r="A27" s="388" t="s">
        <v>459</v>
      </c>
      <c r="B27" s="963">
        <f t="shared" si="17"/>
        <v>1962.9886169920451</v>
      </c>
      <c r="C27" s="955" t="str">
        <f t="shared" si="2"/>
        <v>NO</v>
      </c>
      <c r="D27" s="955">
        <f t="shared" si="3"/>
        <v>478.10708544118802</v>
      </c>
      <c r="E27" s="955">
        <f t="shared" si="4"/>
        <v>275.4156081649819</v>
      </c>
      <c r="F27" s="955" t="str">
        <f t="shared" si="5"/>
        <v>NO</v>
      </c>
      <c r="G27" s="955">
        <f t="shared" si="6"/>
        <v>102124.34768343186</v>
      </c>
      <c r="H27" s="955">
        <f t="shared" si="7"/>
        <v>45400.888657405514</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150241.74765143558</v>
      </c>
    </row>
    <row r="28" spans="1:18" ht="16.5" customHeight="1">
      <c r="A28" s="385" t="s">
        <v>449</v>
      </c>
      <c r="B28" s="955">
        <f t="shared" si="17"/>
        <v>7.2604275396975462</v>
      </c>
      <c r="C28" s="955" t="str">
        <f t="shared" si="2"/>
        <v>NO</v>
      </c>
      <c r="D28" s="955" t="str">
        <f t="shared" si="3"/>
        <v>NO</v>
      </c>
      <c r="E28" s="955" t="str">
        <f t="shared" si="4"/>
        <v>NO</v>
      </c>
      <c r="F28" s="955" t="str">
        <f t="shared" si="5"/>
        <v>NO</v>
      </c>
      <c r="G28" s="955">
        <f t="shared" si="6"/>
        <v>4015.1014075189132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4022.3618350586107</v>
      </c>
    </row>
    <row r="29" spans="1:18">
      <c r="A29" s="385" t="s">
        <v>450</v>
      </c>
      <c r="B29" s="955">
        <f t="shared" si="17"/>
        <v>952.05707996806348</v>
      </c>
      <c r="C29" s="955">
        <f t="shared" si="2"/>
        <v>83.791782963172906</v>
      </c>
      <c r="D29" s="955">
        <f t="shared" si="3"/>
        <v>2104.2668037836352</v>
      </c>
      <c r="E29" s="955">
        <f t="shared" si="4"/>
        <v>0</v>
      </c>
      <c r="F29" s="955">
        <f t="shared" si="5"/>
        <v>239.0331495218413</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3379.1488162367127</v>
      </c>
    </row>
    <row r="30" spans="1:18">
      <c r="A30" s="385" t="s">
        <v>451</v>
      </c>
      <c r="B30" s="955">
        <f t="shared" si="17"/>
        <v>896.02084393683356</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896.02084393683356</v>
      </c>
    </row>
    <row r="31" spans="1:18">
      <c r="A31" s="385" t="s">
        <v>452</v>
      </c>
      <c r="B31" s="955">
        <f t="shared" si="17"/>
        <v>0.14927792339979173</v>
      </c>
      <c r="C31" s="955" t="str">
        <f t="shared" si="2"/>
        <v>NO</v>
      </c>
      <c r="D31" s="955">
        <f t="shared" si="3"/>
        <v>21.810546000000002</v>
      </c>
      <c r="E31" s="955">
        <f t="shared" si="4"/>
        <v>0</v>
      </c>
      <c r="F31" s="955" t="str">
        <f t="shared" si="5"/>
        <v>NO</v>
      </c>
      <c r="G31" s="955">
        <f t="shared" si="6"/>
        <v>396.7409114159795</v>
      </c>
      <c r="H31" s="955">
        <f t="shared" si="7"/>
        <v>50.067314578103193</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468.76804991748247</v>
      </c>
    </row>
    <row r="32" spans="1:18">
      <c r="A32" s="385" t="s">
        <v>555</v>
      </c>
      <c r="B32" s="955">
        <f t="shared" si="17"/>
        <v>1190.6226808036752</v>
      </c>
      <c r="C32" s="955" t="str">
        <f t="shared" si="2"/>
        <v>NE</v>
      </c>
      <c r="D32" s="955">
        <f t="shared" si="3"/>
        <v>4117.6050750799996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5308.2277558836749</v>
      </c>
    </row>
    <row r="33" spans="1:18" s="393" customFormat="1">
      <c r="A33" s="391" t="s">
        <v>453</v>
      </c>
      <c r="B33" s="962">
        <f>SUM(B22:B32)</f>
        <v>66675.78318508048</v>
      </c>
      <c r="C33" s="962">
        <f t="shared" ref="C33:R33" si="22">SUM(C22:C32)</f>
        <v>2310.1491493516232</v>
      </c>
      <c r="D33" s="962">
        <f t="shared" si="22"/>
        <v>103850.57507355513</v>
      </c>
      <c r="E33" s="962">
        <f t="shared" si="22"/>
        <v>2215.9824219128286</v>
      </c>
      <c r="F33" s="962">
        <f t="shared" si="22"/>
        <v>46129.295985160185</v>
      </c>
      <c r="G33" s="962">
        <f t="shared" si="22"/>
        <v>106536.19000236675</v>
      </c>
      <c r="H33" s="962">
        <f t="shared" si="22"/>
        <v>45451.652637412692</v>
      </c>
      <c r="I33" s="962">
        <f t="shared" si="22"/>
        <v>0</v>
      </c>
      <c r="J33" s="962">
        <f t="shared" si="22"/>
        <v>486.63399375705615</v>
      </c>
      <c r="K33" s="392">
        <f t="shared" si="22"/>
        <v>0</v>
      </c>
      <c r="L33" s="392">
        <f t="shared" si="22"/>
        <v>0</v>
      </c>
      <c r="M33" s="392">
        <f t="shared" si="22"/>
        <v>0</v>
      </c>
      <c r="N33" s="392">
        <f t="shared" si="22"/>
        <v>0</v>
      </c>
      <c r="O33" s="392">
        <f t="shared" si="22"/>
        <v>0</v>
      </c>
      <c r="P33" s="392">
        <f t="shared" si="22"/>
        <v>0</v>
      </c>
      <c r="Q33" s="392">
        <f t="shared" si="22"/>
        <v>0</v>
      </c>
      <c r="R33" s="392">
        <f t="shared" si="22"/>
        <v>373656.26244772639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448</v>
      </c>
      <c r="B1" s="1124" t="s">
        <v>544</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654</v>
      </c>
      <c r="M3" s="761" t="s">
        <v>186</v>
      </c>
      <c r="N3" s="761" t="s">
        <v>187</v>
      </c>
      <c r="O3" s="761" t="s">
        <v>188</v>
      </c>
      <c r="P3" s="761" t="s">
        <v>189</v>
      </c>
      <c r="Q3" s="964" t="s">
        <v>190</v>
      </c>
      <c r="R3" s="968" t="s">
        <v>96</v>
      </c>
    </row>
    <row r="4" spans="1:18" ht="409.5">
      <c r="A4" s="762" t="s">
        <v>135</v>
      </c>
      <c r="B4" s="763" t="s">
        <v>767</v>
      </c>
      <c r="C4" s="768" t="s">
        <v>696</v>
      </c>
      <c r="D4" s="768" t="s">
        <v>623</v>
      </c>
      <c r="E4" s="764" t="s">
        <v>698</v>
      </c>
      <c r="F4" s="764" t="s">
        <v>699</v>
      </c>
      <c r="G4" s="765" t="s">
        <v>545</v>
      </c>
      <c r="H4" s="765" t="s">
        <v>545</v>
      </c>
      <c r="I4" s="765" t="s">
        <v>545</v>
      </c>
      <c r="J4" s="764" t="s">
        <v>700</v>
      </c>
      <c r="K4" s="765" t="s">
        <v>545</v>
      </c>
      <c r="L4" s="765" t="s">
        <v>545</v>
      </c>
      <c r="M4" s="765" t="s">
        <v>545</v>
      </c>
      <c r="N4" s="765" t="s">
        <v>545</v>
      </c>
      <c r="O4" s="764" t="s">
        <v>701</v>
      </c>
      <c r="P4" s="765" t="s">
        <v>545</v>
      </c>
      <c r="Q4" s="965" t="s">
        <v>545</v>
      </c>
      <c r="R4" s="969"/>
    </row>
    <row r="5" spans="1:18" ht="195">
      <c r="A5" s="766" t="s">
        <v>136</v>
      </c>
      <c r="B5" s="767" t="s">
        <v>747</v>
      </c>
      <c r="C5" s="768" t="s">
        <v>696</v>
      </c>
      <c r="D5" s="768" t="s">
        <v>623</v>
      </c>
      <c r="E5" s="769" t="s">
        <v>546</v>
      </c>
      <c r="F5" s="769" t="s">
        <v>624</v>
      </c>
      <c r="G5" s="770" t="s">
        <v>545</v>
      </c>
      <c r="H5" s="770" t="s">
        <v>545</v>
      </c>
      <c r="I5" s="770" t="s">
        <v>545</v>
      </c>
      <c r="J5" s="769" t="s">
        <v>548</v>
      </c>
      <c r="K5" s="770" t="s">
        <v>545</v>
      </c>
      <c r="L5" s="770" t="s">
        <v>681</v>
      </c>
      <c r="M5" s="770" t="s">
        <v>545</v>
      </c>
      <c r="N5" s="770" t="s">
        <v>545</v>
      </c>
      <c r="O5" s="769" t="s">
        <v>625</v>
      </c>
      <c r="P5" s="765" t="s">
        <v>545</v>
      </c>
      <c r="Q5" s="965" t="s">
        <v>545</v>
      </c>
      <c r="R5" s="969"/>
    </row>
    <row r="6" spans="1:18" ht="30">
      <c r="A6" s="766" t="s">
        <v>174</v>
      </c>
      <c r="B6" s="771" t="s">
        <v>549</v>
      </c>
      <c r="C6" s="772" t="s">
        <v>550</v>
      </c>
      <c r="D6" s="770" t="s">
        <v>550</v>
      </c>
      <c r="E6" s="770" t="s">
        <v>550</v>
      </c>
      <c r="F6" s="770" t="s">
        <v>550</v>
      </c>
      <c r="G6" s="770" t="s">
        <v>550</v>
      </c>
      <c r="H6" s="770" t="s">
        <v>550</v>
      </c>
      <c r="I6" s="770" t="s">
        <v>550</v>
      </c>
      <c r="J6" s="770" t="s">
        <v>550</v>
      </c>
      <c r="K6" s="770" t="s">
        <v>550</v>
      </c>
      <c r="L6" s="770" t="s">
        <v>550</v>
      </c>
      <c r="M6" s="770" t="s">
        <v>550</v>
      </c>
      <c r="N6" s="770" t="s">
        <v>550</v>
      </c>
      <c r="O6" s="770" t="s">
        <v>550</v>
      </c>
      <c r="P6" s="773" t="s">
        <v>550</v>
      </c>
      <c r="Q6" s="966" t="s">
        <v>550</v>
      </c>
      <c r="R6" s="970"/>
    </row>
    <row r="7" spans="1:18" ht="180">
      <c r="A7" s="766" t="s">
        <v>92</v>
      </c>
      <c r="B7" s="767" t="s">
        <v>748</v>
      </c>
      <c r="C7" s="768" t="s">
        <v>696</v>
      </c>
      <c r="D7" s="768" t="s">
        <v>623</v>
      </c>
      <c r="E7" s="769" t="s">
        <v>546</v>
      </c>
      <c r="F7" s="769" t="s">
        <v>547</v>
      </c>
      <c r="G7" s="770" t="s">
        <v>545</v>
      </c>
      <c r="H7" s="770" t="s">
        <v>545</v>
      </c>
      <c r="I7" s="770" t="s">
        <v>545</v>
      </c>
      <c r="J7" s="769" t="s">
        <v>548</v>
      </c>
      <c r="K7" s="770" t="s">
        <v>545</v>
      </c>
      <c r="L7" s="770" t="s">
        <v>681</v>
      </c>
      <c r="M7" s="770" t="s">
        <v>545</v>
      </c>
      <c r="N7" s="770" t="s">
        <v>545</v>
      </c>
      <c r="O7" s="774" t="s">
        <v>545</v>
      </c>
      <c r="P7" s="765" t="s">
        <v>545</v>
      </c>
      <c r="Q7" s="965" t="s">
        <v>545</v>
      </c>
      <c r="R7" s="969"/>
    </row>
    <row r="8" spans="1:18" ht="195">
      <c r="A8" s="766" t="s">
        <v>494</v>
      </c>
      <c r="B8" s="767" t="s">
        <v>749</v>
      </c>
      <c r="C8" s="768" t="s">
        <v>696</v>
      </c>
      <c r="D8" s="768" t="s">
        <v>623</v>
      </c>
      <c r="E8" s="769" t="s">
        <v>546</v>
      </c>
      <c r="F8" s="769" t="s">
        <v>547</v>
      </c>
      <c r="G8" s="770" t="s">
        <v>545</v>
      </c>
      <c r="H8" s="770" t="s">
        <v>545</v>
      </c>
      <c r="I8" s="770" t="s">
        <v>545</v>
      </c>
      <c r="J8" s="769" t="s">
        <v>548</v>
      </c>
      <c r="K8" s="770" t="s">
        <v>545</v>
      </c>
      <c r="L8" s="770" t="s">
        <v>681</v>
      </c>
      <c r="M8" s="770" t="s">
        <v>545</v>
      </c>
      <c r="N8" s="770" t="s">
        <v>545</v>
      </c>
      <c r="O8" s="769" t="s">
        <v>625</v>
      </c>
      <c r="P8" s="765" t="s">
        <v>545</v>
      </c>
      <c r="Q8" s="965" t="s">
        <v>545</v>
      </c>
      <c r="R8" s="969"/>
    </row>
    <row r="9" spans="1:18" s="389" customFormat="1" ht="390">
      <c r="A9" s="775" t="s">
        <v>459</v>
      </c>
      <c r="B9" s="769" t="s">
        <v>690</v>
      </c>
      <c r="C9" s="773" t="s">
        <v>550</v>
      </c>
      <c r="D9" s="769" t="s">
        <v>691</v>
      </c>
      <c r="E9" s="769" t="s">
        <v>692</v>
      </c>
      <c r="F9" s="770" t="s">
        <v>550</v>
      </c>
      <c r="G9" s="769" t="s">
        <v>693</v>
      </c>
      <c r="H9" s="769" t="s">
        <v>694</v>
      </c>
      <c r="I9" s="770" t="s">
        <v>550</v>
      </c>
      <c r="J9" s="770" t="s">
        <v>550</v>
      </c>
      <c r="K9" s="770" t="s">
        <v>550</v>
      </c>
      <c r="L9" s="770" t="s">
        <v>550</v>
      </c>
      <c r="M9" s="770" t="s">
        <v>550</v>
      </c>
      <c r="N9" s="769" t="s">
        <v>690</v>
      </c>
      <c r="O9" s="770" t="s">
        <v>550</v>
      </c>
      <c r="P9" s="770" t="s">
        <v>550</v>
      </c>
      <c r="Q9" s="967" t="s">
        <v>550</v>
      </c>
      <c r="R9" s="971"/>
    </row>
    <row r="10" spans="1:18" ht="360">
      <c r="A10" s="766" t="s">
        <v>449</v>
      </c>
      <c r="B10" s="767" t="s">
        <v>551</v>
      </c>
      <c r="C10" s="773" t="s">
        <v>550</v>
      </c>
      <c r="D10" s="773" t="s">
        <v>550</v>
      </c>
      <c r="E10" s="773" t="s">
        <v>550</v>
      </c>
      <c r="F10" s="770" t="s">
        <v>550</v>
      </c>
      <c r="G10" s="767" t="s">
        <v>552</v>
      </c>
      <c r="H10" s="770" t="s">
        <v>550</v>
      </c>
      <c r="I10" s="770" t="s">
        <v>550</v>
      </c>
      <c r="J10" s="770" t="s">
        <v>550</v>
      </c>
      <c r="K10" s="770" t="s">
        <v>550</v>
      </c>
      <c r="L10" s="770" t="s">
        <v>550</v>
      </c>
      <c r="M10" s="770" t="s">
        <v>550</v>
      </c>
      <c r="N10" s="767" t="s">
        <v>553</v>
      </c>
      <c r="O10" s="770" t="s">
        <v>550</v>
      </c>
      <c r="P10" s="770" t="s">
        <v>550</v>
      </c>
      <c r="Q10" s="967" t="s">
        <v>550</v>
      </c>
      <c r="R10" s="969"/>
    </row>
    <row r="11" spans="1:18" ht="165">
      <c r="A11" s="775" t="s">
        <v>450</v>
      </c>
      <c r="B11" s="771" t="s">
        <v>682</v>
      </c>
      <c r="C11" s="771" t="s">
        <v>682</v>
      </c>
      <c r="D11" s="771" t="s">
        <v>682</v>
      </c>
      <c r="E11" s="771" t="s">
        <v>682</v>
      </c>
      <c r="F11" s="771" t="s">
        <v>682</v>
      </c>
      <c r="G11" s="776" t="s">
        <v>550</v>
      </c>
      <c r="H11" s="776" t="s">
        <v>550</v>
      </c>
      <c r="I11" s="776" t="s">
        <v>550</v>
      </c>
      <c r="J11" s="776" t="s">
        <v>550</v>
      </c>
      <c r="K11" s="776" t="s">
        <v>550</v>
      </c>
      <c r="L11" s="776" t="s">
        <v>681</v>
      </c>
      <c r="M11" s="776" t="s">
        <v>550</v>
      </c>
      <c r="N11" s="771" t="s">
        <v>682</v>
      </c>
      <c r="O11" s="776" t="s">
        <v>550</v>
      </c>
      <c r="P11" s="776" t="s">
        <v>545</v>
      </c>
      <c r="Q11" s="777" t="s">
        <v>545</v>
      </c>
      <c r="R11" s="972"/>
    </row>
    <row r="12" spans="1:18" ht="165">
      <c r="A12" s="775" t="s">
        <v>451</v>
      </c>
      <c r="B12" s="771" t="s">
        <v>682</v>
      </c>
      <c r="C12" s="776" t="s">
        <v>550</v>
      </c>
      <c r="D12" s="776" t="s">
        <v>550</v>
      </c>
      <c r="E12" s="776" t="s">
        <v>550</v>
      </c>
      <c r="F12" s="776" t="s">
        <v>550</v>
      </c>
      <c r="G12" s="776" t="s">
        <v>550</v>
      </c>
      <c r="H12" s="776" t="s">
        <v>550</v>
      </c>
      <c r="I12" s="776" t="s">
        <v>550</v>
      </c>
      <c r="J12" s="776" t="s">
        <v>550</v>
      </c>
      <c r="K12" s="776" t="s">
        <v>550</v>
      </c>
      <c r="L12" s="776" t="s">
        <v>550</v>
      </c>
      <c r="M12" s="776" t="s">
        <v>550</v>
      </c>
      <c r="N12" s="776" t="s">
        <v>550</v>
      </c>
      <c r="O12" s="776" t="s">
        <v>550</v>
      </c>
      <c r="P12" s="776" t="s">
        <v>550</v>
      </c>
      <c r="Q12" s="777" t="s">
        <v>550</v>
      </c>
      <c r="R12" s="972"/>
    </row>
    <row r="13" spans="1:18" s="52" customFormat="1" ht="90">
      <c r="A13" s="999" t="s">
        <v>452</v>
      </c>
      <c r="B13" s="771" t="s">
        <v>717</v>
      </c>
      <c r="C13" s="1000" t="s">
        <v>550</v>
      </c>
      <c r="D13" s="771" t="s">
        <v>717</v>
      </c>
      <c r="E13" s="771" t="s">
        <v>717</v>
      </c>
      <c r="F13" s="1000" t="s">
        <v>550</v>
      </c>
      <c r="G13" s="771" t="s">
        <v>717</v>
      </c>
      <c r="H13" s="771" t="s">
        <v>717</v>
      </c>
      <c r="I13" s="1000" t="s">
        <v>550</v>
      </c>
      <c r="J13" s="1000" t="s">
        <v>550</v>
      </c>
      <c r="K13" s="1000" t="s">
        <v>550</v>
      </c>
      <c r="L13" s="1000" t="s">
        <v>550</v>
      </c>
      <c r="M13" s="1000" t="s">
        <v>550</v>
      </c>
      <c r="N13" s="771" t="s">
        <v>717</v>
      </c>
      <c r="O13" s="1000" t="s">
        <v>550</v>
      </c>
      <c r="P13" s="1000" t="s">
        <v>550</v>
      </c>
      <c r="Q13" s="1001" t="s">
        <v>550</v>
      </c>
      <c r="R13" s="1002"/>
    </row>
    <row r="14" spans="1:18" ht="30">
      <c r="A14" s="778" t="s">
        <v>555</v>
      </c>
      <c r="B14" s="771" t="s">
        <v>549</v>
      </c>
      <c r="C14" s="776" t="s">
        <v>545</v>
      </c>
      <c r="D14" s="771" t="s">
        <v>549</v>
      </c>
      <c r="E14" s="776" t="s">
        <v>545</v>
      </c>
      <c r="F14" s="776" t="s">
        <v>545</v>
      </c>
      <c r="G14" s="776" t="s">
        <v>545</v>
      </c>
      <c r="H14" s="776" t="s">
        <v>545</v>
      </c>
      <c r="I14" s="776" t="s">
        <v>545</v>
      </c>
      <c r="J14" s="776" t="s">
        <v>545</v>
      </c>
      <c r="K14" s="776" t="s">
        <v>545</v>
      </c>
      <c r="L14" s="776" t="s">
        <v>545</v>
      </c>
      <c r="M14" s="776" t="s">
        <v>545</v>
      </c>
      <c r="N14" s="776" t="s">
        <v>545</v>
      </c>
      <c r="O14" s="776" t="s">
        <v>545</v>
      </c>
      <c r="P14" s="776" t="s">
        <v>545</v>
      </c>
      <c r="Q14" s="777" t="s">
        <v>545</v>
      </c>
      <c r="R14" s="972"/>
    </row>
    <row r="15" spans="1:18" s="393" customFormat="1" ht="21">
      <c r="A15" s="779" t="s">
        <v>453</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556</v>
      </c>
      <c r="B18" s="786" t="s">
        <v>557</v>
      </c>
      <c r="C18" s="787" t="s">
        <v>558</v>
      </c>
      <c r="D18" s="788" t="s">
        <v>559</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560</v>
      </c>
    </row>
    <row r="2" spans="1:15" ht="60">
      <c r="A2" s="1137"/>
      <c r="B2" s="1133"/>
      <c r="C2" s="1133"/>
      <c r="D2" s="1138" t="s">
        <v>177</v>
      </c>
      <c r="E2" s="1138"/>
      <c r="F2" s="1138"/>
      <c r="G2" s="1138"/>
      <c r="H2" s="1138"/>
      <c r="I2" s="790" t="s">
        <v>215</v>
      </c>
      <c r="J2" s="790" t="s">
        <v>567</v>
      </c>
      <c r="K2" s="790" t="s">
        <v>207</v>
      </c>
      <c r="L2" s="852" t="s">
        <v>654</v>
      </c>
      <c r="M2" s="790" t="s">
        <v>565</v>
      </c>
      <c r="N2" s="790" t="s">
        <v>107</v>
      </c>
      <c r="O2" s="1133"/>
    </row>
    <row r="3" spans="1:15" ht="30">
      <c r="A3" s="1137"/>
      <c r="B3" s="790" t="s">
        <v>570</v>
      </c>
      <c r="C3" s="790" t="s">
        <v>571</v>
      </c>
      <c r="D3" s="790" t="s">
        <v>179</v>
      </c>
      <c r="E3" s="790" t="s">
        <v>180</v>
      </c>
      <c r="F3" s="790" t="s">
        <v>181</v>
      </c>
      <c r="G3" s="790" t="s">
        <v>183</v>
      </c>
      <c r="H3" s="790" t="s">
        <v>184</v>
      </c>
      <c r="I3" s="790"/>
      <c r="J3" s="790"/>
      <c r="K3" s="790"/>
      <c r="L3" s="852"/>
      <c r="M3" s="790"/>
      <c r="N3" s="790"/>
      <c r="O3" s="1133"/>
    </row>
    <row r="4" spans="1:15">
      <c r="A4" s="795" t="s">
        <v>219</v>
      </c>
      <c r="B4" s="791">
        <f>'SECAP template'!B99</f>
        <v>15504.966484568711</v>
      </c>
      <c r="C4" s="791"/>
      <c r="D4" s="791"/>
      <c r="E4" s="791"/>
      <c r="F4" s="791"/>
      <c r="G4" s="791"/>
      <c r="H4" s="791"/>
      <c r="I4" s="791"/>
      <c r="J4" s="791"/>
      <c r="K4" s="791"/>
      <c r="L4" s="791"/>
      <c r="M4" s="791"/>
      <c r="N4" s="791"/>
      <c r="O4" s="792">
        <f>'SECAP template'!O99</f>
        <v>0</v>
      </c>
    </row>
    <row r="5" spans="1:15">
      <c r="A5" s="796" t="s">
        <v>220</v>
      </c>
      <c r="B5" s="791">
        <f>'SECAP template'!B100</f>
        <v>1375.525001</v>
      </c>
      <c r="C5" s="791"/>
      <c r="D5" s="791"/>
      <c r="E5" s="791"/>
      <c r="F5" s="791"/>
      <c r="G5" s="791"/>
      <c r="H5" s="791"/>
      <c r="I5" s="791"/>
      <c r="J5" s="791"/>
      <c r="K5" s="791"/>
      <c r="L5" s="791"/>
      <c r="M5" s="791"/>
      <c r="N5" s="791"/>
      <c r="O5" s="792">
        <f>'SECAP template'!O100</f>
        <v>0</v>
      </c>
    </row>
    <row r="6" spans="1:15">
      <c r="A6" s="796" t="s">
        <v>221</v>
      </c>
      <c r="B6" s="791">
        <f>'SECAP template'!B101</f>
        <v>53470.365303814673</v>
      </c>
      <c r="C6" s="791"/>
      <c r="D6" s="791"/>
      <c r="E6" s="791"/>
      <c r="F6" s="791"/>
      <c r="G6" s="791"/>
      <c r="H6" s="791"/>
      <c r="I6" s="791"/>
      <c r="J6" s="791"/>
      <c r="K6" s="791"/>
      <c r="L6" s="791"/>
      <c r="M6" s="791"/>
      <c r="N6" s="791"/>
      <c r="O6" s="792">
        <f>'SECAP template'!O101</f>
        <v>0</v>
      </c>
    </row>
    <row r="7" spans="1:15">
      <c r="A7" s="796" t="s">
        <v>542</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1085.3586709580561</v>
      </c>
      <c r="C8" s="791">
        <f>'SECAP template'!C103</f>
        <v>6961.7636137461504</v>
      </c>
      <c r="D8" s="791">
        <f>'SECAP template'!D103</f>
        <v>8853.6908171497234</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1380.3154820426746</v>
      </c>
      <c r="M8" s="791">
        <f>'SECAP template'!M103</f>
        <v>0</v>
      </c>
      <c r="N8" s="791">
        <f>'SECAP template'!N103</f>
        <v>0</v>
      </c>
      <c r="O8" s="792">
        <f>'SECAP template'!O103</f>
        <v>1788.4455450642442</v>
      </c>
    </row>
    <row r="9" spans="1:15">
      <c r="A9" s="797" t="s">
        <v>563</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71436.215460341438</v>
      </c>
      <c r="C10" s="793">
        <f>SUM(C4:C9)</f>
        <v>6961.7636137461504</v>
      </c>
      <c r="D10" s="793">
        <f t="shared" ref="D10:H10" si="0">SUM(D8:D9)</f>
        <v>8853.6908171497234</v>
      </c>
      <c r="E10" s="793">
        <f t="shared" si="0"/>
        <v>0</v>
      </c>
      <c r="F10" s="793">
        <f t="shared" si="0"/>
        <v>0</v>
      </c>
      <c r="G10" s="793">
        <f t="shared" si="0"/>
        <v>0</v>
      </c>
      <c r="H10" s="793">
        <f t="shared" si="0"/>
        <v>0</v>
      </c>
      <c r="I10" s="793">
        <f t="shared" ref="I10:O10" si="1">SUM(I8:I9)</f>
        <v>0</v>
      </c>
      <c r="J10" s="793">
        <f t="shared" si="1"/>
        <v>0</v>
      </c>
      <c r="K10" s="793">
        <f t="shared" si="1"/>
        <v>0</v>
      </c>
      <c r="L10" s="793">
        <f t="shared" si="1"/>
        <v>1380.3154820426746</v>
      </c>
      <c r="M10" s="793">
        <f t="shared" si="1"/>
        <v>0</v>
      </c>
      <c r="N10" s="793">
        <f t="shared" si="1"/>
        <v>0</v>
      </c>
      <c r="O10" s="793">
        <f t="shared" si="1"/>
        <v>1788.4455450642442</v>
      </c>
    </row>
    <row r="11" spans="1:15">
      <c r="A11" s="708"/>
      <c r="B11" s="708"/>
      <c r="C11" s="708"/>
      <c r="D11" s="708"/>
      <c r="E11" s="708"/>
      <c r="F11" s="708"/>
      <c r="G11" s="708"/>
      <c r="H11" s="708"/>
      <c r="I11" s="708"/>
      <c r="J11" s="708"/>
      <c r="K11" s="708"/>
      <c r="L11" s="708"/>
      <c r="M11" s="708"/>
      <c r="N11" s="708"/>
      <c r="O11" s="708"/>
    </row>
    <row r="12" spans="1:15">
      <c r="A12" s="394" t="s">
        <v>573</v>
      </c>
      <c r="B12" s="617" t="s">
        <v>572</v>
      </c>
      <c r="C12" s="617">
        <f>'EF ele_warmte'!B13</f>
        <v>0.1792331617176651</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561</v>
      </c>
    </row>
    <row r="15" spans="1:15">
      <c r="A15" s="1137"/>
      <c r="B15" s="1133"/>
      <c r="C15" s="1133"/>
      <c r="D15" s="1139" t="s">
        <v>177</v>
      </c>
      <c r="E15" s="1139"/>
      <c r="F15" s="1139"/>
      <c r="G15" s="1139"/>
      <c r="H15" s="1139"/>
      <c r="I15" s="1133" t="s">
        <v>215</v>
      </c>
      <c r="J15" s="1133" t="s">
        <v>567</v>
      </c>
      <c r="K15" s="1133" t="s">
        <v>207</v>
      </c>
      <c r="L15" s="1133" t="s">
        <v>654</v>
      </c>
      <c r="M15" s="1133" t="s">
        <v>566</v>
      </c>
      <c r="N15" s="1133" t="s">
        <v>107</v>
      </c>
      <c r="O15" s="1133"/>
    </row>
    <row r="16" spans="1:15" ht="30">
      <c r="A16" s="1137"/>
      <c r="B16" s="790" t="s">
        <v>568</v>
      </c>
      <c r="C16" s="790" t="s">
        <v>569</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1401.9663150353811</v>
      </c>
      <c r="C17" s="794">
        <f>'SECAP template'!C114</f>
        <v>8992.5647077529738</v>
      </c>
      <c r="D17" s="792">
        <f>'SECAP template'!D114</f>
        <v>11436.381927483284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1782.9643432409991</v>
      </c>
      <c r="M17" s="792">
        <f>'SECAP template'!M114</f>
        <v>0</v>
      </c>
      <c r="N17" s="792">
        <f>'SECAP template'!N114</f>
        <v>0</v>
      </c>
      <c r="O17" s="792">
        <f>'SECAP template'!O114</f>
        <v>2310.1491493516237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564</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1401.9663150353811</v>
      </c>
      <c r="C20" s="793">
        <f>SUM(C17:C19)</f>
        <v>8992.5647077529738</v>
      </c>
      <c r="D20" s="793">
        <f t="shared" ref="D20:H20" si="2">SUM(D17:D19)</f>
        <v>11436.381927483284</v>
      </c>
      <c r="E20" s="793">
        <f t="shared" si="2"/>
        <v>0</v>
      </c>
      <c r="F20" s="793">
        <f t="shared" si="2"/>
        <v>0</v>
      </c>
      <c r="G20" s="793">
        <f t="shared" si="2"/>
        <v>0</v>
      </c>
      <c r="H20" s="793">
        <f t="shared" si="2"/>
        <v>0</v>
      </c>
      <c r="I20" s="793">
        <f t="shared" ref="I20:O20" si="3">SUM(I17:I19)</f>
        <v>0</v>
      </c>
      <c r="J20" s="793">
        <f t="shared" si="3"/>
        <v>0</v>
      </c>
      <c r="K20" s="793">
        <f t="shared" si="3"/>
        <v>0</v>
      </c>
      <c r="L20" s="793">
        <f t="shared" si="3"/>
        <v>1782.9643432409991</v>
      </c>
      <c r="M20" s="793">
        <f t="shared" si="3"/>
        <v>0</v>
      </c>
      <c r="N20" s="793">
        <f t="shared" si="3"/>
        <v>0</v>
      </c>
      <c r="O20" s="793">
        <f t="shared" si="3"/>
        <v>2310.1491493516237</v>
      </c>
    </row>
    <row r="21" spans="1:15">
      <c r="B21" s="705"/>
    </row>
    <row r="22" spans="1:15">
      <c r="A22" s="394" t="s">
        <v>574</v>
      </c>
      <c r="B22" s="617" t="s">
        <v>572</v>
      </c>
      <c r="C22" s="617">
        <f>'EF ele_warmte'!B23</f>
        <v>0.22224659720452891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560</v>
      </c>
    </row>
    <row r="2" spans="1:15" ht="15.75">
      <c r="A2" s="1137"/>
      <c r="B2" s="1133"/>
      <c r="C2" s="1133"/>
      <c r="D2" s="1138" t="s">
        <v>177</v>
      </c>
      <c r="E2" s="1138"/>
      <c r="F2" s="1138"/>
      <c r="G2" s="1138"/>
      <c r="H2" s="1138"/>
      <c r="I2" s="790" t="s">
        <v>215</v>
      </c>
      <c r="J2" s="790" t="s">
        <v>567</v>
      </c>
      <c r="K2" s="790" t="s">
        <v>207</v>
      </c>
      <c r="L2" s="852" t="s">
        <v>654</v>
      </c>
      <c r="M2" s="790" t="s">
        <v>565</v>
      </c>
      <c r="N2" s="790" t="s">
        <v>107</v>
      </c>
      <c r="O2" s="1133"/>
    </row>
    <row r="3" spans="1:15" ht="30">
      <c r="A3" s="1137"/>
      <c r="B3" s="790" t="s">
        <v>570</v>
      </c>
      <c r="C3" s="790" t="s">
        <v>571</v>
      </c>
      <c r="D3" s="790" t="s">
        <v>179</v>
      </c>
      <c r="E3" s="790" t="s">
        <v>180</v>
      </c>
      <c r="F3" s="790" t="s">
        <v>181</v>
      </c>
      <c r="G3" s="790" t="s">
        <v>183</v>
      </c>
      <c r="H3" s="790" t="s">
        <v>184</v>
      </c>
      <c r="I3" s="790"/>
      <c r="J3" s="790"/>
      <c r="K3" s="790"/>
      <c r="L3" s="852"/>
      <c r="M3" s="790"/>
      <c r="N3" s="790"/>
      <c r="O3" s="1133"/>
    </row>
    <row r="4" spans="1:15" ht="110.25" customHeight="1">
      <c r="A4" s="803" t="s">
        <v>219</v>
      </c>
      <c r="B4" s="801" t="s">
        <v>626</v>
      </c>
      <c r="C4" s="806" t="s">
        <v>550</v>
      </c>
      <c r="D4" s="806" t="s">
        <v>550</v>
      </c>
      <c r="E4" s="806" t="s">
        <v>550</v>
      </c>
      <c r="F4" s="806" t="s">
        <v>550</v>
      </c>
      <c r="G4" s="806" t="s">
        <v>550</v>
      </c>
      <c r="H4" s="806" t="s">
        <v>550</v>
      </c>
      <c r="I4" s="806" t="s">
        <v>550</v>
      </c>
      <c r="J4" s="806" t="s">
        <v>550</v>
      </c>
      <c r="K4" s="806" t="s">
        <v>550</v>
      </c>
      <c r="L4" s="806" t="s">
        <v>550</v>
      </c>
      <c r="M4" s="806" t="s">
        <v>550</v>
      </c>
      <c r="N4" s="806" t="s">
        <v>550</v>
      </c>
      <c r="O4" s="802" t="s">
        <v>575</v>
      </c>
    </row>
    <row r="5" spans="1:15" ht="105">
      <c r="A5" s="804" t="s">
        <v>220</v>
      </c>
      <c r="B5" s="833" t="s">
        <v>686</v>
      </c>
      <c r="C5" s="806" t="s">
        <v>550</v>
      </c>
      <c r="D5" s="806" t="s">
        <v>550</v>
      </c>
      <c r="E5" s="806" t="s">
        <v>550</v>
      </c>
      <c r="F5" s="806" t="s">
        <v>550</v>
      </c>
      <c r="G5" s="806" t="s">
        <v>550</v>
      </c>
      <c r="H5" s="806" t="s">
        <v>550</v>
      </c>
      <c r="I5" s="806" t="s">
        <v>550</v>
      </c>
      <c r="J5" s="806" t="s">
        <v>550</v>
      </c>
      <c r="K5" s="806" t="s">
        <v>550</v>
      </c>
      <c r="L5" s="806" t="s">
        <v>550</v>
      </c>
      <c r="M5" s="806" t="s">
        <v>550</v>
      </c>
      <c r="N5" s="806" t="s">
        <v>550</v>
      </c>
      <c r="O5" s="802" t="s">
        <v>575</v>
      </c>
    </row>
    <row r="6" spans="1:15" ht="90">
      <c r="A6" s="804" t="s">
        <v>221</v>
      </c>
      <c r="B6" s="801" t="s">
        <v>626</v>
      </c>
      <c r="C6" s="806" t="s">
        <v>550</v>
      </c>
      <c r="D6" s="806" t="s">
        <v>550</v>
      </c>
      <c r="E6" s="806" t="s">
        <v>550</v>
      </c>
      <c r="F6" s="806" t="s">
        <v>550</v>
      </c>
      <c r="G6" s="806" t="s">
        <v>550</v>
      </c>
      <c r="H6" s="806" t="s">
        <v>550</v>
      </c>
      <c r="I6" s="806" t="s">
        <v>550</v>
      </c>
      <c r="J6" s="806" t="s">
        <v>550</v>
      </c>
      <c r="K6" s="806" t="s">
        <v>550</v>
      </c>
      <c r="L6" s="806" t="s">
        <v>550</v>
      </c>
      <c r="M6" s="806" t="s">
        <v>550</v>
      </c>
      <c r="N6" s="806" t="s">
        <v>550</v>
      </c>
      <c r="O6" s="802" t="s">
        <v>575</v>
      </c>
    </row>
    <row r="7" spans="1:15" ht="75">
      <c r="A7" s="804" t="s">
        <v>542</v>
      </c>
      <c r="B7" s="806" t="s">
        <v>550</v>
      </c>
      <c r="C7" s="806" t="s">
        <v>550</v>
      </c>
      <c r="D7" s="806" t="s">
        <v>550</v>
      </c>
      <c r="E7" s="806" t="s">
        <v>550</v>
      </c>
      <c r="F7" s="806" t="s">
        <v>550</v>
      </c>
      <c r="G7" s="806" t="s">
        <v>550</v>
      </c>
      <c r="H7" s="806" t="s">
        <v>550</v>
      </c>
      <c r="I7" s="806" t="s">
        <v>550</v>
      </c>
      <c r="J7" s="806" t="s">
        <v>550</v>
      </c>
      <c r="K7" s="806" t="s">
        <v>550</v>
      </c>
      <c r="L7" s="806" t="s">
        <v>550</v>
      </c>
      <c r="M7" s="806" t="s">
        <v>550</v>
      </c>
      <c r="N7" s="806" t="s">
        <v>550</v>
      </c>
      <c r="O7" s="802" t="s">
        <v>575</v>
      </c>
    </row>
    <row r="8" spans="1:15" ht="75">
      <c r="A8" s="803" t="s">
        <v>222</v>
      </c>
      <c r="B8" s="833" t="s">
        <v>750</v>
      </c>
      <c r="C8" s="833" t="s">
        <v>750</v>
      </c>
      <c r="D8" s="833" t="s">
        <v>752</v>
      </c>
      <c r="E8" s="833" t="s">
        <v>752</v>
      </c>
      <c r="F8" s="833" t="s">
        <v>752</v>
      </c>
      <c r="G8" s="974" t="s">
        <v>550</v>
      </c>
      <c r="H8" s="974" t="s">
        <v>550</v>
      </c>
      <c r="I8" s="833" t="s">
        <v>752</v>
      </c>
      <c r="J8" s="833" t="s">
        <v>752</v>
      </c>
      <c r="K8" s="833" t="s">
        <v>752</v>
      </c>
      <c r="L8" s="833" t="s">
        <v>752</v>
      </c>
      <c r="M8" s="974" t="s">
        <v>550</v>
      </c>
      <c r="N8" s="974" t="s">
        <v>550</v>
      </c>
      <c r="O8" s="835"/>
    </row>
    <row r="9" spans="1:15" ht="30">
      <c r="A9" s="805" t="s">
        <v>563</v>
      </c>
      <c r="B9" s="833" t="s">
        <v>751</v>
      </c>
      <c r="C9" s="833" t="s">
        <v>751</v>
      </c>
      <c r="D9" s="833" t="s">
        <v>751</v>
      </c>
      <c r="E9" s="833" t="s">
        <v>751</v>
      </c>
      <c r="F9" s="833" t="s">
        <v>751</v>
      </c>
      <c r="G9" s="974" t="s">
        <v>550</v>
      </c>
      <c r="H9" s="974" t="s">
        <v>550</v>
      </c>
      <c r="I9" s="833" t="s">
        <v>751</v>
      </c>
      <c r="J9" s="833" t="s">
        <v>751</v>
      </c>
      <c r="K9" s="833" t="s">
        <v>751</v>
      </c>
      <c r="L9" s="833" t="s">
        <v>751</v>
      </c>
      <c r="M9" s="974" t="s">
        <v>550</v>
      </c>
      <c r="N9" s="974" t="s">
        <v>550</v>
      </c>
      <c r="O9" s="833" t="s">
        <v>751</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573</v>
      </c>
      <c r="B12" s="617" t="s">
        <v>572</v>
      </c>
      <c r="C12" s="836" t="s">
        <v>685</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561</v>
      </c>
    </row>
    <row r="15" spans="1:15">
      <c r="A15" s="1137"/>
      <c r="B15" s="1133"/>
      <c r="C15" s="1133"/>
      <c r="D15" s="1139" t="s">
        <v>177</v>
      </c>
      <c r="E15" s="1139"/>
      <c r="F15" s="1139"/>
      <c r="G15" s="1139"/>
      <c r="H15" s="1139"/>
      <c r="I15" s="1133" t="s">
        <v>215</v>
      </c>
      <c r="J15" s="1133" t="s">
        <v>567</v>
      </c>
      <c r="K15" s="1133" t="s">
        <v>207</v>
      </c>
      <c r="L15" s="1133" t="s">
        <v>654</v>
      </c>
      <c r="M15" s="1133" t="s">
        <v>566</v>
      </c>
      <c r="N15" s="1133" t="s">
        <v>107</v>
      </c>
      <c r="O15" s="1133"/>
    </row>
    <row r="16" spans="1:15" ht="30">
      <c r="A16" s="1137"/>
      <c r="B16" s="790" t="s">
        <v>568</v>
      </c>
      <c r="C16" s="790" t="s">
        <v>569</v>
      </c>
      <c r="D16" s="790" t="s">
        <v>179</v>
      </c>
      <c r="E16" s="790" t="s">
        <v>180</v>
      </c>
      <c r="F16" s="790" t="s">
        <v>181</v>
      </c>
      <c r="G16" s="790" t="s">
        <v>183</v>
      </c>
      <c r="H16" s="790" t="s">
        <v>184</v>
      </c>
      <c r="I16" s="1133"/>
      <c r="J16" s="1133"/>
      <c r="K16" s="1133"/>
      <c r="L16" s="1133"/>
      <c r="M16" s="1133"/>
      <c r="N16" s="1140"/>
      <c r="O16" s="1133"/>
    </row>
    <row r="17" spans="1:15" ht="60">
      <c r="A17" s="798" t="s">
        <v>222</v>
      </c>
      <c r="B17" s="833" t="s">
        <v>683</v>
      </c>
      <c r="C17" s="833" t="s">
        <v>683</v>
      </c>
      <c r="D17" s="833" t="s">
        <v>684</v>
      </c>
      <c r="E17" s="833" t="s">
        <v>684</v>
      </c>
      <c r="F17" s="833" t="s">
        <v>684</v>
      </c>
      <c r="G17" s="974" t="s">
        <v>550</v>
      </c>
      <c r="H17" s="974" t="s">
        <v>550</v>
      </c>
      <c r="I17" s="833" t="s">
        <v>684</v>
      </c>
      <c r="J17" s="833" t="s">
        <v>684</v>
      </c>
      <c r="K17" s="833" t="s">
        <v>684</v>
      </c>
      <c r="L17" s="833" t="s">
        <v>684</v>
      </c>
      <c r="M17" s="974" t="s">
        <v>550</v>
      </c>
      <c r="N17" s="974" t="s">
        <v>550</v>
      </c>
      <c r="O17" s="837"/>
    </row>
    <row r="18" spans="1:15" s="11" customFormat="1" ht="30">
      <c r="A18" s="799" t="s">
        <v>227</v>
      </c>
      <c r="B18" s="1028" t="s">
        <v>554</v>
      </c>
      <c r="C18" s="1028" t="s">
        <v>554</v>
      </c>
      <c r="D18" s="1028" t="s">
        <v>554</v>
      </c>
      <c r="E18" s="1028" t="s">
        <v>554</v>
      </c>
      <c r="F18" s="1028" t="s">
        <v>554</v>
      </c>
      <c r="G18" s="1028" t="s">
        <v>554</v>
      </c>
      <c r="H18" s="1028" t="s">
        <v>554</v>
      </c>
      <c r="I18" s="1028" t="s">
        <v>554</v>
      </c>
      <c r="J18" s="1028" t="s">
        <v>554</v>
      </c>
      <c r="K18" s="1028" t="s">
        <v>554</v>
      </c>
      <c r="L18" s="1028" t="s">
        <v>554</v>
      </c>
      <c r="M18" s="1028" t="s">
        <v>554</v>
      </c>
      <c r="N18" s="1028" t="s">
        <v>554</v>
      </c>
      <c r="O18" s="1028"/>
    </row>
    <row r="19" spans="1:15">
      <c r="A19" s="797" t="s">
        <v>564</v>
      </c>
      <c r="B19" s="1024" t="s">
        <v>550</v>
      </c>
      <c r="C19" s="1024" t="s">
        <v>550</v>
      </c>
      <c r="D19" s="1024" t="s">
        <v>550</v>
      </c>
      <c r="E19" s="1024" t="s">
        <v>550</v>
      </c>
      <c r="F19" s="1024" t="s">
        <v>550</v>
      </c>
      <c r="G19" s="1024" t="s">
        <v>550</v>
      </c>
      <c r="H19" s="1024" t="s">
        <v>550</v>
      </c>
      <c r="I19" s="1024" t="s">
        <v>550</v>
      </c>
      <c r="J19" s="1024" t="s">
        <v>550</v>
      </c>
      <c r="K19" s="1024" t="s">
        <v>550</v>
      </c>
      <c r="L19" s="1024" t="s">
        <v>550</v>
      </c>
      <c r="M19" s="1024" t="s">
        <v>550</v>
      </c>
      <c r="N19" s="1024" t="s">
        <v>550</v>
      </c>
      <c r="O19" s="1025" t="s">
        <v>550</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574</v>
      </c>
      <c r="B22" s="617" t="s">
        <v>572</v>
      </c>
      <c r="C22" s="836" t="s">
        <v>576</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768</v>
      </c>
    </row>
    <row r="7" spans="1:3">
      <c r="A7" s="123"/>
      <c r="B7" s="126"/>
      <c r="C7" s="121"/>
    </row>
    <row r="8" spans="1:3" ht="30">
      <c r="A8" s="112" t="s">
        <v>341</v>
      </c>
      <c r="B8" s="74" t="s">
        <v>426</v>
      </c>
      <c r="C8" s="281" t="s">
        <v>668</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654</v>
      </c>
      <c r="M3" s="383" t="s">
        <v>186</v>
      </c>
      <c r="N3" s="383" t="s">
        <v>187</v>
      </c>
      <c r="O3" s="383" t="s">
        <v>188</v>
      </c>
      <c r="P3" s="383" t="s">
        <v>189</v>
      </c>
      <c r="Q3" s="383" t="s">
        <v>190</v>
      </c>
    </row>
    <row r="4" spans="1:17">
      <c r="A4" s="384" t="s">
        <v>716</v>
      </c>
      <c r="B4" s="395">
        <f>MWh_eigenvloot_elektriciteit</f>
        <v>0.83287</v>
      </c>
      <c r="C4" s="403"/>
      <c r="D4" s="396">
        <f>MWh_eigenvloot_aardgas</f>
        <v>107.973</v>
      </c>
      <c r="E4" s="396">
        <f>MWh_eigenvloot_vloeibaargas</f>
        <v>0</v>
      </c>
      <c r="F4" s="403"/>
      <c r="G4" s="396">
        <f>MWh_eigenvloot_diesel</f>
        <v>1663.8080400000001</v>
      </c>
      <c r="H4" s="396">
        <f>MWh_eigenvloot_benzine</f>
        <v>217.23839999999998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473</v>
      </c>
    </row>
    <row r="26" spans="1:17" s="393" customFormat="1">
      <c r="A26" s="399" t="s">
        <v>427</v>
      </c>
      <c r="B26" s="399">
        <f t="shared" ref="B26:H26" si="0">SUM(B4:B23)</f>
        <v>0.83287</v>
      </c>
      <c r="C26" s="399" t="s">
        <v>669</v>
      </c>
      <c r="D26" s="399">
        <f t="shared" si="0"/>
        <v>107.973</v>
      </c>
      <c r="E26" s="399">
        <f t="shared" si="0"/>
        <v>0</v>
      </c>
      <c r="F26" s="399" t="s">
        <v>669</v>
      </c>
      <c r="G26" s="399">
        <f t="shared" si="0"/>
        <v>1663.8080400000001</v>
      </c>
      <c r="H26" s="399">
        <f t="shared" si="0"/>
        <v>217.23839999999998</v>
      </c>
      <c r="I26" s="399" t="s">
        <v>669</v>
      </c>
      <c r="J26" s="399" t="s">
        <v>669</v>
      </c>
      <c r="K26" s="399" t="s">
        <v>669</v>
      </c>
      <c r="L26" s="913" t="s">
        <v>669</v>
      </c>
      <c r="M26" s="399" t="s">
        <v>669</v>
      </c>
      <c r="N26" s="399"/>
      <c r="O26" s="399" t="s">
        <v>669</v>
      </c>
      <c r="P26" s="399" t="s">
        <v>669</v>
      </c>
      <c r="Q26" s="399" t="s">
        <v>669</v>
      </c>
    </row>
    <row r="27" spans="1:17" s="393" customFormat="1">
      <c r="A27" s="399" t="s">
        <v>477</v>
      </c>
      <c r="B27" s="399">
        <f>B26</f>
        <v>0.83287</v>
      </c>
      <c r="C27" s="399" t="s">
        <v>669</v>
      </c>
      <c r="D27" s="399">
        <f>D26</f>
        <v>107.973</v>
      </c>
      <c r="E27" s="399">
        <f>E26</f>
        <v>0</v>
      </c>
      <c r="F27" s="399" t="s">
        <v>669</v>
      </c>
      <c r="G27" s="399">
        <f>(1-transport!C35)*'Eigen vloot'!G26</f>
        <v>1485.921016539249</v>
      </c>
      <c r="H27" s="399">
        <f>(1-transport!C42)*'Eigen vloot'!H26</f>
        <v>201.07355252250278</v>
      </c>
      <c r="I27" s="399" t="s">
        <v>669</v>
      </c>
      <c r="J27" s="399" t="s">
        <v>669</v>
      </c>
      <c r="K27" s="399" t="s">
        <v>669</v>
      </c>
      <c r="L27" s="913" t="s">
        <v>669</v>
      </c>
      <c r="M27" s="399" t="s">
        <v>669</v>
      </c>
      <c r="N27" s="529">
        <f>G26*transport!C35+'Eigen vloot'!H26*transport!C42</f>
        <v>194.05187093824833</v>
      </c>
      <c r="O27" s="399" t="s">
        <v>669</v>
      </c>
      <c r="P27" s="399" t="s">
        <v>669</v>
      </c>
      <c r="Q27" s="399" t="s">
        <v>669</v>
      </c>
    </row>
    <row r="29" spans="1:17">
      <c r="A29" s="401" t="s">
        <v>479</v>
      </c>
      <c r="B29" s="405">
        <f>'EF ele_warmte'!B13</f>
        <v>0.1792331617176651</v>
      </c>
      <c r="C29" s="405">
        <f>'EF ele_warmte'!B23</f>
        <v>0.22224659720452891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0.14927792339979173</v>
      </c>
      <c r="C31" s="530" t="s">
        <v>669</v>
      </c>
      <c r="D31" s="530">
        <f>D27*D29</f>
        <v>21.810546000000002</v>
      </c>
      <c r="E31" s="530">
        <f>E27*E29</f>
        <v>0</v>
      </c>
      <c r="F31" s="530" t="s">
        <v>669</v>
      </c>
      <c r="G31" s="530">
        <f>G27*G29</f>
        <v>396.7409114159795</v>
      </c>
      <c r="H31" s="530">
        <f>H27*H29</f>
        <v>50.067314578103193</v>
      </c>
      <c r="I31" s="530" t="s">
        <v>669</v>
      </c>
      <c r="J31" s="530" t="s">
        <v>669</v>
      </c>
      <c r="K31" s="530" t="s">
        <v>669</v>
      </c>
      <c r="L31" s="915" t="s">
        <v>669</v>
      </c>
      <c r="M31" s="530" t="s">
        <v>669</v>
      </c>
      <c r="N31" s="530">
        <f>N27*N29</f>
        <v>0</v>
      </c>
      <c r="O31" s="404" t="s">
        <v>669</v>
      </c>
      <c r="P31" s="404" t="s">
        <v>669</v>
      </c>
      <c r="Q31" s="404" t="s">
        <v>669</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714</v>
      </c>
      <c r="B2" s="1149" t="s">
        <v>715</v>
      </c>
      <c r="C2" s="1149"/>
      <c r="D2" s="1150"/>
    </row>
    <row r="3" spans="1:11">
      <c r="A3" s="100"/>
      <c r="B3" s="407"/>
      <c r="C3" s="138" t="s">
        <v>162</v>
      </c>
      <c r="D3" s="141" t="s">
        <v>336</v>
      </c>
    </row>
    <row r="4" spans="1:11">
      <c r="A4" s="44" t="s">
        <v>365</v>
      </c>
      <c r="B4" s="47"/>
      <c r="C4" s="32"/>
      <c r="D4" s="140" t="s">
        <v>338</v>
      </c>
      <c r="E4" s="997" t="s">
        <v>713</v>
      </c>
    </row>
    <row r="5" spans="1:11" s="810" customFormat="1">
      <c r="A5" s="44" t="s">
        <v>655</v>
      </c>
      <c r="B5" s="47"/>
      <c r="C5" s="32"/>
      <c r="D5" s="140" t="s">
        <v>338</v>
      </c>
      <c r="E5" s="997"/>
    </row>
    <row r="6" spans="1:11">
      <c r="A6" s="44"/>
      <c r="B6" s="48"/>
      <c r="C6" s="32"/>
      <c r="D6" s="140"/>
    </row>
    <row r="7" spans="1:11" s="10" customFormat="1" ht="21.75" thickBot="1">
      <c r="A7" s="178" t="s">
        <v>663</v>
      </c>
      <c r="B7" s="408"/>
      <c r="C7" s="179"/>
      <c r="D7" s="180"/>
    </row>
    <row r="8" spans="1:11" s="43" customFormat="1" ht="15.75" thickBot="1">
      <c r="B8" s="386"/>
    </row>
    <row r="9" spans="1:11" s="43" customFormat="1">
      <c r="A9" s="173" t="s">
        <v>688</v>
      </c>
      <c r="B9" s="406"/>
      <c r="C9" s="174"/>
      <c r="D9" s="175"/>
    </row>
    <row r="10" spans="1:11" s="32" customFormat="1">
      <c r="A10" s="46"/>
      <c r="B10" s="409"/>
      <c r="C10" s="42"/>
      <c r="D10" s="272"/>
    </row>
    <row r="11" spans="1:11">
      <c r="A11" s="273" t="s">
        <v>461</v>
      </c>
      <c r="B11" s="407"/>
      <c r="C11" s="138" t="s">
        <v>162</v>
      </c>
      <c r="D11" s="141" t="s">
        <v>336</v>
      </c>
      <c r="I11" s="1147"/>
      <c r="K11" s="57"/>
    </row>
    <row r="12" spans="1:11" s="43" customFormat="1">
      <c r="A12" s="44" t="s">
        <v>462</v>
      </c>
      <c r="B12" s="47"/>
      <c r="D12" s="139" t="s">
        <v>337</v>
      </c>
      <c r="I12" s="1147"/>
      <c r="K12" s="57"/>
    </row>
    <row r="13" spans="1:11" s="43" customFormat="1">
      <c r="A13" s="44" t="s">
        <v>463</v>
      </c>
      <c r="B13" s="47"/>
      <c r="D13" s="139" t="s">
        <v>337</v>
      </c>
      <c r="I13" s="1147"/>
      <c r="K13" s="57"/>
    </row>
    <row r="14" spans="1:11" s="43" customFormat="1">
      <c r="A14" s="44"/>
      <c r="B14" s="48"/>
      <c r="D14" s="95"/>
      <c r="I14" s="1147"/>
    </row>
    <row r="15" spans="1:11" s="43" customFormat="1">
      <c r="A15" s="273" t="s">
        <v>460</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662</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471</v>
      </c>
      <c r="B28" s="410"/>
      <c r="C28" s="107"/>
      <c r="D28" s="108"/>
      <c r="I28" s="57"/>
      <c r="J28" s="57"/>
      <c r="K28" s="57"/>
    </row>
    <row r="30" spans="1:11" ht="15.75" thickBot="1"/>
    <row r="31" spans="1:11" s="43" customFormat="1">
      <c r="A31" s="173" t="s">
        <v>687</v>
      </c>
      <c r="B31" s="406"/>
      <c r="C31" s="174"/>
      <c r="D31" s="175"/>
    </row>
    <row r="32" spans="1:11" s="32" customFormat="1">
      <c r="A32" s="46"/>
      <c r="B32" s="409"/>
      <c r="C32" s="42"/>
      <c r="D32" s="272"/>
    </row>
    <row r="33" spans="1:11">
      <c r="A33" s="273" t="s">
        <v>461</v>
      </c>
      <c r="B33" s="407"/>
      <c r="C33" s="138" t="s">
        <v>162</v>
      </c>
      <c r="D33" s="141" t="s">
        <v>336</v>
      </c>
    </row>
    <row r="34" spans="1:11">
      <c r="A34" s="375" t="s">
        <v>462</v>
      </c>
      <c r="B34" s="47"/>
      <c r="C34" s="48"/>
      <c r="D34" s="139" t="s">
        <v>337</v>
      </c>
    </row>
    <row r="35" spans="1:11">
      <c r="A35" s="44"/>
      <c r="B35" s="48"/>
      <c r="C35" s="48"/>
      <c r="D35" s="139"/>
    </row>
    <row r="36" spans="1:11" s="43" customFormat="1">
      <c r="A36" s="273" t="s">
        <v>460</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662</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471</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464</v>
      </c>
      <c r="B54" s="47"/>
      <c r="C54" s="32"/>
      <c r="D54" s="140" t="s">
        <v>338</v>
      </c>
    </row>
    <row r="55" spans="1:11">
      <c r="A55" s="44" t="s">
        <v>465</v>
      </c>
      <c r="B55" s="47"/>
      <c r="C55" s="32"/>
      <c r="D55" s="140" t="s">
        <v>338</v>
      </c>
    </row>
    <row r="56" spans="1:11" ht="15.75" thickBot="1">
      <c r="A56" s="45"/>
      <c r="B56" s="176"/>
      <c r="C56" s="150"/>
      <c r="D56" s="181"/>
    </row>
    <row r="58" spans="1:11" ht="15.75" thickBot="1"/>
    <row r="59" spans="1:11" s="43" customFormat="1" ht="17.25">
      <c r="A59" s="173" t="s">
        <v>629</v>
      </c>
      <c r="B59" s="406"/>
      <c r="C59" s="174"/>
      <c r="D59" s="175"/>
    </row>
    <row r="60" spans="1:11">
      <c r="A60" s="100"/>
      <c r="B60" s="407"/>
      <c r="C60" s="138" t="s">
        <v>162</v>
      </c>
      <c r="D60" s="141" t="s">
        <v>336</v>
      </c>
    </row>
    <row r="61" spans="1:11">
      <c r="A61" s="44" t="s">
        <v>466</v>
      </c>
      <c r="B61" s="47"/>
      <c r="C61" s="32"/>
      <c r="D61" s="139" t="s">
        <v>135</v>
      </c>
    </row>
    <row r="62" spans="1:11">
      <c r="A62" s="44" t="s">
        <v>467</v>
      </c>
      <c r="B62" s="47"/>
      <c r="C62" s="32"/>
      <c r="D62" s="139" t="s">
        <v>136</v>
      </c>
    </row>
    <row r="63" spans="1:11">
      <c r="A63" s="44" t="s">
        <v>468</v>
      </c>
      <c r="B63" s="47"/>
      <c r="C63" s="48"/>
      <c r="D63" s="139" t="s">
        <v>334</v>
      </c>
    </row>
    <row r="64" spans="1:11">
      <c r="A64" s="44" t="s">
        <v>469</v>
      </c>
      <c r="B64" s="47"/>
      <c r="C64" s="48"/>
      <c r="D64" s="139" t="s">
        <v>92</v>
      </c>
    </row>
    <row r="65" spans="1:4">
      <c r="A65" s="44"/>
      <c r="B65" s="48"/>
      <c r="C65" s="48"/>
      <c r="D65" s="139"/>
    </row>
    <row r="66" spans="1:4" ht="21.75" thickBot="1">
      <c r="A66" s="178" t="s">
        <v>621</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480</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632</v>
      </c>
      <c r="C21" s="128" t="s">
        <v>474</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445</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445</v>
      </c>
      <c r="B4" s="286"/>
      <c r="C4" s="286"/>
      <c r="D4" s="286"/>
      <c r="E4" s="286"/>
      <c r="F4" s="286"/>
      <c r="G4" s="286"/>
    </row>
    <row r="5" spans="1:7" ht="22.5">
      <c r="A5" s="1237" t="s">
        <v>446</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37133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524</v>
      </c>
      <c r="B14" s="980">
        <v>3131.619999999999</v>
      </c>
      <c r="C14" s="286"/>
      <c r="D14" s="286"/>
      <c r="E14" s="286"/>
      <c r="F14" s="286"/>
      <c r="G14" s="286"/>
    </row>
    <row r="15" spans="1:7">
      <c r="A15" s="979" t="s">
        <v>164</v>
      </c>
      <c r="B15" s="980">
        <v>3470</v>
      </c>
      <c r="C15" s="286"/>
      <c r="D15" s="286"/>
      <c r="E15" s="286"/>
      <c r="F15" s="286"/>
      <c r="G15" s="286"/>
    </row>
    <row r="16" spans="1:7">
      <c r="A16" s="979" t="s">
        <v>6</v>
      </c>
      <c r="B16" s="980">
        <v>571</v>
      </c>
      <c r="C16" s="286"/>
      <c r="D16" s="286"/>
      <c r="E16" s="286"/>
      <c r="F16" s="286"/>
      <c r="G16" s="286"/>
    </row>
    <row r="17" spans="1:7">
      <c r="A17" s="979" t="s">
        <v>7</v>
      </c>
      <c r="B17" s="980">
        <v>407</v>
      </c>
      <c r="C17" s="286"/>
      <c r="D17" s="286"/>
      <c r="E17" s="286"/>
      <c r="F17" s="286"/>
      <c r="G17" s="286"/>
    </row>
    <row r="18" spans="1:7">
      <c r="A18" s="979" t="s">
        <v>8</v>
      </c>
      <c r="B18" s="980">
        <v>585</v>
      </c>
      <c r="C18" s="286"/>
      <c r="D18" s="286"/>
      <c r="E18" s="286"/>
      <c r="F18" s="286"/>
      <c r="G18" s="286"/>
    </row>
    <row r="19" spans="1:7">
      <c r="A19" s="979" t="s">
        <v>9</v>
      </c>
      <c r="B19" s="980">
        <v>581</v>
      </c>
      <c r="C19" s="286"/>
      <c r="D19" s="286"/>
      <c r="E19" s="286"/>
      <c r="F19" s="286"/>
      <c r="G19" s="286"/>
    </row>
    <row r="20" spans="1:7">
      <c r="A20" s="979" t="s">
        <v>10</v>
      </c>
      <c r="B20" s="980">
        <v>484</v>
      </c>
      <c r="C20" s="286"/>
      <c r="D20" s="286"/>
      <c r="E20" s="286"/>
      <c r="F20" s="286"/>
      <c r="G20" s="286"/>
    </row>
    <row r="21" spans="1:7">
      <c r="A21" s="979" t="s">
        <v>11</v>
      </c>
      <c r="B21" s="980">
        <v>1055</v>
      </c>
      <c r="C21" s="286"/>
      <c r="D21" s="286"/>
      <c r="E21" s="286"/>
      <c r="F21" s="286"/>
      <c r="G21" s="286"/>
    </row>
    <row r="22" spans="1:7">
      <c r="A22" s="979" t="s">
        <v>12</v>
      </c>
      <c r="B22" s="980">
        <v>3929</v>
      </c>
      <c r="C22" s="286"/>
      <c r="D22" s="286"/>
      <c r="E22" s="286"/>
      <c r="F22" s="286"/>
      <c r="G22" s="286"/>
    </row>
    <row r="23" spans="1:7">
      <c r="A23" s="979" t="s">
        <v>13</v>
      </c>
      <c r="B23" s="980">
        <v>15</v>
      </c>
      <c r="C23" s="286"/>
      <c r="D23" s="286"/>
      <c r="E23" s="286"/>
      <c r="F23" s="286"/>
      <c r="G23" s="286"/>
    </row>
    <row r="24" spans="1:7">
      <c r="A24" s="979" t="s">
        <v>14</v>
      </c>
      <c r="B24" s="980">
        <v>2</v>
      </c>
      <c r="C24" s="286"/>
      <c r="D24" s="286"/>
      <c r="E24" s="286"/>
      <c r="F24" s="286"/>
      <c r="G24" s="286"/>
    </row>
    <row r="25" spans="1:7">
      <c r="A25" s="979" t="s">
        <v>15</v>
      </c>
      <c r="B25" s="980">
        <v>326</v>
      </c>
      <c r="C25" s="286"/>
      <c r="D25" s="286"/>
      <c r="E25" s="286"/>
      <c r="F25" s="286"/>
      <c r="G25" s="286"/>
    </row>
    <row r="26" spans="1:7">
      <c r="A26" s="979" t="s">
        <v>16</v>
      </c>
      <c r="B26" s="980">
        <v>474</v>
      </c>
      <c r="C26" s="286"/>
      <c r="D26" s="286"/>
      <c r="E26" s="286"/>
      <c r="F26" s="286"/>
      <c r="G26" s="286"/>
    </row>
    <row r="27" spans="1:7">
      <c r="A27" s="979" t="s">
        <v>17</v>
      </c>
      <c r="B27" s="980">
        <v>247</v>
      </c>
      <c r="C27" s="286"/>
      <c r="D27" s="286"/>
      <c r="E27" s="286"/>
      <c r="F27" s="286"/>
      <c r="G27" s="286"/>
    </row>
    <row r="28" spans="1:7">
      <c r="A28" s="983" t="s">
        <v>18</v>
      </c>
      <c r="B28" s="1240">
        <v>29914</v>
      </c>
      <c r="C28" s="286"/>
      <c r="D28" s="286"/>
      <c r="E28" s="286"/>
      <c r="F28" s="286"/>
      <c r="G28" s="286"/>
    </row>
    <row r="29" spans="1:7">
      <c r="A29" s="983" t="s">
        <v>536</v>
      </c>
      <c r="B29" s="1240">
        <v>418</v>
      </c>
      <c r="C29" s="286"/>
      <c r="D29" s="286"/>
      <c r="E29" s="286"/>
      <c r="F29" s="286"/>
      <c r="G29" s="286"/>
    </row>
    <row r="30" spans="1:7">
      <c r="A30" s="981" t="s">
        <v>537</v>
      </c>
      <c r="B30" s="982">
        <v>109</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5</v>
      </c>
      <c r="D36" s="980">
        <v>2935011.59</v>
      </c>
      <c r="E36" s="980">
        <v>66</v>
      </c>
      <c r="F36" s="980">
        <v>11387183.5</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2596.2399999999998</v>
      </c>
      <c r="G38" s="286"/>
    </row>
    <row r="39" spans="1:7">
      <c r="A39" s="979" t="s">
        <v>29</v>
      </c>
      <c r="B39" s="979" t="s">
        <v>30</v>
      </c>
      <c r="C39" s="980">
        <v>26413</v>
      </c>
      <c r="D39" s="980">
        <v>298794504.31620646</v>
      </c>
      <c r="E39" s="980">
        <v>37676</v>
      </c>
      <c r="F39" s="980">
        <v>96535286.101775512</v>
      </c>
      <c r="G39" s="286"/>
    </row>
    <row r="40" spans="1:7">
      <c r="A40" s="979" t="s">
        <v>29</v>
      </c>
      <c r="B40" s="979" t="s">
        <v>28</v>
      </c>
      <c r="C40" s="980">
        <v>0</v>
      </c>
      <c r="D40" s="980">
        <v>0</v>
      </c>
      <c r="E40" s="980">
        <v>0</v>
      </c>
      <c r="F40" s="980">
        <v>0</v>
      </c>
      <c r="G40" s="286"/>
    </row>
    <row r="41" spans="1:7">
      <c r="A41" s="979" t="s">
        <v>31</v>
      </c>
      <c r="B41" s="979" t="s">
        <v>32</v>
      </c>
      <c r="C41" s="980">
        <v>345</v>
      </c>
      <c r="D41" s="980">
        <v>14451799.48</v>
      </c>
      <c r="E41" s="980">
        <v>917</v>
      </c>
      <c r="F41" s="980">
        <v>21827861.710000001</v>
      </c>
      <c r="G41" s="286"/>
    </row>
    <row r="42" spans="1:7">
      <c r="A42" s="979" t="s">
        <v>31</v>
      </c>
      <c r="B42" s="979" t="s">
        <v>33</v>
      </c>
      <c r="C42" s="980">
        <v>9</v>
      </c>
      <c r="D42" s="980">
        <v>1110248.3</v>
      </c>
      <c r="E42" s="980">
        <v>8</v>
      </c>
      <c r="F42" s="980">
        <v>1975637.71</v>
      </c>
      <c r="G42" s="286"/>
    </row>
    <row r="43" spans="1:7">
      <c r="A43" s="979" t="s">
        <v>31</v>
      </c>
      <c r="B43" s="979" t="s">
        <v>34</v>
      </c>
      <c r="C43" s="980">
        <v>0</v>
      </c>
      <c r="D43" s="980">
        <v>0</v>
      </c>
      <c r="E43" s="980">
        <v>0</v>
      </c>
      <c r="F43" s="980">
        <v>0</v>
      </c>
      <c r="G43" s="286"/>
    </row>
    <row r="44" spans="1:7">
      <c r="A44" s="979" t="s">
        <v>31</v>
      </c>
      <c r="B44" s="979" t="s">
        <v>35</v>
      </c>
      <c r="C44" s="980">
        <v>29</v>
      </c>
      <c r="D44" s="980">
        <v>4139608.66</v>
      </c>
      <c r="E44" s="980">
        <v>69</v>
      </c>
      <c r="F44" s="980">
        <v>3907817.04</v>
      </c>
      <c r="G44" s="286"/>
    </row>
    <row r="45" spans="1:7">
      <c r="A45" s="979" t="s">
        <v>31</v>
      </c>
      <c r="B45" s="979" t="s">
        <v>36</v>
      </c>
      <c r="C45" s="980">
        <v>8</v>
      </c>
      <c r="D45" s="980">
        <v>39250599.130000003</v>
      </c>
      <c r="E45" s="980">
        <v>13</v>
      </c>
      <c r="F45" s="980">
        <v>9148960.0899999999</v>
      </c>
      <c r="G45" s="286"/>
    </row>
    <row r="46" spans="1:7">
      <c r="A46" s="979" t="s">
        <v>31</v>
      </c>
      <c r="B46" s="979" t="s">
        <v>37</v>
      </c>
      <c r="C46" s="980">
        <v>0</v>
      </c>
      <c r="D46" s="980">
        <v>0</v>
      </c>
      <c r="E46" s="980">
        <v>0</v>
      </c>
      <c r="F46" s="980">
        <v>0</v>
      </c>
      <c r="G46" s="286"/>
    </row>
    <row r="47" spans="1:7">
      <c r="A47" s="979" t="s">
        <v>31</v>
      </c>
      <c r="B47" s="979" t="s">
        <v>38</v>
      </c>
      <c r="C47" s="980">
        <v>15</v>
      </c>
      <c r="D47" s="980">
        <v>736851.61</v>
      </c>
      <c r="E47" s="980">
        <v>26</v>
      </c>
      <c r="F47" s="980">
        <v>1243530.52</v>
      </c>
      <c r="G47" s="286"/>
    </row>
    <row r="48" spans="1:7">
      <c r="A48" s="979" t="s">
        <v>31</v>
      </c>
      <c r="B48" s="979" t="s">
        <v>28</v>
      </c>
      <c r="C48" s="980">
        <v>1</v>
      </c>
      <c r="D48" s="980">
        <v>22869.13</v>
      </c>
      <c r="E48" s="980">
        <v>9</v>
      </c>
      <c r="F48" s="980">
        <v>126320.58</v>
      </c>
      <c r="G48" s="286"/>
    </row>
    <row r="49" spans="1:7">
      <c r="A49" s="979" t="s">
        <v>31</v>
      </c>
      <c r="B49" s="979" t="s">
        <v>39</v>
      </c>
      <c r="C49" s="980">
        <v>14</v>
      </c>
      <c r="D49" s="980">
        <v>251296.5</v>
      </c>
      <c r="E49" s="980">
        <v>19</v>
      </c>
      <c r="F49" s="980">
        <v>153863.98000000001</v>
      </c>
      <c r="G49" s="286"/>
    </row>
    <row r="50" spans="1:7">
      <c r="A50" s="979" t="s">
        <v>31</v>
      </c>
      <c r="B50" s="979" t="s">
        <v>40</v>
      </c>
      <c r="C50" s="980">
        <v>34</v>
      </c>
      <c r="D50" s="980">
        <v>5681231.5099999998</v>
      </c>
      <c r="E50" s="980">
        <v>51</v>
      </c>
      <c r="F50" s="980">
        <v>8110098.7800000003</v>
      </c>
      <c r="G50" s="286"/>
    </row>
    <row r="51" spans="1:7">
      <c r="A51" s="979" t="s">
        <v>41</v>
      </c>
      <c r="B51" s="979" t="s">
        <v>42</v>
      </c>
      <c r="C51" s="980">
        <v>28</v>
      </c>
      <c r="D51" s="980">
        <v>847594.72</v>
      </c>
      <c r="E51" s="980">
        <v>128</v>
      </c>
      <c r="F51" s="980">
        <v>1587830.2300000002</v>
      </c>
      <c r="G51" s="286"/>
    </row>
    <row r="52" spans="1:7">
      <c r="A52" s="979" t="s">
        <v>41</v>
      </c>
      <c r="B52" s="979" t="s">
        <v>28</v>
      </c>
      <c r="C52" s="980">
        <v>0</v>
      </c>
      <c r="D52" s="980">
        <v>0</v>
      </c>
      <c r="E52" s="980">
        <v>0</v>
      </c>
      <c r="F52" s="980">
        <v>0</v>
      </c>
      <c r="G52" s="286"/>
    </row>
    <row r="53" spans="1:7">
      <c r="A53" s="979" t="s">
        <v>43</v>
      </c>
      <c r="B53" s="979" t="s">
        <v>44</v>
      </c>
      <c r="C53" s="980">
        <v>569</v>
      </c>
      <c r="D53" s="980">
        <v>20384183.539999999</v>
      </c>
      <c r="E53" s="980">
        <v>1632</v>
      </c>
      <c r="F53" s="980">
        <v>6642870.4900000002</v>
      </c>
      <c r="G53" s="286"/>
    </row>
    <row r="54" spans="1:7">
      <c r="A54" s="979" t="s">
        <v>45</v>
      </c>
      <c r="B54" s="979" t="s">
        <v>46</v>
      </c>
      <c r="C54" s="980">
        <v>0</v>
      </c>
      <c r="D54" s="980">
        <v>0</v>
      </c>
      <c r="E54" s="980">
        <v>4</v>
      </c>
      <c r="F54" s="980">
        <v>4999191.2</v>
      </c>
      <c r="G54" s="286"/>
    </row>
    <row r="55" spans="1:7">
      <c r="A55" s="979" t="s">
        <v>45</v>
      </c>
      <c r="B55" s="979" t="s">
        <v>28</v>
      </c>
      <c r="C55" s="980">
        <v>0</v>
      </c>
      <c r="D55" s="980">
        <v>0</v>
      </c>
      <c r="E55" s="980">
        <v>0</v>
      </c>
      <c r="F55" s="980">
        <v>0</v>
      </c>
      <c r="G55" s="286"/>
    </row>
    <row r="56" spans="1:7">
      <c r="A56" s="979" t="s">
        <v>47</v>
      </c>
      <c r="B56" s="979" t="s">
        <v>28</v>
      </c>
      <c r="C56" s="980">
        <v>0</v>
      </c>
      <c r="D56" s="980">
        <v>0</v>
      </c>
      <c r="E56" s="980">
        <v>0</v>
      </c>
      <c r="F56" s="980">
        <v>0</v>
      </c>
      <c r="G56" s="286"/>
    </row>
    <row r="57" spans="1:7">
      <c r="A57" s="979" t="s">
        <v>48</v>
      </c>
      <c r="B57" s="979" t="s">
        <v>49</v>
      </c>
      <c r="C57" s="980">
        <v>334</v>
      </c>
      <c r="D57" s="980">
        <v>16557620.52</v>
      </c>
      <c r="E57" s="980">
        <v>574</v>
      </c>
      <c r="F57" s="980">
        <v>14247406</v>
      </c>
      <c r="G57" s="286"/>
    </row>
    <row r="58" spans="1:7">
      <c r="A58" s="979" t="s">
        <v>48</v>
      </c>
      <c r="B58" s="979" t="s">
        <v>50</v>
      </c>
      <c r="C58" s="980">
        <v>331</v>
      </c>
      <c r="D58" s="980">
        <v>43919422.490000002</v>
      </c>
      <c r="E58" s="980">
        <v>458</v>
      </c>
      <c r="F58" s="980">
        <v>18473324.920000002</v>
      </c>
      <c r="G58" s="286"/>
    </row>
    <row r="59" spans="1:7">
      <c r="A59" s="979" t="s">
        <v>48</v>
      </c>
      <c r="B59" s="979" t="s">
        <v>51</v>
      </c>
      <c r="C59" s="980">
        <v>713</v>
      </c>
      <c r="D59" s="980">
        <v>30383570.93</v>
      </c>
      <c r="E59" s="980">
        <v>1268</v>
      </c>
      <c r="F59" s="980">
        <v>53131296.219999999</v>
      </c>
      <c r="G59" s="286"/>
    </row>
    <row r="60" spans="1:7">
      <c r="A60" s="979" t="s">
        <v>48</v>
      </c>
      <c r="B60" s="979" t="s">
        <v>52</v>
      </c>
      <c r="C60" s="980">
        <v>386</v>
      </c>
      <c r="D60" s="980">
        <v>13188103.02</v>
      </c>
      <c r="E60" s="980">
        <v>535</v>
      </c>
      <c r="F60" s="980">
        <v>18417070.419999998</v>
      </c>
      <c r="G60" s="286"/>
    </row>
    <row r="61" spans="1:7">
      <c r="A61" s="979" t="s">
        <v>48</v>
      </c>
      <c r="B61" s="979" t="s">
        <v>53</v>
      </c>
      <c r="C61" s="980">
        <v>1366</v>
      </c>
      <c r="D61" s="980">
        <v>72143407.403793558</v>
      </c>
      <c r="E61" s="980">
        <v>2937</v>
      </c>
      <c r="F61" s="980">
        <v>69078975.488224491</v>
      </c>
      <c r="G61" s="286"/>
    </row>
    <row r="62" spans="1:7">
      <c r="A62" s="979" t="s">
        <v>48</v>
      </c>
      <c r="B62" s="979" t="s">
        <v>54</v>
      </c>
      <c r="C62" s="980">
        <v>108</v>
      </c>
      <c r="D62" s="980">
        <v>25013860.579999998</v>
      </c>
      <c r="E62" s="980">
        <v>102</v>
      </c>
      <c r="F62" s="980">
        <v>8445528.1199999992</v>
      </c>
      <c r="G62" s="286"/>
    </row>
    <row r="63" spans="1:7">
      <c r="A63" s="979" t="s">
        <v>48</v>
      </c>
      <c r="B63" s="979" t="s">
        <v>28</v>
      </c>
      <c r="C63" s="980">
        <v>0</v>
      </c>
      <c r="D63" s="980">
        <v>0</v>
      </c>
      <c r="E63" s="980">
        <v>1</v>
      </c>
      <c r="F63" s="980">
        <v>2153.31</v>
      </c>
      <c r="G63" s="286"/>
    </row>
    <row r="64" spans="1:7">
      <c r="A64" s="979" t="s">
        <v>55</v>
      </c>
      <c r="B64" s="979" t="s">
        <v>56</v>
      </c>
      <c r="C64" s="980">
        <v>0</v>
      </c>
      <c r="D64" s="980">
        <v>0</v>
      </c>
      <c r="E64" s="980">
        <v>0</v>
      </c>
      <c r="F64" s="980">
        <v>0</v>
      </c>
      <c r="G64" s="286"/>
    </row>
    <row r="65" spans="1:7">
      <c r="A65" s="979" t="s">
        <v>55</v>
      </c>
      <c r="B65" s="979" t="s">
        <v>28</v>
      </c>
      <c r="C65" s="980">
        <v>1</v>
      </c>
      <c r="D65" s="980">
        <v>16605.29</v>
      </c>
      <c r="E65" s="980">
        <v>5</v>
      </c>
      <c r="F65" s="980">
        <v>21250.190000000002</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13</v>
      </c>
      <c r="D68" s="982">
        <v>902407.98</v>
      </c>
      <c r="E68" s="982">
        <v>27</v>
      </c>
      <c r="F68" s="982">
        <v>1733013.91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523</v>
      </c>
      <c r="D72" s="1249"/>
      <c r="E72" s="1249"/>
      <c r="F72" s="978"/>
      <c r="G72" s="286"/>
    </row>
    <row r="73" spans="1:7">
      <c r="A73" s="979" t="s">
        <v>63</v>
      </c>
      <c r="B73" s="979" t="s">
        <v>506</v>
      </c>
      <c r="C73" s="1250" t="s">
        <v>508</v>
      </c>
      <c r="D73" s="1251">
        <v>386456377</v>
      </c>
      <c r="E73" s="384"/>
      <c r="F73" s="286"/>
      <c r="G73" s="286"/>
    </row>
    <row r="74" spans="1:7">
      <c r="A74" s="979" t="s">
        <v>63</v>
      </c>
      <c r="B74" s="979" t="s">
        <v>507</v>
      </c>
      <c r="C74" s="1250" t="s">
        <v>509</v>
      </c>
      <c r="D74" s="1251">
        <v>27607706.959257152</v>
      </c>
      <c r="E74" s="384"/>
      <c r="F74" s="286"/>
      <c r="G74" s="286"/>
    </row>
    <row r="75" spans="1:7">
      <c r="A75" s="979" t="s">
        <v>64</v>
      </c>
      <c r="B75" s="979" t="s">
        <v>506</v>
      </c>
      <c r="C75" s="1250" t="s">
        <v>510</v>
      </c>
      <c r="D75" s="1251">
        <v>107510524</v>
      </c>
      <c r="E75" s="384"/>
      <c r="F75" s="286"/>
      <c r="G75" s="286"/>
    </row>
    <row r="76" spans="1:7">
      <c r="A76" s="979" t="s">
        <v>64</v>
      </c>
      <c r="B76" s="979" t="s">
        <v>507</v>
      </c>
      <c r="C76" s="1250" t="s">
        <v>511</v>
      </c>
      <c r="D76" s="1251">
        <v>505399.9592571524</v>
      </c>
      <c r="E76" s="384"/>
      <c r="F76" s="286"/>
      <c r="G76" s="286"/>
    </row>
    <row r="77" spans="1:7">
      <c r="A77" s="979" t="s">
        <v>65</v>
      </c>
      <c r="B77" s="979" t="s">
        <v>506</v>
      </c>
      <c r="C77" s="1250" t="s">
        <v>512</v>
      </c>
      <c r="D77" s="1251">
        <v>236145299</v>
      </c>
      <c r="E77" s="384"/>
      <c r="F77" s="286"/>
      <c r="G77" s="286"/>
    </row>
    <row r="78" spans="1:7">
      <c r="A78" s="981" t="s">
        <v>65</v>
      </c>
      <c r="B78" s="981" t="s">
        <v>507</v>
      </c>
      <c r="C78" s="981" t="s">
        <v>513</v>
      </c>
      <c r="D78" s="1252">
        <v>24363427</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780</v>
      </c>
      <c r="E82" s="977" t="s">
        <v>781</v>
      </c>
      <c r="F82" s="978"/>
      <c r="G82" s="286"/>
    </row>
    <row r="83" spans="1:7">
      <c r="A83" s="979" t="s">
        <v>290</v>
      </c>
      <c r="B83" s="1251">
        <v>4531700.0814856952</v>
      </c>
      <c r="C83" s="384"/>
      <c r="D83" s="365">
        <v>1.4014605181129014E-2</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1375.525001</v>
      </c>
      <c r="C89" s="286"/>
      <c r="D89" s="286"/>
      <c r="E89" s="286"/>
      <c r="F89" s="286"/>
      <c r="G89" s="286"/>
    </row>
    <row r="90" spans="1:7">
      <c r="A90" s="979" t="s">
        <v>447</v>
      </c>
      <c r="B90" s="980">
        <v>15504.966484568711</v>
      </c>
      <c r="C90" s="286" t="s">
        <v>631</v>
      </c>
      <c r="D90" s="286"/>
      <c r="E90" s="286"/>
      <c r="F90" s="286"/>
      <c r="G90" s="286"/>
    </row>
    <row r="91" spans="1:7">
      <c r="A91" s="979" t="s">
        <v>67</v>
      </c>
      <c r="B91" s="980">
        <v>38631.995454210519</v>
      </c>
      <c r="C91" s="286" t="s">
        <v>631</v>
      </c>
      <c r="D91" s="286"/>
      <c r="E91" s="286"/>
      <c r="F91" s="286"/>
      <c r="G91" s="286"/>
    </row>
    <row r="92" spans="1:7">
      <c r="A92" s="981" t="s">
        <v>68</v>
      </c>
      <c r="B92" s="986">
        <v>14838.369849604158</v>
      </c>
      <c r="C92" s="289" t="s">
        <v>631</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475</v>
      </c>
      <c r="B95" s="287"/>
      <c r="C95" s="287"/>
      <c r="D95" s="287"/>
      <c r="E95" s="287"/>
      <c r="F95" s="291"/>
      <c r="G95" s="286"/>
    </row>
    <row r="96" spans="1:7" ht="16.5" thickTop="1" thickBot="1">
      <c r="A96" s="976" t="s">
        <v>4</v>
      </c>
      <c r="B96" s="977" t="s">
        <v>689</v>
      </c>
      <c r="C96" s="977"/>
      <c r="D96" s="977"/>
      <c r="E96" s="977"/>
      <c r="F96" s="978"/>
      <c r="G96" s="286"/>
    </row>
    <row r="97" spans="1:7">
      <c r="A97" s="286" t="s">
        <v>20</v>
      </c>
      <c r="B97" s="980">
        <v>5311835.548980495</v>
      </c>
      <c r="C97" s="286"/>
      <c r="D97" s="286"/>
      <c r="E97" s="286"/>
      <c r="F97" s="286"/>
      <c r="G97" s="286"/>
    </row>
    <row r="98" spans="1:7">
      <c r="A98" s="286" t="s">
        <v>176</v>
      </c>
      <c r="B98" s="980">
        <v>377021.66879999998</v>
      </c>
      <c r="C98" s="286"/>
      <c r="D98" s="286"/>
      <c r="E98" s="286"/>
      <c r="F98" s="286"/>
      <c r="G98" s="286"/>
    </row>
    <row r="99" spans="1:7">
      <c r="A99" s="286" t="s">
        <v>179</v>
      </c>
      <c r="B99" s="980">
        <v>11536170.980031552</v>
      </c>
      <c r="C99" s="286"/>
      <c r="D99" s="286"/>
      <c r="E99" s="286"/>
      <c r="F99" s="286"/>
      <c r="G99" s="286"/>
    </row>
    <row r="100" spans="1:7">
      <c r="A100" s="286" t="s">
        <v>180</v>
      </c>
      <c r="B100" s="980">
        <v>0</v>
      </c>
      <c r="C100" s="286"/>
      <c r="D100" s="286"/>
      <c r="E100" s="286"/>
      <c r="F100" s="286"/>
      <c r="G100" s="286"/>
    </row>
    <row r="101" spans="1:7">
      <c r="A101" s="286" t="s">
        <v>181</v>
      </c>
      <c r="B101" s="980">
        <v>895255.24165483622</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476</v>
      </c>
      <c r="B105" s="287"/>
      <c r="C105" s="287"/>
      <c r="D105" s="287"/>
      <c r="E105" s="287"/>
      <c r="F105" s="291"/>
      <c r="G105" s="286"/>
    </row>
    <row r="106" spans="1:7" ht="16.5" thickTop="1" thickBot="1">
      <c r="A106" s="976" t="s">
        <v>4</v>
      </c>
      <c r="B106" s="977" t="s">
        <v>689</v>
      </c>
      <c r="C106" s="977"/>
      <c r="D106" s="977"/>
      <c r="E106" s="977"/>
      <c r="F106" s="978"/>
      <c r="G106" s="286"/>
    </row>
    <row r="107" spans="1:7">
      <c r="A107" s="981" t="s">
        <v>20</v>
      </c>
      <c r="B107" s="986">
        <v>4999191.1951443432</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0.83287</v>
      </c>
      <c r="C112" s="286"/>
      <c r="D112" s="286"/>
      <c r="E112" s="286"/>
      <c r="F112" s="286"/>
      <c r="G112" s="286"/>
    </row>
    <row r="113" spans="1:7">
      <c r="A113" s="286" t="s">
        <v>179</v>
      </c>
      <c r="B113" s="980">
        <v>107.973</v>
      </c>
      <c r="C113" s="286"/>
      <c r="D113" s="286"/>
      <c r="E113" s="286"/>
      <c r="F113" s="286"/>
      <c r="G113" s="286"/>
    </row>
    <row r="114" spans="1:7">
      <c r="A114" s="286" t="s">
        <v>729</v>
      </c>
      <c r="B114" s="980">
        <v>217.23839999999998</v>
      </c>
      <c r="C114" s="286"/>
      <c r="D114" s="286"/>
      <c r="E114" s="286"/>
      <c r="F114" s="286"/>
      <c r="G114" s="286"/>
    </row>
    <row r="115" spans="1:7">
      <c r="A115" s="286" t="s">
        <v>730</v>
      </c>
      <c r="B115" s="980">
        <v>1663.8080400000001</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731</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732</v>
      </c>
      <c r="B121" s="980">
        <v>11541.309188054483</v>
      </c>
      <c r="C121" s="286"/>
      <c r="D121" s="286"/>
      <c r="E121" s="286"/>
      <c r="F121" s="286"/>
      <c r="G121" s="286"/>
    </row>
    <row r="122" spans="1:7">
      <c r="A122" s="286" t="s">
        <v>733</v>
      </c>
      <c r="B122" s="980">
        <v>511.86605249360127</v>
      </c>
      <c r="C122" s="286"/>
      <c r="D122" s="286"/>
      <c r="E122" s="286"/>
      <c r="F122" s="286"/>
      <c r="G122" s="286"/>
    </row>
    <row r="123" spans="1:7">
      <c r="A123" s="286" t="s">
        <v>3</v>
      </c>
      <c r="B123" s="980">
        <v>115.70513073005691</v>
      </c>
      <c r="C123" s="286"/>
      <c r="D123" s="286"/>
      <c r="E123" s="286"/>
      <c r="F123" s="286"/>
      <c r="G123" s="286"/>
    </row>
    <row r="124" spans="1:7">
      <c r="A124" s="981" t="s">
        <v>734</v>
      </c>
      <c r="B124" s="986">
        <v>2741.3241717950982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704</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577</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704</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581</v>
      </c>
      <c r="B41" s="990">
        <v>0.08</v>
      </c>
      <c r="E41" s="528"/>
      <c r="F41" s="528"/>
      <c r="G41" s="723"/>
      <c r="H41" s="723"/>
    </row>
    <row r="42" spans="1:14" s="810" customFormat="1">
      <c r="A42" s="117" t="s">
        <v>582</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705</v>
      </c>
      <c r="B46" s="412"/>
      <c r="E46" s="528"/>
      <c r="F46" s="528"/>
    </row>
    <row r="47" spans="1:14">
      <c r="A47" s="44"/>
      <c r="B47" s="412"/>
      <c r="E47" s="528"/>
      <c r="F47" s="528"/>
    </row>
    <row r="48" spans="1:14" ht="18">
      <c r="A48" s="134" t="s">
        <v>170</v>
      </c>
      <c r="B48" s="413" t="s">
        <v>472</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489</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706</v>
      </c>
    </row>
    <row r="5" spans="1:3" ht="15.75" thickBot="1">
      <c r="A5" s="732" t="s">
        <v>488</v>
      </c>
      <c r="B5" s="737">
        <v>669287.74</v>
      </c>
      <c r="C5" s="738" t="s">
        <v>707</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654</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372005.84169859544</v>
      </c>
      <c r="C3" s="43" t="s">
        <v>150</v>
      </c>
      <c r="D3" s="43"/>
      <c r="E3" s="151"/>
      <c r="F3" s="43"/>
      <c r="G3" s="43"/>
      <c r="H3" s="43"/>
      <c r="I3" s="43"/>
      <c r="J3" s="43"/>
      <c r="K3" s="95"/>
    </row>
    <row r="4" spans="1:11">
      <c r="A4" s="304" t="s">
        <v>151</v>
      </c>
      <c r="B4" s="49">
        <f>IF(ISERROR('SECAP template'!B105+'SECAP template'!C105),0,'SECAP template'!B105+'SECAP template'!C105)</f>
        <v>78397.979074087591</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656</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530</v>
      </c>
      <c r="G7" s="43" t="s">
        <v>535</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1788.4455450642442</v>
      </c>
      <c r="C10" s="43" t="s">
        <v>154</v>
      </c>
      <c r="D10" s="43"/>
      <c r="E10" s="43"/>
      <c r="F10" s="43"/>
      <c r="G10" s="43"/>
      <c r="H10" s="43"/>
      <c r="I10" s="43"/>
      <c r="J10" s="43"/>
      <c r="K10" s="95"/>
    </row>
    <row r="11" spans="1:11">
      <c r="A11" s="304" t="s">
        <v>657</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0.1792331617176651</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2310.1491493516237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10394.531022788356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0.22224659720452891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523</v>
      </c>
      <c r="B1" s="706" t="s">
        <v>264</v>
      </c>
      <c r="C1" s="706" t="s">
        <v>268</v>
      </c>
      <c r="D1" s="706" t="s">
        <v>269</v>
      </c>
      <c r="E1" s="706" t="s">
        <v>270</v>
      </c>
      <c r="F1" s="706" t="s">
        <v>271</v>
      </c>
      <c r="H1" s="838" t="s">
        <v>761</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506</v>
      </c>
      <c r="C3" s="282" t="s">
        <v>64</v>
      </c>
      <c r="D3" s="282" t="s">
        <v>594</v>
      </c>
      <c r="E3" s="282" t="s">
        <v>595</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506</v>
      </c>
      <c r="C4" s="282" t="s">
        <v>63</v>
      </c>
      <c r="D4" s="282" t="s">
        <v>594</v>
      </c>
      <c r="E4" s="282" t="s">
        <v>595</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506</v>
      </c>
      <c r="C5" s="282" t="s">
        <v>65</v>
      </c>
      <c r="D5" s="282" t="s">
        <v>594</v>
      </c>
      <c r="E5" s="282" t="s">
        <v>595</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506</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506</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506</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507</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507</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507</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522</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522</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522</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506</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506</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506</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506</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506</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506</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506</v>
      </c>
      <c r="C21" s="282" t="s">
        <v>64</v>
      </c>
      <c r="D21" s="282" t="s">
        <v>596</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506</v>
      </c>
      <c r="C22" s="282" t="s">
        <v>64</v>
      </c>
      <c r="D22" s="282" t="s">
        <v>596</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506</v>
      </c>
      <c r="C23" s="282" t="s">
        <v>63</v>
      </c>
      <c r="D23" s="282" t="s">
        <v>596</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506</v>
      </c>
      <c r="C24" s="282" t="s">
        <v>63</v>
      </c>
      <c r="D24" s="282" t="s">
        <v>596</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506</v>
      </c>
      <c r="C25" s="282" t="s">
        <v>65</v>
      </c>
      <c r="D25" s="282" t="s">
        <v>596</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506</v>
      </c>
      <c r="C26" s="282" t="s">
        <v>65</v>
      </c>
      <c r="D26" s="282" t="s">
        <v>596</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506</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506</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506</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506</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506</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506</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506</v>
      </c>
      <c r="C33" s="282" t="s">
        <v>64</v>
      </c>
      <c r="D33" s="282" t="s">
        <v>598</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506</v>
      </c>
      <c r="C34" s="282" t="s">
        <v>63</v>
      </c>
      <c r="D34" s="282" t="s">
        <v>598</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506</v>
      </c>
      <c r="C35" s="282" t="s">
        <v>65</v>
      </c>
      <c r="D35" s="282" t="s">
        <v>598</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506</v>
      </c>
      <c r="C36" s="282" t="s">
        <v>64</v>
      </c>
      <c r="D36" s="282" t="s">
        <v>597</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506</v>
      </c>
      <c r="C37" s="282" t="s">
        <v>64</v>
      </c>
      <c r="D37" s="282" t="s">
        <v>597</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506</v>
      </c>
      <c r="C38" s="282" t="s">
        <v>63</v>
      </c>
      <c r="D38" s="282" t="s">
        <v>597</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506</v>
      </c>
      <c r="C39" s="282" t="s">
        <v>63</v>
      </c>
      <c r="D39" s="282" t="s">
        <v>597</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506</v>
      </c>
      <c r="C40" s="282" t="s">
        <v>65</v>
      </c>
      <c r="D40" s="282" t="s">
        <v>597</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506</v>
      </c>
      <c r="C41" s="282" t="s">
        <v>65</v>
      </c>
      <c r="D41" s="282" t="s">
        <v>597</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507</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507</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507</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507</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507</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507</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522</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522</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522</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522</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522</v>
      </c>
      <c r="C52" s="282" t="s">
        <v>64</v>
      </c>
      <c r="D52" s="282" t="s">
        <v>596</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522</v>
      </c>
      <c r="C53" s="282" t="s">
        <v>64</v>
      </c>
      <c r="D53" s="282" t="s">
        <v>596</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522</v>
      </c>
      <c r="C54" s="282" t="s">
        <v>63</v>
      </c>
      <c r="D54" s="282" t="s">
        <v>596</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522</v>
      </c>
      <c r="C55" s="282" t="s">
        <v>63</v>
      </c>
      <c r="D55" s="282" t="s">
        <v>596</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507</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507</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507</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507</v>
      </c>
      <c r="C59" s="282" t="s">
        <v>64</v>
      </c>
      <c r="D59" s="282" t="s">
        <v>772</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507</v>
      </c>
      <c r="C60" s="282" t="s">
        <v>63</v>
      </c>
      <c r="D60" s="282" t="s">
        <v>772</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507</v>
      </c>
      <c r="C61" s="282" t="s">
        <v>65</v>
      </c>
      <c r="D61" s="282" t="s">
        <v>772</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507</v>
      </c>
      <c r="C62" s="282" t="s">
        <v>64</v>
      </c>
      <c r="D62" s="282" t="s">
        <v>594</v>
      </c>
      <c r="E62" s="282" t="s">
        <v>595</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507</v>
      </c>
      <c r="C63" s="282" t="s">
        <v>63</v>
      </c>
      <c r="D63" s="282" t="s">
        <v>594</v>
      </c>
      <c r="E63" s="282" t="s">
        <v>595</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507</v>
      </c>
      <c r="C64" s="282" t="s">
        <v>65</v>
      </c>
      <c r="D64" s="282" t="s">
        <v>594</v>
      </c>
      <c r="E64" s="282" t="s">
        <v>595</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736</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505</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475</v>
      </c>
      <c r="B6" s="127" t="s">
        <v>392</v>
      </c>
      <c r="C6" s="158" t="s">
        <v>637</v>
      </c>
    </row>
    <row r="7" spans="1:3" s="11" customFormat="1">
      <c r="A7" s="129"/>
      <c r="B7" s="130"/>
      <c r="C7" s="131"/>
    </row>
    <row r="8" spans="1:3" s="11" customFormat="1" ht="30">
      <c r="A8" s="841" t="s">
        <v>476</v>
      </c>
      <c r="B8" s="127" t="s">
        <v>392</v>
      </c>
      <c r="C8" s="158" t="s">
        <v>638</v>
      </c>
    </row>
    <row r="9" spans="1:3" s="11" customFormat="1">
      <c r="A9" s="129"/>
      <c r="B9" s="130"/>
      <c r="C9" s="131"/>
    </row>
    <row r="10" spans="1:3" s="11" customFormat="1" ht="30">
      <c r="A10" s="112" t="s">
        <v>174</v>
      </c>
      <c r="B10" s="127" t="s">
        <v>392</v>
      </c>
      <c r="C10" s="158" t="s">
        <v>769</v>
      </c>
    </row>
    <row r="11" spans="1:3" s="11" customFormat="1">
      <c r="A11" s="129"/>
      <c r="B11" s="130"/>
      <c r="C11" s="131"/>
    </row>
    <row r="12" spans="1:3" s="11" customFormat="1" ht="45">
      <c r="A12" s="112" t="s">
        <v>135</v>
      </c>
      <c r="B12" s="127" t="s">
        <v>392</v>
      </c>
      <c r="C12" s="280" t="s">
        <v>640</v>
      </c>
    </row>
    <row r="13" spans="1:3" s="11" customFormat="1">
      <c r="A13" s="129"/>
      <c r="B13" s="130"/>
      <c r="C13" s="131"/>
    </row>
    <row r="14" spans="1:3" s="11" customFormat="1" ht="45">
      <c r="A14" s="112" t="s">
        <v>136</v>
      </c>
      <c r="B14" s="127" t="s">
        <v>392</v>
      </c>
      <c r="C14" s="280" t="s">
        <v>771</v>
      </c>
    </row>
    <row r="15" spans="1:3" s="11" customFormat="1">
      <c r="A15" s="129"/>
      <c r="B15" s="130"/>
      <c r="C15" s="131"/>
    </row>
    <row r="16" spans="1:3" s="11" customFormat="1" ht="45">
      <c r="A16" s="112" t="s">
        <v>334</v>
      </c>
      <c r="B16" s="127" t="s">
        <v>392</v>
      </c>
      <c r="C16" s="280" t="s">
        <v>641</v>
      </c>
    </row>
    <row r="17" spans="1:3" s="11" customFormat="1">
      <c r="A17" s="129"/>
      <c r="B17" s="130"/>
      <c r="C17" s="131"/>
    </row>
    <row r="18" spans="1:3" s="11" customFormat="1" ht="45">
      <c r="A18" s="112" t="s">
        <v>92</v>
      </c>
      <c r="B18" s="127" t="s">
        <v>400</v>
      </c>
      <c r="C18" s="280" t="s">
        <v>641</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770</v>
      </c>
      <c r="C23" s="158" t="s">
        <v>674</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654</v>
      </c>
      <c r="M3" s="383" t="s">
        <v>186</v>
      </c>
      <c r="N3" s="383" t="s">
        <v>187</v>
      </c>
      <c r="O3" s="383" t="s">
        <v>188</v>
      </c>
      <c r="P3" s="383" t="s">
        <v>189</v>
      </c>
      <c r="Q3" s="383" t="s">
        <v>190</v>
      </c>
    </row>
    <row r="4" spans="1:17" outlineLevel="1">
      <c r="A4" s="16" t="s">
        <v>475</v>
      </c>
      <c r="B4" s="30">
        <f>kWh_eigengeb_elektriciteit/1000</f>
        <v>5311.8355489804953</v>
      </c>
      <c r="C4" s="30">
        <f>kWh_eigengeb_warmtekoude/1000</f>
        <v>377.02166879999999</v>
      </c>
      <c r="D4" s="30">
        <f>kWh_eigengeb_aardgas/1000*0.903</f>
        <v>10417.162394968491</v>
      </c>
      <c r="E4" s="30">
        <f>kWh_eigengeb_vloeibaargas/1000</f>
        <v>0</v>
      </c>
      <c r="F4" s="30">
        <f>kWh_eigengeb_stookolie/1000</f>
        <v>895.25524165483625</v>
      </c>
      <c r="G4" s="30" t="s">
        <v>669</v>
      </c>
      <c r="H4" s="30" t="s">
        <v>669</v>
      </c>
      <c r="I4" s="30" t="s">
        <v>669</v>
      </c>
      <c r="J4" s="30" t="s">
        <v>669</v>
      </c>
      <c r="K4" s="30" t="s">
        <v>669</v>
      </c>
      <c r="L4" s="879" t="s">
        <v>670</v>
      </c>
      <c r="M4" s="30" t="s">
        <v>669</v>
      </c>
      <c r="N4" s="30" t="s">
        <v>669</v>
      </c>
      <c r="O4" s="30">
        <f>kWh_eigengeb_overigebiomassa/1000</f>
        <v>0</v>
      </c>
      <c r="P4" s="30" t="s">
        <v>639</v>
      </c>
      <c r="Q4" s="30" t="s">
        <v>639</v>
      </c>
    </row>
    <row r="5" spans="1:17" outlineLevel="1">
      <c r="B5" s="19"/>
      <c r="C5" s="19"/>
      <c r="D5" s="19"/>
      <c r="E5" s="19"/>
      <c r="F5" s="19"/>
      <c r="G5" s="19"/>
      <c r="H5" s="19"/>
      <c r="L5" s="19"/>
      <c r="M5" s="19"/>
      <c r="N5" s="19"/>
      <c r="O5" s="19"/>
      <c r="P5" s="19"/>
      <c r="Q5" s="19"/>
    </row>
    <row r="6" spans="1:17" s="393" customFormat="1" outlineLevel="1">
      <c r="A6" s="399" t="s">
        <v>261</v>
      </c>
      <c r="B6" s="21">
        <f>SUM(B4:B4)</f>
        <v>5311.8355489804953</v>
      </c>
      <c r="C6" s="21">
        <f>SUM(C4:C4)</f>
        <v>377.02166879999999</v>
      </c>
      <c r="D6" s="21">
        <f>SUM(D4:D4)</f>
        <v>10417.162394968491</v>
      </c>
      <c r="E6" s="21">
        <f>SUM(E4:E4)</f>
        <v>0</v>
      </c>
      <c r="F6" s="21">
        <f>SUM(F4:F4)</f>
        <v>895.25524165483625</v>
      </c>
      <c r="G6" s="21" t="s">
        <v>669</v>
      </c>
      <c r="H6" s="21" t="s">
        <v>669</v>
      </c>
      <c r="I6" s="21" t="s">
        <v>669</v>
      </c>
      <c r="J6" s="21" t="s">
        <v>669</v>
      </c>
      <c r="K6" s="21">
        <f t="shared" ref="K6:O6" si="0">SUM(K4:K4)</f>
        <v>0</v>
      </c>
      <c r="L6" s="21" t="s">
        <v>670</v>
      </c>
      <c r="M6" s="21" t="s">
        <v>670</v>
      </c>
      <c r="N6" s="21">
        <f t="shared" si="0"/>
        <v>0</v>
      </c>
      <c r="O6" s="21">
        <f t="shared" si="0"/>
        <v>0</v>
      </c>
      <c r="P6" s="21" t="s">
        <v>639</v>
      </c>
      <c r="Q6" s="21" t="s">
        <v>639</v>
      </c>
    </row>
    <row r="7" spans="1:17" outlineLevel="1">
      <c r="B7" s="19"/>
      <c r="C7" s="19"/>
      <c r="D7" s="19"/>
      <c r="E7" s="19"/>
      <c r="F7" s="19"/>
      <c r="G7" s="19"/>
      <c r="H7" s="19"/>
      <c r="I7" s="19"/>
      <c r="J7" s="19"/>
      <c r="K7" s="19"/>
      <c r="L7" s="19"/>
      <c r="M7" s="19"/>
      <c r="N7" s="19"/>
      <c r="O7" s="19"/>
      <c r="P7" s="19"/>
      <c r="Q7" s="19"/>
    </row>
    <row r="8" spans="1:17" outlineLevel="1">
      <c r="A8" s="401" t="s">
        <v>479</v>
      </c>
      <c r="B8" s="917">
        <f>'EF ele_warmte'!B13</f>
        <v>0.1792331617176651</v>
      </c>
      <c r="C8" s="917">
        <f>'EF ele_warmte'!B23</f>
        <v>0.22224659720452891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952.05707996806348</v>
      </c>
      <c r="C10" s="23">
        <f>C6*C8</f>
        <v>83.791782963172906</v>
      </c>
      <c r="D10" s="23">
        <f>D6*D8</f>
        <v>2104.2668037836352</v>
      </c>
      <c r="E10" s="23">
        <f>E6*E8</f>
        <v>0</v>
      </c>
      <c r="F10" s="23">
        <f>F6*F8</f>
        <v>239.0331495218413</v>
      </c>
      <c r="G10" s="23" t="s">
        <v>669</v>
      </c>
      <c r="H10" s="23" t="s">
        <v>669</v>
      </c>
      <c r="I10" s="23" t="s">
        <v>669</v>
      </c>
      <c r="J10" s="23" t="s">
        <v>669</v>
      </c>
      <c r="K10" s="23" t="s">
        <v>669</v>
      </c>
      <c r="L10" s="23" t="s">
        <v>670</v>
      </c>
      <c r="M10" s="23" t="s">
        <v>669</v>
      </c>
      <c r="N10" s="23">
        <f t="shared" ref="N10:O10" si="1">N6*N8</f>
        <v>0</v>
      </c>
      <c r="O10" s="23">
        <f t="shared" si="1"/>
        <v>0</v>
      </c>
      <c r="P10" s="23" t="s">
        <v>639</v>
      </c>
      <c r="Q10" s="23" t="s">
        <v>639</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654</v>
      </c>
      <c r="M3" s="383" t="s">
        <v>186</v>
      </c>
      <c r="N3" s="383" t="s">
        <v>187</v>
      </c>
      <c r="O3" s="383" t="s">
        <v>188</v>
      </c>
      <c r="P3" s="383" t="s">
        <v>189</v>
      </c>
      <c r="Q3" s="383" t="s">
        <v>190</v>
      </c>
    </row>
    <row r="4" spans="1:17" s="810" customFormat="1">
      <c r="A4" s="16" t="s">
        <v>476</v>
      </c>
      <c r="B4" s="30">
        <f>kWh_eigenov_elektriciteit/1000</f>
        <v>4999.1911951443435</v>
      </c>
      <c r="C4" s="18" t="s">
        <v>669</v>
      </c>
      <c r="D4" s="18" t="s">
        <v>669</v>
      </c>
      <c r="E4" s="18" t="s">
        <v>669</v>
      </c>
      <c r="F4" s="18" t="s">
        <v>669</v>
      </c>
      <c r="G4" s="18" t="s">
        <v>669</v>
      </c>
      <c r="H4" s="18" t="s">
        <v>669</v>
      </c>
      <c r="I4" s="18" t="s">
        <v>669</v>
      </c>
      <c r="J4" s="18" t="s">
        <v>669</v>
      </c>
      <c r="K4" s="18" t="s">
        <v>669</v>
      </c>
      <c r="L4" s="18" t="s">
        <v>669</v>
      </c>
      <c r="M4" s="18" t="s">
        <v>669</v>
      </c>
      <c r="N4" s="18" t="s">
        <v>669</v>
      </c>
      <c r="O4" s="18" t="s">
        <v>669</v>
      </c>
      <c r="P4" s="18" t="s">
        <v>669</v>
      </c>
      <c r="Q4" s="18" t="s">
        <v>669</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4999.1911951443435</v>
      </c>
      <c r="C6" s="916" t="s">
        <v>669</v>
      </c>
      <c r="D6" s="916" t="s">
        <v>669</v>
      </c>
      <c r="E6" s="916" t="s">
        <v>669</v>
      </c>
      <c r="F6" s="916" t="s">
        <v>669</v>
      </c>
      <c r="G6" s="916" t="s">
        <v>669</v>
      </c>
      <c r="H6" s="916" t="s">
        <v>669</v>
      </c>
      <c r="I6" s="916" t="s">
        <v>669</v>
      </c>
      <c r="J6" s="916" t="s">
        <v>669</v>
      </c>
      <c r="K6" s="916" t="s">
        <v>669</v>
      </c>
      <c r="L6" s="916" t="s">
        <v>669</v>
      </c>
      <c r="M6" s="916" t="s">
        <v>669</v>
      </c>
      <c r="N6" s="916" t="s">
        <v>669</v>
      </c>
      <c r="O6" s="916" t="s">
        <v>669</v>
      </c>
      <c r="P6" s="916" t="s">
        <v>669</v>
      </c>
      <c r="Q6" s="916" t="s">
        <v>669</v>
      </c>
    </row>
    <row r="7" spans="1:17" outlineLevel="1">
      <c r="B7" s="19"/>
      <c r="C7" s="19"/>
      <c r="D7" s="19"/>
      <c r="E7" s="19"/>
      <c r="F7" s="400"/>
      <c r="G7" s="400"/>
      <c r="H7" s="400"/>
      <c r="I7" s="400"/>
      <c r="J7" s="400"/>
      <c r="K7" s="400"/>
      <c r="L7" s="400"/>
      <c r="M7" s="400"/>
      <c r="N7" s="400"/>
      <c r="O7" s="400"/>
      <c r="P7" s="400"/>
      <c r="Q7" s="400"/>
    </row>
    <row r="8" spans="1:17" outlineLevel="1">
      <c r="A8" s="401" t="s">
        <v>479</v>
      </c>
      <c r="B8" s="917">
        <f>'EF ele_warmte'!B13</f>
        <v>0.1792331617176651</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896.02084393683356</v>
      </c>
      <c r="C10" s="23" t="s">
        <v>669</v>
      </c>
      <c r="D10" s="23" t="s">
        <v>669</v>
      </c>
      <c r="E10" s="23" t="s">
        <v>669</v>
      </c>
      <c r="F10" s="23" t="s">
        <v>669</v>
      </c>
      <c r="G10" s="23" t="s">
        <v>669</v>
      </c>
      <c r="H10" s="23" t="s">
        <v>669</v>
      </c>
      <c r="I10" s="23" t="s">
        <v>669</v>
      </c>
      <c r="J10" s="23" t="s">
        <v>669</v>
      </c>
      <c r="K10" s="23" t="s">
        <v>669</v>
      </c>
      <c r="L10" s="23" t="s">
        <v>669</v>
      </c>
      <c r="M10" s="23" t="s">
        <v>669</v>
      </c>
      <c r="N10" s="23" t="s">
        <v>669</v>
      </c>
      <c r="O10" s="23" t="s">
        <v>669</v>
      </c>
      <c r="P10" s="23" t="s">
        <v>669</v>
      </c>
      <c r="Q10" s="23" t="s">
        <v>669</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4999.1912000000002</v>
      </c>
      <c r="C5" s="18" t="s">
        <v>669</v>
      </c>
      <c r="D5" s="18" t="s">
        <v>669</v>
      </c>
      <c r="E5" s="18" t="s">
        <v>669</v>
      </c>
      <c r="F5" s="18" t="s">
        <v>669</v>
      </c>
      <c r="G5" s="18" t="s">
        <v>669</v>
      </c>
      <c r="H5" s="18" t="s">
        <v>669</v>
      </c>
      <c r="I5" s="18" t="s">
        <v>669</v>
      </c>
      <c r="J5" s="18" t="s">
        <v>669</v>
      </c>
      <c r="K5" s="18" t="s">
        <v>669</v>
      </c>
      <c r="L5" s="18" t="s">
        <v>669</v>
      </c>
      <c r="M5" s="18" t="s">
        <v>669</v>
      </c>
      <c r="N5" s="18" t="s">
        <v>669</v>
      </c>
      <c r="O5" s="18" t="s">
        <v>669</v>
      </c>
      <c r="P5" s="18" t="s">
        <v>669</v>
      </c>
      <c r="Q5" s="18" t="s">
        <v>669</v>
      </c>
    </row>
    <row r="6" spans="1:17">
      <c r="A6" s="16" t="s">
        <v>438</v>
      </c>
      <c r="B6" s="30">
        <f>(IF(ISERROR('Eigen openbare verlichting'!B6),0,'Eigen openbare verlichting'!B4))*(-1)</f>
        <v>-4999.1911951443435</v>
      </c>
      <c r="C6" s="18" t="s">
        <v>669</v>
      </c>
      <c r="D6" s="18" t="s">
        <v>669</v>
      </c>
      <c r="E6" s="18" t="s">
        <v>669</v>
      </c>
      <c r="F6" s="18" t="s">
        <v>669</v>
      </c>
      <c r="G6" s="18" t="s">
        <v>669</v>
      </c>
      <c r="H6" s="18" t="s">
        <v>669</v>
      </c>
      <c r="I6" s="18" t="s">
        <v>669</v>
      </c>
      <c r="J6" s="18" t="s">
        <v>669</v>
      </c>
      <c r="K6" s="18" t="s">
        <v>669</v>
      </c>
      <c r="L6" s="18" t="s">
        <v>669</v>
      </c>
      <c r="M6" s="18" t="s">
        <v>669</v>
      </c>
      <c r="N6" s="18" t="s">
        <v>669</v>
      </c>
      <c r="O6" s="18" t="s">
        <v>669</v>
      </c>
      <c r="P6" s="18" t="s">
        <v>669</v>
      </c>
      <c r="Q6" s="18" t="s">
        <v>669</v>
      </c>
    </row>
    <row r="7" spans="1:17">
      <c r="B7" s="19"/>
      <c r="C7" s="19"/>
      <c r="D7" s="19"/>
      <c r="E7" s="19"/>
      <c r="F7" s="19"/>
      <c r="G7" s="19"/>
      <c r="H7" s="19"/>
      <c r="I7" s="19"/>
      <c r="J7" s="19"/>
      <c r="K7" s="19"/>
      <c r="L7" s="19"/>
      <c r="M7" s="19"/>
      <c r="N7" s="19"/>
      <c r="O7" s="19"/>
      <c r="P7" s="19"/>
      <c r="Q7" s="19"/>
    </row>
    <row r="8" spans="1:17" s="8" customFormat="1">
      <c r="A8" s="20" t="s">
        <v>394</v>
      </c>
      <c r="B8" s="21">
        <f>MAX((B5+B6),0)</f>
        <v>4.8556566980550997E-6</v>
      </c>
      <c r="C8" s="21" t="s">
        <v>669</v>
      </c>
      <c r="D8" s="21" t="s">
        <v>669</v>
      </c>
      <c r="E8" s="21" t="s">
        <v>669</v>
      </c>
      <c r="F8" s="21" t="s">
        <v>669</v>
      </c>
      <c r="G8" s="21" t="s">
        <v>669</v>
      </c>
      <c r="H8" s="21" t="s">
        <v>669</v>
      </c>
      <c r="I8" s="21" t="s">
        <v>669</v>
      </c>
      <c r="J8" s="21" t="s">
        <v>669</v>
      </c>
      <c r="K8" s="21" t="s">
        <v>669</v>
      </c>
      <c r="L8" s="21" t="s">
        <v>669</v>
      </c>
      <c r="M8" s="21" t="s">
        <v>669</v>
      </c>
      <c r="N8" s="21" t="s">
        <v>669</v>
      </c>
      <c r="O8" s="21" t="s">
        <v>669</v>
      </c>
      <c r="P8" s="21" t="s">
        <v>669</v>
      </c>
      <c r="Q8" s="21" t="s">
        <v>669</v>
      </c>
    </row>
    <row r="9" spans="1:17">
      <c r="B9" s="19"/>
      <c r="C9" s="19"/>
      <c r="D9" s="19"/>
      <c r="E9" s="19"/>
      <c r="F9" s="19"/>
      <c r="G9" s="19"/>
      <c r="H9" s="19"/>
      <c r="I9" s="19"/>
      <c r="J9" s="19"/>
      <c r="K9" s="19"/>
      <c r="L9" s="19"/>
      <c r="M9" s="19"/>
      <c r="N9" s="19"/>
      <c r="O9" s="19"/>
      <c r="P9" s="19"/>
      <c r="Q9" s="19"/>
    </row>
    <row r="10" spans="1:17">
      <c r="A10" s="24" t="s">
        <v>194</v>
      </c>
      <c r="B10" s="25">
        <f>'EF ele_warmte'!B13</f>
        <v>0.1792331617176651</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8.7029470220797338E-7</v>
      </c>
      <c r="C12" s="157" t="s">
        <v>669</v>
      </c>
      <c r="D12" s="157" t="s">
        <v>669</v>
      </c>
      <c r="E12" s="157" t="s">
        <v>669</v>
      </c>
      <c r="F12" s="157" t="s">
        <v>669</v>
      </c>
      <c r="G12" s="157" t="s">
        <v>669</v>
      </c>
      <c r="H12" s="157" t="s">
        <v>669</v>
      </c>
      <c r="I12" s="157" t="s">
        <v>669</v>
      </c>
      <c r="J12" s="157" t="s">
        <v>669</v>
      </c>
      <c r="K12" s="157" t="s">
        <v>669</v>
      </c>
      <c r="L12" s="157" t="s">
        <v>669</v>
      </c>
      <c r="M12" s="157" t="s">
        <v>669</v>
      </c>
      <c r="N12" s="157" t="s">
        <v>669</v>
      </c>
      <c r="O12" s="157" t="s">
        <v>669</v>
      </c>
      <c r="P12" s="157" t="s">
        <v>669</v>
      </c>
      <c r="Q12" s="157" t="s">
        <v>669</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96535.286101775506</v>
      </c>
      <c r="C5" s="17">
        <f>IF(ISERROR('Eigen informatie GS &amp; warmtenet'!B61),0,'Eigen informatie GS &amp; warmtenet'!B61)</f>
        <v>0</v>
      </c>
      <c r="D5" s="30">
        <f>(SUM(HH_hh_gas_kWh,HH_rest_gas_kWh)/1000)*0.903</f>
        <v>269811.43739753444</v>
      </c>
      <c r="E5" s="17">
        <f>B33*B42</f>
        <v>7441.1083684860187</v>
      </c>
      <c r="F5" s="17">
        <f>B37*B46</f>
        <v>120913.14522579068</v>
      </c>
      <c r="G5" s="18" t="s">
        <v>639</v>
      </c>
      <c r="H5" s="17" t="s">
        <v>639</v>
      </c>
      <c r="I5" s="17" t="s">
        <v>639</v>
      </c>
      <c r="J5" s="17">
        <f>B36*B45+C36*C45</f>
        <v>969.28454742987765</v>
      </c>
      <c r="K5" s="17" t="s">
        <v>639</v>
      </c>
      <c r="L5" s="884" t="s">
        <v>639</v>
      </c>
      <c r="M5" s="17" t="s">
        <v>639</v>
      </c>
      <c r="N5" s="17" t="s">
        <v>672</v>
      </c>
      <c r="O5" s="17">
        <f>B35*B44+C35*C44</f>
        <v>43609.342693498205</v>
      </c>
      <c r="P5" s="17" t="s">
        <v>639</v>
      </c>
      <c r="Q5" s="17" t="s">
        <v>639</v>
      </c>
    </row>
    <row r="6" spans="1:17" s="810" customFormat="1">
      <c r="A6" s="16" t="s">
        <v>635</v>
      </c>
      <c r="B6" s="17">
        <f>'lokale energieproductie'!N32</f>
        <v>103.55023200828398</v>
      </c>
      <c r="C6" s="17">
        <f>'lokale energieproductie'!O32</f>
        <v>194.80504961322654</v>
      </c>
      <c r="D6" s="17">
        <f>('lokale energieproductie'!P32)*(-1)</f>
        <v>-345.22541296174387</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486</v>
      </c>
      <c r="B7" s="17">
        <f>MWh_eigenverbruikPV_residentieel</f>
        <v>11541.309188054483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108180.14552183828</v>
      </c>
      <c r="C9" s="21">
        <f>MAX((C5+C6+C7),0)</f>
        <v>194.80504961322654</v>
      </c>
      <c r="D9" s="21">
        <f t="shared" ref="D9:O9" si="0">MAX((D5+D6+D7),0)</f>
        <v>269466.2119845727</v>
      </c>
      <c r="E9" s="21">
        <f t="shared" si="0"/>
        <v>7441.1083684860187</v>
      </c>
      <c r="F9" s="21">
        <f t="shared" si="0"/>
        <v>120913.14522579068</v>
      </c>
      <c r="G9" s="21" t="s">
        <v>639</v>
      </c>
      <c r="H9" s="21" t="s">
        <v>639</v>
      </c>
      <c r="I9" s="21" t="s">
        <v>672</v>
      </c>
      <c r="J9" s="21">
        <f t="shared" si="0"/>
        <v>969.28454742987765</v>
      </c>
      <c r="K9" s="21" t="s">
        <v>639</v>
      </c>
      <c r="L9" s="21">
        <f>MAX((L6),0)</f>
        <v>0</v>
      </c>
      <c r="M9" s="21">
        <f>MAX((M6),0)</f>
        <v>0</v>
      </c>
      <c r="N9" s="21" t="s">
        <v>639</v>
      </c>
      <c r="O9" s="21">
        <f t="shared" si="0"/>
        <v>43609.342693498205</v>
      </c>
      <c r="P9" s="21" t="s">
        <v>639</v>
      </c>
      <c r="Q9" s="21" t="s">
        <v>639</v>
      </c>
    </row>
    <row r="10" spans="1:17">
      <c r="B10" s="19"/>
      <c r="C10" s="19"/>
      <c r="D10" s="232"/>
      <c r="E10" s="19"/>
      <c r="F10" s="19"/>
      <c r="G10" s="19"/>
      <c r="H10" s="19"/>
      <c r="I10" s="19"/>
      <c r="J10" s="19"/>
      <c r="K10" s="19"/>
      <c r="L10" s="19"/>
      <c r="M10" s="19"/>
      <c r="N10" s="19"/>
      <c r="O10" s="19"/>
      <c r="P10" s="19"/>
      <c r="Q10" s="19"/>
    </row>
    <row r="11" spans="1:17">
      <c r="A11" s="24" t="s">
        <v>194</v>
      </c>
      <c r="B11" s="25">
        <f>'EF ele_warmte'!B13</f>
        <v>0.1792331617176651</v>
      </c>
      <c r="C11" s="25">
        <f>'EF ele_warmte'!B23</f>
        <v>0.22224659720452891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19389.469516956182</v>
      </c>
      <c r="C13" s="23">
        <f>C11*C9</f>
        <v>43.29475939479903</v>
      </c>
      <c r="D13" s="23">
        <f>D9*D11</f>
        <v>54432.174820883687</v>
      </c>
      <c r="E13" s="23">
        <f>E11*E9</f>
        <v>1689.1315996463263</v>
      </c>
      <c r="F13" s="23">
        <f>F11*F9</f>
        <v>32283.809775286114</v>
      </c>
      <c r="G13" s="23" t="s">
        <v>639</v>
      </c>
      <c r="H13" s="23" t="s">
        <v>639</v>
      </c>
      <c r="I13" s="23" t="s">
        <v>639</v>
      </c>
      <c r="J13" s="23">
        <f>J11*J9</f>
        <v>343.12672979017668</v>
      </c>
      <c r="K13" s="23" t="s">
        <v>639</v>
      </c>
      <c r="L13" s="887">
        <f>L11*L9</f>
        <v>0</v>
      </c>
      <c r="M13" s="23">
        <f>M11*M9</f>
        <v>0</v>
      </c>
      <c r="N13" s="23" t="s">
        <v>639</v>
      </c>
      <c r="O13" s="23">
        <f>O11*O9</f>
        <v>0</v>
      </c>
      <c r="P13" s="23" t="s">
        <v>639</v>
      </c>
      <c r="Q13" s="23" t="s">
        <v>639</v>
      </c>
    </row>
    <row r="15" spans="1:17" ht="17.25" customHeight="1"/>
    <row r="16" spans="1:17" hidden="1">
      <c r="A16" s="182" t="s">
        <v>399</v>
      </c>
      <c r="B16" s="191"/>
      <c r="C16" s="191"/>
      <c r="D16" s="205"/>
    </row>
    <row r="17" spans="1:12" hidden="1">
      <c r="A17" s="3"/>
      <c r="B17" s="43"/>
      <c r="C17" s="43"/>
      <c r="D17" s="167"/>
    </row>
    <row r="18" spans="1:12" hidden="1">
      <c r="A18" s="206" t="s">
        <v>633</v>
      </c>
      <c r="B18" s="190" t="s">
        <v>615</v>
      </c>
      <c r="C18" s="190" t="s">
        <v>614</v>
      </c>
      <c r="D18" s="207" t="s">
        <v>162</v>
      </c>
      <c r="E18" s="15"/>
    </row>
    <row r="19" spans="1:12" hidden="1">
      <c r="A19" s="164" t="s">
        <v>74</v>
      </c>
      <c r="B19" s="824">
        <v>0.52991031239315478</v>
      </c>
      <c r="C19" s="824"/>
      <c r="D19" s="271" t="s">
        <v>722</v>
      </c>
      <c r="E19" s="1167" t="s">
        <v>697</v>
      </c>
    </row>
    <row r="20" spans="1:12" hidden="1">
      <c r="A20" s="164" t="s">
        <v>608</v>
      </c>
      <c r="B20" s="824">
        <v>7.0099712805176779E-3</v>
      </c>
      <c r="C20" s="824"/>
      <c r="D20" s="209"/>
      <c r="E20" s="1168"/>
    </row>
    <row r="21" spans="1:12" hidden="1">
      <c r="A21" s="164" t="s">
        <v>609</v>
      </c>
      <c r="B21" s="824"/>
      <c r="C21" s="824"/>
      <c r="D21" s="209"/>
      <c r="E21" s="1168"/>
    </row>
    <row r="22" spans="1:12" hidden="1">
      <c r="A22" s="164" t="s">
        <v>610</v>
      </c>
      <c r="B22" s="824">
        <v>1.6126086326569474E-2</v>
      </c>
      <c r="C22" s="824"/>
      <c r="D22" s="209"/>
      <c r="E22" s="1168"/>
    </row>
    <row r="23" spans="1:12" hidden="1">
      <c r="A23" s="164" t="s">
        <v>611</v>
      </c>
      <c r="B23" s="824">
        <v>0.26185570387896945</v>
      </c>
      <c r="C23" s="824"/>
      <c r="D23" s="209"/>
      <c r="E23" s="1168"/>
    </row>
    <row r="24" spans="1:12" hidden="1">
      <c r="A24" s="164" t="s">
        <v>75</v>
      </c>
      <c r="B24" s="824">
        <v>6.5901842733185875E-2</v>
      </c>
      <c r="C24" s="824"/>
      <c r="D24" s="208"/>
      <c r="E24" s="1168"/>
    </row>
    <row r="25" spans="1:12" hidden="1">
      <c r="A25" s="164" t="s">
        <v>612</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723</v>
      </c>
      <c r="B27" s="37">
        <f>aantalHuishoudens</f>
        <v>37133</v>
      </c>
      <c r="C27" s="36"/>
      <c r="D27" s="208"/>
      <c r="E27" s="1168"/>
      <c r="L27" s="812"/>
    </row>
    <row r="28" spans="1:12" s="15" customFormat="1" hidden="1">
      <c r="A28" s="210" t="s">
        <v>724</v>
      </c>
      <c r="B28" s="37">
        <f>SUM(HH_hh_gas_aantal,HH_rest_gas_aantal)</f>
        <v>26413</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725</v>
      </c>
      <c r="C31" s="162" t="s">
        <v>726</v>
      </c>
      <c r="D31" s="167"/>
      <c r="E31" s="1168"/>
    </row>
    <row r="32" spans="1:12" hidden="1">
      <c r="A32" s="164" t="s">
        <v>613</v>
      </c>
      <c r="B32" s="33">
        <f>B28-(0.05*B28)</f>
        <v>25092.35</v>
      </c>
      <c r="C32" s="34" t="s">
        <v>91</v>
      </c>
      <c r="D32" s="167"/>
      <c r="E32" s="1168"/>
    </row>
    <row r="33" spans="1:6" hidden="1">
      <c r="A33" s="164" t="s">
        <v>70</v>
      </c>
      <c r="B33" s="33">
        <f>IF((B22*($B$27-($B$28-0.05*$B$28)))&lt;0,0,(B22*($B$27-($B$28-0.05*$B$28))))</f>
        <v>194.16856132800876</v>
      </c>
      <c r="C33" s="34" t="s">
        <v>91</v>
      </c>
      <c r="D33" s="167"/>
      <c r="E33" s="1168"/>
    </row>
    <row r="34" spans="1:6" hidden="1">
      <c r="A34" s="164" t="s">
        <v>71</v>
      </c>
      <c r="B34" s="33">
        <f>IF((B23*($B$27-($B$28-0.05*$B$28)))&lt;0,0,B23*($B$27-($B$28-0.05*$B$28)))</f>
        <v>3152.912880910314</v>
      </c>
      <c r="C34" s="34" t="s">
        <v>91</v>
      </c>
      <c r="D34" s="167"/>
      <c r="E34" s="1168"/>
    </row>
    <row r="35" spans="1:6" hidden="1">
      <c r="A35" s="164" t="s">
        <v>72</v>
      </c>
      <c r="B35" s="33">
        <f>IF((B25*($B$27-($B$28-0.05*$B$28)))&lt;0,0,B25*($B$27-($B$28-0.05*$B$28)))</f>
        <v>1378.6303653329342</v>
      </c>
      <c r="C35" s="33">
        <f>B27*C25</f>
        <v>6238.3439999999982</v>
      </c>
      <c r="D35" s="213"/>
      <c r="E35" s="1168"/>
    </row>
    <row r="36" spans="1:6" hidden="1">
      <c r="A36" s="164" t="s">
        <v>73</v>
      </c>
      <c r="B36" s="33">
        <f>IF((B20*($B$27-($B$28-0.05*$B$28)))&lt;0,0,B20*($B$27-($B$28-0.05*$B$28)))</f>
        <v>84.404610698765183</v>
      </c>
      <c r="C36" s="33">
        <f>B36/2</f>
        <v>42.202305349382591</v>
      </c>
      <c r="D36" s="213"/>
      <c r="E36" s="1168"/>
    </row>
    <row r="37" spans="1:6" hidden="1">
      <c r="A37" s="164" t="s">
        <v>74</v>
      </c>
      <c r="B37" s="33">
        <f>IF((B19*($B$27-($B$28-0.05*$B$28)))&lt;0,0,B19*($B$27-($B$28-0.05*$B$28)))</f>
        <v>6380.4646029166397</v>
      </c>
      <c r="C37" s="34" t="s">
        <v>91</v>
      </c>
      <c r="D37" s="167"/>
      <c r="E37" s="1168"/>
    </row>
    <row r="38" spans="1:6" hidden="1">
      <c r="A38" s="164" t="s">
        <v>75</v>
      </c>
      <c r="B38" s="33">
        <f>IF((B24*($B$27-($B$28-0.05*$B$28)))&lt;0,0,B24*($B$27-($B$28-0.05*$B$28)))</f>
        <v>793.50102270533455</v>
      </c>
      <c r="C38" s="34" t="s">
        <v>91</v>
      </c>
      <c r="D38" s="167"/>
      <c r="E38" s="1168"/>
    </row>
    <row r="39" spans="1:6" hidden="1">
      <c r="A39" s="3"/>
      <c r="B39" s="43"/>
      <c r="C39" s="43"/>
      <c r="D39" s="167"/>
      <c r="E39" s="1168"/>
    </row>
    <row r="40" spans="1:6" hidden="1">
      <c r="A40" s="165" t="s">
        <v>396</v>
      </c>
      <c r="B40" s="161" t="s">
        <v>727</v>
      </c>
      <c r="C40" s="161" t="s">
        <v>728</v>
      </c>
      <c r="D40" s="271" t="s">
        <v>722</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642</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181795.75447822447</v>
      </c>
      <c r="C5" s="17">
        <f>IF(ISERROR('Eigen informatie GS &amp; warmtenet'!B62),0,'Eigen informatie GS &amp; warmtenet'!B62)</f>
        <v>0</v>
      </c>
      <c r="D5" s="30">
        <f>SUM(D6:D12)</f>
        <v>181689.00440424558</v>
      </c>
      <c r="E5" s="17">
        <f>SUM(E6:E12)</f>
        <v>283.52481600651998</v>
      </c>
      <c r="F5" s="17">
        <f>SUM(F6:F12)</f>
        <v>21586.140761605719</v>
      </c>
      <c r="G5" s="17" t="s">
        <v>639</v>
      </c>
      <c r="H5" s="17">
        <f t="shared" ref="H5" si="0">SUM(H6:H12)</f>
        <v>2.7978531287955768</v>
      </c>
      <c r="I5" s="17" t="s">
        <v>639</v>
      </c>
      <c r="J5" s="17">
        <f>SUM(J6:J12)</f>
        <v>0.13330857361704021</v>
      </c>
      <c r="K5" s="17" t="s">
        <v>639</v>
      </c>
      <c r="L5" s="884" t="s">
        <v>670</v>
      </c>
      <c r="M5" s="17" t="s">
        <v>670</v>
      </c>
      <c r="N5" s="17" t="s">
        <v>670</v>
      </c>
      <c r="O5" s="17">
        <f>SUM(O6:O12)</f>
        <v>5258.9886055203306</v>
      </c>
      <c r="P5" s="17" t="s">
        <v>639</v>
      </c>
      <c r="Q5" s="17" t="s">
        <v>639</v>
      </c>
      <c r="S5" s="32"/>
    </row>
    <row r="6" spans="1:19">
      <c r="A6" s="32" t="s">
        <v>53</v>
      </c>
      <c r="B6" s="37">
        <f>B27</f>
        <v>69078.975488224489</v>
      </c>
      <c r="C6" s="33"/>
      <c r="D6" s="37">
        <f>IF(ISERROR(TER_kantoor_gas_kWh/1000),0,TER_kantoor_gas_kWh/1000)*0.903</f>
        <v>65145.496885625587</v>
      </c>
      <c r="E6" s="33">
        <f>$C$27*'E Balans VL '!I12/100/3.6*1000000</f>
        <v>5.135577929853535E-3</v>
      </c>
      <c r="F6" s="33">
        <f>$C$27*('E Balans VL '!L12+'E Balans VL '!N12)/100/3.6*1000000</f>
        <v>5706.0186054992791</v>
      </c>
      <c r="G6" s="33"/>
      <c r="H6" s="33">
        <f>$C$27*('E Balans VL '!J12)/100/3.6*1000000</f>
        <v>0</v>
      </c>
      <c r="I6" s="33"/>
      <c r="J6" s="33">
        <f>$C$27*('E Balans VL '!D12+'E Balans VL '!E12)/100/3.6*1000000</f>
        <v>0</v>
      </c>
      <c r="K6" s="33"/>
      <c r="L6" s="33"/>
      <c r="M6" s="33"/>
      <c r="N6" s="33"/>
      <c r="O6" s="33">
        <f>$C$27*'E Balans VL '!Y12/100/3.6*1000000</f>
        <v>84.7859190576347</v>
      </c>
      <c r="P6" s="33"/>
      <c r="Q6" s="33"/>
      <c r="S6" s="32"/>
    </row>
    <row r="7" spans="1:19">
      <c r="A7" s="32" t="s">
        <v>52</v>
      </c>
      <c r="B7" s="37">
        <f t="shared" ref="B7:B12" si="1">B28</f>
        <v>18417.070419999996</v>
      </c>
      <c r="C7" s="33"/>
      <c r="D7" s="37">
        <f>IF(ISERROR(TER_horeca_gas_kWh/1000),0,TER_horeca_gas_kWh/1000)*0.903</f>
        <v>11908.857027059999</v>
      </c>
      <c r="E7" s="33">
        <f>$C$28*'E Balans VL '!I9/100/3.6*1000000</f>
        <v>0</v>
      </c>
      <c r="F7" s="33">
        <f>$C$28*('E Balans VL '!L9+'E Balans VL '!N9)/100/3.6*1000000</f>
        <v>2268.7241243485496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53131.296219999997</v>
      </c>
      <c r="C8" s="33"/>
      <c r="D8" s="37">
        <f>IF(ISERROR(TER_handel_gas_kWh/1000),0,TER_handel_gas_kWh/1000)*0.903</f>
        <v>27436.36454979</v>
      </c>
      <c r="E8" s="33">
        <f>$C$29*'E Balans VL '!I13/100/3.6*1000000</f>
        <v>1.4585421387713458</v>
      </c>
      <c r="F8" s="33">
        <f>$C$29*('E Balans VL '!L13+'E Balans VL '!N13)/100/3.6*1000000</f>
        <v>4033.5173545953648</v>
      </c>
      <c r="G8" s="33"/>
      <c r="H8" s="33">
        <f>$C$29*('E Balans VL '!J13)/100/3.6*1000000</f>
        <v>0</v>
      </c>
      <c r="I8" s="33"/>
      <c r="J8" s="33">
        <f>$C$29*('E Balans VL '!D13+'E Balans VL '!E13)/100/3.6*1000000</f>
        <v>0</v>
      </c>
      <c r="K8" s="33"/>
      <c r="L8" s="33"/>
      <c r="M8" s="33"/>
      <c r="N8" s="33"/>
      <c r="O8" s="33">
        <f>$C$29*'E Balans VL '!Y13/100/3.6*1000000</f>
        <v>36.155550411967916</v>
      </c>
      <c r="P8" s="33"/>
      <c r="Q8" s="33"/>
      <c r="S8" s="32"/>
    </row>
    <row r="9" spans="1:19">
      <c r="A9" s="32" t="s">
        <v>50</v>
      </c>
      <c r="B9" s="37">
        <f t="shared" si="1"/>
        <v>18473.324920000003</v>
      </c>
      <c r="C9" s="33"/>
      <c r="D9" s="37">
        <f>IF(ISERROR(TER_gezond_gas_kWh/1000),0,TER_gezond_gas_kWh/1000)*0.903</f>
        <v>39659.238508470007</v>
      </c>
      <c r="E9" s="33">
        <f>$C$30*'E Balans VL '!I10/100/3.6*1000000</f>
        <v>0</v>
      </c>
      <c r="F9" s="33">
        <f>$C$30*('E Balans VL '!L10+'E Balans VL '!N10)/100/3.6*1000000</f>
        <v>324.44428141192992</v>
      </c>
      <c r="G9" s="33"/>
      <c r="H9" s="33">
        <f>$C$30*('E Balans VL '!J10)/100/3.6*1000000</f>
        <v>0</v>
      </c>
      <c r="I9" s="33"/>
      <c r="J9" s="33">
        <f>$C$30*('E Balans VL '!D10+'E Balans VL '!E10)/100/3.6*1000000</f>
        <v>0</v>
      </c>
      <c r="K9" s="33"/>
      <c r="L9" s="33"/>
      <c r="M9" s="33"/>
      <c r="N9" s="33"/>
      <c r="O9" s="33">
        <f>$C$30*'E Balans VL '!Y10/100/3.6*1000000</f>
        <v>90.008686062253616</v>
      </c>
      <c r="P9" s="33"/>
      <c r="Q9" s="33"/>
      <c r="S9" s="32"/>
    </row>
    <row r="10" spans="1:19">
      <c r="A10" s="32" t="s">
        <v>49</v>
      </c>
      <c r="B10" s="37">
        <f t="shared" si="1"/>
        <v>14247.406000000001</v>
      </c>
      <c r="C10" s="33"/>
      <c r="D10" s="37">
        <f>IF(ISERROR(TER_ander_gas_kWh/1000),0,TER_ander_gas_kWh/1000)*0.903</f>
        <v>14951.531329560001</v>
      </c>
      <c r="E10" s="33">
        <f>$C$31*'E Balans VL '!I14/100/3.6*1000000</f>
        <v>282.05117556195762</v>
      </c>
      <c r="F10" s="33">
        <f>$C$31*('E Balans VL '!L14+'E Balans VL '!N14)/100/3.6*1000000</f>
        <v>8634.0690451341998</v>
      </c>
      <c r="G10" s="33"/>
      <c r="H10" s="33">
        <f>$C$31*('E Balans VL '!J14)/100/3.6*1000000</f>
        <v>2.7977544583951821</v>
      </c>
      <c r="I10" s="33"/>
      <c r="J10" s="33">
        <f>$C$31*('E Balans VL '!D14+'E Balans VL '!E14)/100/3.6*1000000</f>
        <v>0.13330387229437268</v>
      </c>
      <c r="K10" s="33"/>
      <c r="L10" s="33"/>
      <c r="M10" s="33"/>
      <c r="N10" s="33"/>
      <c r="O10" s="33">
        <f>$C$31*'E Balans VL '!Y14/100/3.6*1000000</f>
        <v>5040.0697106899042</v>
      </c>
      <c r="P10" s="33"/>
      <c r="Q10" s="33"/>
      <c r="S10" s="32"/>
    </row>
    <row r="11" spans="1:19">
      <c r="A11" s="32" t="s">
        <v>54</v>
      </c>
      <c r="B11" s="37">
        <f t="shared" si="1"/>
        <v>8445.528119999999</v>
      </c>
      <c r="C11" s="33"/>
      <c r="D11" s="37">
        <f>IF(ISERROR(TER_onderwijs_gas_kWh/1000),0,TER_onderwijs_gas_kWh/1000)*0.903</f>
        <v>22587.516103739999</v>
      </c>
      <c r="E11" s="33">
        <f>$C$32*'E Balans VL '!I11/100/3.6*1000000</f>
        <v>0</v>
      </c>
      <c r="F11" s="33">
        <f>$C$32*('E Balans VL '!L11+'E Balans VL '!N11)/100/3.6*1000000</f>
        <v>618.93761507136935</v>
      </c>
      <c r="G11" s="33"/>
      <c r="H11" s="33">
        <f>$C$32*('E Balans VL '!J11)/100/3.6*1000000</f>
        <v>0</v>
      </c>
      <c r="I11" s="33"/>
      <c r="J11" s="33">
        <f>$C$32*('E Balans VL '!D11+'E Balans VL '!E11)/100/3.6*1000000</f>
        <v>0</v>
      </c>
      <c r="K11" s="33"/>
      <c r="L11" s="33"/>
      <c r="M11" s="33"/>
      <c r="N11" s="33"/>
      <c r="O11" s="33">
        <f>$C$32*'E Balans VL '!Y11/100/3.6*1000000</f>
        <v>7.7887642423205854</v>
      </c>
      <c r="P11" s="33"/>
      <c r="Q11" s="33"/>
      <c r="S11" s="32"/>
    </row>
    <row r="12" spans="1:19">
      <c r="A12" s="32" t="s">
        <v>229</v>
      </c>
      <c r="B12" s="37">
        <f t="shared" si="1"/>
        <v>2.1533099999999998</v>
      </c>
      <c r="C12" s="33"/>
      <c r="D12" s="37">
        <f>IF(ISERROR(TER_rest_gas_kWh/1000),0,TER_rest_gas_kWh/1000)*0.903</f>
        <v>0</v>
      </c>
      <c r="E12" s="33">
        <f>$C$33*'E Balans VL '!I8/100/3.6*1000000</f>
        <v>9.9627278611560347E-3</v>
      </c>
      <c r="F12" s="33">
        <f>$C$33*('E Balans VL '!L8+'E Balans VL '!N8)/100/3.6*1000000</f>
        <v>0.4297355450257932</v>
      </c>
      <c r="G12" s="33"/>
      <c r="H12" s="33">
        <f>$C$33*('E Balans VL '!J8)/100/3.6*1000000</f>
        <v>9.8670400394655286E-5</v>
      </c>
      <c r="I12" s="33"/>
      <c r="J12" s="33">
        <f>$C$33*('E Balans VL '!D8+'E Balans VL '!E8)/100/3.6*1000000</f>
        <v>4.7013226675326299E-6</v>
      </c>
      <c r="K12" s="33"/>
      <c r="L12" s="33"/>
      <c r="M12" s="33"/>
      <c r="N12" s="33"/>
      <c r="O12" s="33">
        <f>$C$33*'E Balans VL '!Y8/100/3.6*1000000</f>
        <v>0.17997505624908361</v>
      </c>
      <c r="P12" s="33"/>
      <c r="Q12" s="33"/>
      <c r="S12" s="32"/>
    </row>
    <row r="13" spans="1:19">
      <c r="A13" s="16" t="s">
        <v>627</v>
      </c>
      <c r="B13" s="17">
        <f>'lokale energieproductie'!N34</f>
        <v>7675.5800526744843</v>
      </c>
      <c r="C13" s="17">
        <f>'lokale energieproductie'!O34</f>
        <v>9674.4449297633728</v>
      </c>
      <c r="D13" s="920">
        <f>('lokale energieproductie'!P34)*(-1)</f>
        <v>-19108.678844864899</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-3163.2798252836737</v>
      </c>
      <c r="P13" s="223"/>
      <c r="Q13" s="223"/>
      <c r="S13" s="32"/>
    </row>
    <row r="14" spans="1:19" s="812" customFormat="1">
      <c r="A14" s="16" t="s">
        <v>486</v>
      </c>
      <c r="B14" s="1008">
        <f>MWh_eigenverbruikPV_tertiair</f>
        <v>2741.3241717950982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-5311.8355489804953</v>
      </c>
      <c r="C15" s="17">
        <f>('Eigen gebouwen'!C4)*(-1)</f>
        <v>-377.02166879999999</v>
      </c>
      <c r="D15" s="17">
        <f>('Eigen gebouwen'!D4)*(-1)</f>
        <v>-10417.162394968491</v>
      </c>
      <c r="E15" s="17">
        <f>('Eigen gebouwen'!E4)*(-1)</f>
        <v>0</v>
      </c>
      <c r="F15" s="17">
        <f>('Eigen gebouwen'!F4)*(-1)</f>
        <v>-895.25524165483625</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186900.82315371357</v>
      </c>
      <c r="C17" s="21">
        <f t="shared" ref="C17:O17" si="2">MAX((C5+C13+C15),0)</f>
        <v>9297.4232609633727</v>
      </c>
      <c r="D17" s="21">
        <f t="shared" si="2"/>
        <v>152163.1631644122</v>
      </c>
      <c r="E17" s="21">
        <f t="shared" si="2"/>
        <v>283.52481600651998</v>
      </c>
      <c r="F17" s="21">
        <f>MAX((F5+F13+F15),0)</f>
        <v>20690.885519950883</v>
      </c>
      <c r="G17" s="21" t="s">
        <v>639</v>
      </c>
      <c r="H17" s="21">
        <f t="shared" ref="H17" si="3">MAX((H5+H13+H15),0)</f>
        <v>2.7978531287955768</v>
      </c>
      <c r="I17" s="21" t="s">
        <v>639</v>
      </c>
      <c r="J17" s="21">
        <f t="shared" si="2"/>
        <v>0.13330857361704021</v>
      </c>
      <c r="K17" s="21" t="s">
        <v>639</v>
      </c>
      <c r="L17" s="21" t="s">
        <v>670</v>
      </c>
      <c r="M17" s="21" t="s">
        <v>670</v>
      </c>
      <c r="N17" s="21" t="s">
        <v>670</v>
      </c>
      <c r="O17" s="21">
        <f t="shared" si="2"/>
        <v>2095.7087802366568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0.1792331617176651</v>
      </c>
      <c r="C19" s="25">
        <f>'EF ele_warmte'!B23</f>
        <v>0.22224659720452891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33498.825461474269</v>
      </c>
      <c r="C21" s="23">
        <f t="shared" ref="C21:O21" si="4">C17*C19</f>
        <v>2066.3206825193442</v>
      </c>
      <c r="D21" s="23">
        <f t="shared" si="4"/>
        <v>30736.958959211264</v>
      </c>
      <c r="E21" s="23">
        <f t="shared" si="4"/>
        <v>64.360133233480042</v>
      </c>
      <c r="F21" s="23">
        <f t="shared" si="4"/>
        <v>5524.4664338268858</v>
      </c>
      <c r="G21" s="23" t="s">
        <v>639</v>
      </c>
      <c r="H21" s="23">
        <f t="shared" si="4"/>
        <v>0.69666542907009865</v>
      </c>
      <c r="I21" s="23" t="s">
        <v>639</v>
      </c>
      <c r="J21" s="23">
        <f t="shared" si="4"/>
        <v>4.7191235060432234E-2</v>
      </c>
      <c r="K21" s="23" t="s">
        <v>639</v>
      </c>
      <c r="L21" s="23" t="s">
        <v>673</v>
      </c>
      <c r="M21" s="23" t="s">
        <v>670</v>
      </c>
      <c r="N21" s="23" t="s">
        <v>670</v>
      </c>
      <c r="O21" s="23">
        <f t="shared" si="4"/>
        <v>0</v>
      </c>
      <c r="P21" s="23" t="s">
        <v>639</v>
      </c>
      <c r="Q21" s="23" t="s">
        <v>639</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69078.975488224489</v>
      </c>
      <c r="C27" s="39">
        <f>IF(ISERROR(B27*3.6/1000000/'E Balans VL '!Z12*100),0,B27*3.6/1000000/'E Balans VL '!Z12*100)</f>
        <v>2.1042346712537441</v>
      </c>
      <c r="D27" s="216" t="s">
        <v>736</v>
      </c>
      <c r="F27" s="6"/>
    </row>
    <row r="28" spans="1:19">
      <c r="A28" s="211" t="s">
        <v>52</v>
      </c>
      <c r="B28" s="33">
        <f>IF(ISERROR(TER_horeca_ele_kWh/1000),0,TER_horeca_ele_kWh/1000)</f>
        <v>18417.070419999996</v>
      </c>
      <c r="C28" s="39">
        <f>IF(ISERROR(B28*3.6/1000000/'E Balans VL '!Z9*100),0,B28*3.6/1000000/'E Balans VL '!Z9*100)</f>
        <v>2.1936947811843392</v>
      </c>
      <c r="D28" s="216" t="s">
        <v>736</v>
      </c>
      <c r="F28" s="6"/>
    </row>
    <row r="29" spans="1:19">
      <c r="A29" s="164" t="s">
        <v>51</v>
      </c>
      <c r="B29" s="33">
        <f>IF(ISERROR(TER_handel_ele_kWh/1000),0,TER_handel_ele_kWh/1000)</f>
        <v>53131.296219999997</v>
      </c>
      <c r="C29" s="39">
        <f>IF(ISERROR(B29*3.6/1000000/'E Balans VL '!Z13*100),0,B29*3.6/1000000/'E Balans VL '!Z13*100)</f>
        <v>1.8258570045022267</v>
      </c>
      <c r="D29" s="216" t="s">
        <v>736</v>
      </c>
      <c r="F29" s="6"/>
    </row>
    <row r="30" spans="1:19">
      <c r="A30" s="211" t="s">
        <v>50</v>
      </c>
      <c r="B30" s="33">
        <f>IF(ISERROR(TER_gezond_ele_kWh/1000),0,TER_gezond_ele_kWh/1000)</f>
        <v>18473.324920000003</v>
      </c>
      <c r="C30" s="39">
        <f>IF(ISERROR(B30*3.6/1000000/'E Balans VL '!Z10*100),0,B30*3.6/1000000/'E Balans VL '!Z10*100)</f>
        <v>1.7728957580035489</v>
      </c>
      <c r="D30" s="216" t="s">
        <v>736</v>
      </c>
      <c r="F30" s="6"/>
    </row>
    <row r="31" spans="1:19">
      <c r="A31" s="211" t="s">
        <v>49</v>
      </c>
      <c r="B31" s="33">
        <f>IF(ISERROR(TER_ander_ele_kWh/1000),0,TER_ander_ele_kWh/1000)</f>
        <v>14247.406000000001</v>
      </c>
      <c r="C31" s="39">
        <f>IF(ISERROR(B31*3.6/1000000/'E Balans VL '!Z14*100),0,B31*3.6/1000000/'E Balans VL '!Z14*100)</f>
        <v>0.54595442577900077</v>
      </c>
      <c r="D31" s="216" t="s">
        <v>736</v>
      </c>
      <c r="F31" s="6"/>
    </row>
    <row r="32" spans="1:19">
      <c r="A32" s="211" t="s">
        <v>54</v>
      </c>
      <c r="B32" s="33">
        <f>IF(ISERROR(TER_onderwijs_ele_kWh/1000),0,TER_onderwijs_ele_kWh/1000)</f>
        <v>8445.528119999999</v>
      </c>
      <c r="C32" s="39">
        <f>IF(ISERROR(B32*3.6/1000000/'E Balans VL '!Z11*100),0,B32*3.6/1000000/'E Balans VL '!Z11*100)</f>
        <v>1.6910755540715656</v>
      </c>
      <c r="D32" s="216" t="s">
        <v>736</v>
      </c>
    </row>
    <row r="33" spans="1:4">
      <c r="A33" s="211" t="s">
        <v>229</v>
      </c>
      <c r="B33" s="33">
        <f>IF(ISERROR(TER_rest_ele_kWh/1000),0,TER_rest_ele_kWh/1000)</f>
        <v>2.1533099999999998</v>
      </c>
      <c r="C33" s="39">
        <f>IF(ISERROR(B33*3.6/1000000/'E Balans VL '!Z8*100),0,B33*3.6/1000000/'E Balans VL '!Z8*100)</f>
        <v>1.9254563826072205E-5</v>
      </c>
      <c r="D33" s="216" t="s">
        <v>736</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46494.090410000004</v>
      </c>
      <c r="C5" s="17">
        <f>IF(ISERROR('Eigen informatie GS &amp; warmtenet'!B63),0,'Eigen informatie GS &amp; warmtenet'!B63)</f>
        <v>0</v>
      </c>
      <c r="D5" s="30">
        <f>SUM(D6:D15)</f>
        <v>59276.98740096001</v>
      </c>
      <c r="E5" s="17">
        <f>SUM(E6:E15)</f>
        <v>761.9730800086918</v>
      </c>
      <c r="F5" s="17">
        <f>SUM(F6:F15)</f>
        <v>23978.260964591987</v>
      </c>
      <c r="G5" s="17" t="s">
        <v>639</v>
      </c>
      <c r="H5" s="17">
        <f t="shared" ref="H5" si="0">SUM(H6:H15)</f>
        <v>0</v>
      </c>
      <c r="I5" s="17" t="s">
        <v>639</v>
      </c>
      <c r="J5" s="17">
        <f>SUM(J6:J15)</f>
        <v>205.1629653249781</v>
      </c>
      <c r="K5" s="17" t="s">
        <v>639</v>
      </c>
      <c r="L5" s="884" t="s">
        <v>670</v>
      </c>
      <c r="M5" s="17" t="s">
        <v>670</v>
      </c>
      <c r="N5" s="17" t="s">
        <v>670</v>
      </c>
      <c r="O5" s="17">
        <f>SUM(O6:O15)</f>
        <v>5972.4034067084276</v>
      </c>
      <c r="P5" s="17" t="s">
        <v>639</v>
      </c>
      <c r="Q5" s="17" t="s">
        <v>639</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3907.8170399999999</v>
      </c>
      <c r="C8" s="33"/>
      <c r="D8" s="37">
        <f>IF( ISERROR(IND_metaal_Gas_kWH/1000),0,IND_metaal_Gas_kWH/1000)*0.903</f>
        <v>3738.0666199799998</v>
      </c>
      <c r="E8" s="33">
        <f>C31*'E Balans VL '!I18/100/3.6*1000000</f>
        <v>21.672790983972074</v>
      </c>
      <c r="F8" s="33">
        <f>C31*'E Balans VL '!L18/100/3.6*1000000+C31*'E Balans VL '!N18/100/3.6*1000000</f>
        <v>230.95128500809858</v>
      </c>
      <c r="G8" s="33"/>
      <c r="H8" s="33">
        <f>E31*'E Balans VL '!J18/100/3.6*1000000</f>
        <v>0</v>
      </c>
      <c r="I8" s="33"/>
      <c r="J8" s="40">
        <f>C31*'E Balans VL '!D18/100/3.6*1000000+C31*'E Balans VL '!E18/100/3.6*1000000</f>
        <v>0</v>
      </c>
      <c r="K8" s="33"/>
      <c r="L8" s="33"/>
      <c r="M8" s="33"/>
      <c r="N8" s="33"/>
      <c r="O8" s="33">
        <f>C31*'E Balans VL '!Y18/100/3.6*1000000</f>
        <v>62.499457959802555</v>
      </c>
      <c r="P8" s="33"/>
      <c r="Q8" s="33"/>
      <c r="S8" s="32"/>
    </row>
    <row r="9" spans="1:19">
      <c r="A9" s="6" t="s">
        <v>32</v>
      </c>
      <c r="B9" s="37">
        <f t="shared" si="1"/>
        <v>21827.861710000001</v>
      </c>
      <c r="C9" s="33"/>
      <c r="D9" s="37">
        <f>IF( ISERROR(IND_andere_gas_kWh/1000),0,IND_andere_gas_kWh/1000)*0.903</f>
        <v>13049.974930439999</v>
      </c>
      <c r="E9" s="33">
        <f>C32*'E Balans VL '!I19/100/3.6*1000000</f>
        <v>137.43617370055421</v>
      </c>
      <c r="F9" s="33">
        <f>C32*'E Balans VL '!L19/100/3.6*1000000+C32*'E Balans VL '!N19/100/3.6*1000000</f>
        <v>22109.75484202231</v>
      </c>
      <c r="G9" s="33"/>
      <c r="H9" s="33">
        <f>E32*'E Balans VL '!J19/100/3.6*1000000</f>
        <v>0</v>
      </c>
      <c r="I9" s="33"/>
      <c r="J9" s="40">
        <f>C32*'E Balans VL '!D19/100/3.6*1000000+C32*'E Balans VL '!E19/100/3.6*1000000</f>
        <v>0</v>
      </c>
      <c r="K9" s="33"/>
      <c r="L9" s="33"/>
      <c r="M9" s="33"/>
      <c r="N9" s="33"/>
      <c r="O9" s="33">
        <f>C32*'E Balans VL '!Y19/100/3.6*1000000</f>
        <v>1406.3476157998191</v>
      </c>
      <c r="P9" s="33"/>
      <c r="Q9" s="33"/>
      <c r="S9" s="32"/>
    </row>
    <row r="10" spans="1:19">
      <c r="A10" s="6" t="s">
        <v>40</v>
      </c>
      <c r="B10" s="37">
        <f t="shared" si="1"/>
        <v>8110.0987800000003</v>
      </c>
      <c r="C10" s="33"/>
      <c r="D10" s="37">
        <f>IF( ISERROR(IND_voed_gas_kWh/1000),0,IND_voed_gas_kWh/1000)*0.903</f>
        <v>5130.1520535299996</v>
      </c>
      <c r="E10" s="33">
        <f>C33*'E Balans VL '!I20/100/3.6*1000000</f>
        <v>21.488606818853647</v>
      </c>
      <c r="F10" s="33">
        <f>C33*'E Balans VL '!L20/100/3.6*1000000+C33*'E Balans VL '!N20/100/3.6*1000000</f>
        <v>329.33688232526191</v>
      </c>
      <c r="G10" s="33"/>
      <c r="H10" s="33">
        <f>E33*'E Balans VL '!J20/100/3.6*1000000</f>
        <v>0</v>
      </c>
      <c r="I10" s="33"/>
      <c r="J10" s="40">
        <f>C33*'E Balans VL '!D20/100/3.6*1000000+C33*'E Balans VL '!E20/100/3.6*1000000</f>
        <v>0</v>
      </c>
      <c r="K10" s="33"/>
      <c r="L10" s="33"/>
      <c r="M10" s="33"/>
      <c r="N10" s="33"/>
      <c r="O10" s="33">
        <f>C33*'E Balans VL '!Y20/100/3.6*1000000</f>
        <v>533.09542484571307</v>
      </c>
      <c r="P10" s="33"/>
      <c r="Q10" s="33"/>
      <c r="S10" s="32"/>
    </row>
    <row r="11" spans="1:19">
      <c r="A11" s="6" t="s">
        <v>39</v>
      </c>
      <c r="B11" s="37">
        <f t="shared" si="1"/>
        <v>153.86398</v>
      </c>
      <c r="C11" s="33"/>
      <c r="D11" s="37">
        <f>IF( ISERROR(IND_textiel_gas_kWh/1000),0,IND_textiel_gas_kWh/1000)*0.903</f>
        <v>226.92073950000002</v>
      </c>
      <c r="E11" s="33">
        <f>C34*'E Balans VL '!I21/100/3.6*1000000</f>
        <v>2.0406309465719872</v>
      </c>
      <c r="F11" s="33">
        <f>C34*'E Balans VL '!L21/100/3.6*1000000+C34*'E Balans VL '!N21/100/3.6*1000000</f>
        <v>6.1293689922333776</v>
      </c>
      <c r="G11" s="33"/>
      <c r="H11" s="33">
        <f>E34*'E Balans VL '!J21/100/3.6*1000000</f>
        <v>0</v>
      </c>
      <c r="I11" s="33"/>
      <c r="J11" s="40">
        <f>C34*'E Balans VL '!D21/100/3.6*1000000+C34*'E Balans VL '!E21/100/3.6*1000000</f>
        <v>0</v>
      </c>
      <c r="K11" s="33"/>
      <c r="L11" s="33"/>
      <c r="M11" s="33"/>
      <c r="N11" s="33"/>
      <c r="O11" s="33">
        <f>C34*'E Balans VL '!Y21/100/3.6*1000000</f>
        <v>1.9163523822026192E-2</v>
      </c>
      <c r="P11" s="33"/>
      <c r="Q11" s="33"/>
      <c r="S11" s="32"/>
    </row>
    <row r="12" spans="1:19">
      <c r="A12" s="6" t="s">
        <v>36</v>
      </c>
      <c r="B12" s="37">
        <f t="shared" si="1"/>
        <v>9148.9600900000005</v>
      </c>
      <c r="C12" s="33"/>
      <c r="D12" s="37">
        <f>IF( ISERROR(IND_min_gas_kWh/1000),0,IND_min_gas_kWh/1000)*0.903</f>
        <v>35443.291014390001</v>
      </c>
      <c r="E12" s="33">
        <f>C35*'E Balans VL '!I22/100/3.6*1000000</f>
        <v>77.21240980373527</v>
      </c>
      <c r="F12" s="33">
        <f>C35*'E Balans VL '!L22/100/3.6*1000000+C35*'E Balans VL '!N22/100/3.6*1000000</f>
        <v>1177.2794047628697</v>
      </c>
      <c r="G12" s="33"/>
      <c r="H12" s="33">
        <f>E35*'E Balans VL '!J22/100/3.6*1000000</f>
        <v>0</v>
      </c>
      <c r="I12" s="33"/>
      <c r="J12" s="40">
        <f>C35*'E Balans VL '!D22/100/3.6*1000000+C35*'E Balans VL '!E22/100/3.6*1000000</f>
        <v>204.47817143118854</v>
      </c>
      <c r="K12" s="33"/>
      <c r="L12" s="33"/>
      <c r="M12" s="33"/>
      <c r="N12" s="33"/>
      <c r="O12" s="33">
        <f>C35*'E Balans VL '!Y22/100/3.6*1000000</f>
        <v>3963.0911616768872</v>
      </c>
      <c r="P12" s="33"/>
      <c r="Q12" s="33"/>
      <c r="S12" s="32"/>
    </row>
    <row r="13" spans="1:19">
      <c r="A13" s="6" t="s">
        <v>38</v>
      </c>
      <c r="B13" s="37">
        <f t="shared" si="1"/>
        <v>1243.53052</v>
      </c>
      <c r="C13" s="33"/>
      <c r="D13" s="37">
        <f>IF( ISERROR(IND_papier_gas_kWh/1000),0,IND_papier_gas_kWh/1000)*0.903</f>
        <v>665.37700382999992</v>
      </c>
      <c r="E13" s="33">
        <f>C36*'E Balans VL '!I23/100/3.6*1000000</f>
        <v>0</v>
      </c>
      <c r="F13" s="33">
        <f>C36*'E Balans VL '!L23/100/3.6*1000000+C36*'E Balans VL '!N23/100/3.6*1000000</f>
        <v>5.1814433579729169</v>
      </c>
      <c r="G13" s="33"/>
      <c r="H13" s="33">
        <f>E36*'E Balans VL '!J23/100/3.6*1000000</f>
        <v>0</v>
      </c>
      <c r="I13" s="33"/>
      <c r="J13" s="40">
        <f>C36*'E Balans VL '!D23/100/3.6*1000000+C36*'E Balans VL '!E23/100/3.6*1000000</f>
        <v>0</v>
      </c>
      <c r="K13" s="33"/>
      <c r="L13" s="33"/>
      <c r="M13" s="33"/>
      <c r="N13" s="33"/>
      <c r="O13" s="33">
        <f>C36*'E Balans VL '!Y23/100/3.6*1000000</f>
        <v>-1.3549427691287657E-6</v>
      </c>
      <c r="P13" s="33"/>
      <c r="Q13" s="33"/>
      <c r="S13" s="32"/>
    </row>
    <row r="14" spans="1:19">
      <c r="A14" s="6" t="s">
        <v>33</v>
      </c>
      <c r="B14" s="37">
        <f t="shared" si="1"/>
        <v>1975.63771</v>
      </c>
      <c r="C14" s="33"/>
      <c r="D14" s="37">
        <f>IF( ISERROR(IND_chemie_gas_kWh/1000),0,IND_chemie_gas_kWh/1000)*0.903</f>
        <v>1002.5542149</v>
      </c>
      <c r="E14" s="33">
        <f>C37*'E Balans VL '!I24/100/3.6*1000000</f>
        <v>492.67031880150978</v>
      </c>
      <c r="F14" s="33">
        <f>C37*'E Balans VL '!L24/100/3.6*1000000+C37*'E Balans VL '!N24/100/3.6*1000000</f>
        <v>91.48094209758311</v>
      </c>
      <c r="G14" s="33"/>
      <c r="H14" s="33">
        <f>E37*'E Balans VL '!J24/100/3.6*1000000</f>
        <v>0</v>
      </c>
      <c r="I14" s="33"/>
      <c r="J14" s="40">
        <f>C37*'E Balans VL '!D24/100/3.6*1000000+C37*'E Balans VL '!E24/100/3.6*1000000</f>
        <v>0</v>
      </c>
      <c r="K14" s="33"/>
      <c r="L14" s="33"/>
      <c r="M14" s="33"/>
      <c r="N14" s="33"/>
      <c r="O14" s="33">
        <f>C37*'E Balans VL '!Y24/100/3.6*1000000</f>
        <v>1.3504542826101884</v>
      </c>
      <c r="P14" s="33"/>
      <c r="Q14" s="33"/>
      <c r="S14" s="32"/>
    </row>
    <row r="15" spans="1:19">
      <c r="A15" s="6" t="s">
        <v>234</v>
      </c>
      <c r="B15" s="37">
        <f t="shared" si="1"/>
        <v>126.32058000000001</v>
      </c>
      <c r="C15" s="33"/>
      <c r="D15" s="37">
        <f>IF( ISERROR(IND_rest_gas_kWh/1000),0,IND_rest_gas_kWh/1000)*0.903</f>
        <v>20.650824390000004</v>
      </c>
      <c r="E15" s="33">
        <f>C38*'E Balans VL '!I15/100/3.6*1000000</f>
        <v>9.4521489534947651</v>
      </c>
      <c r="F15" s="33">
        <f>C38*'E Balans VL '!L15/100/3.6*1000000+C38*'E Balans VL '!N15/100/3.6*1000000</f>
        <v>28.146796025659825</v>
      </c>
      <c r="G15" s="33"/>
      <c r="H15" s="33">
        <f>E38*'E Balans VL '!J15/100/3.6*1000000</f>
        <v>0</v>
      </c>
      <c r="I15" s="33"/>
      <c r="J15" s="40">
        <f>C38*'E Balans VL '!D15/100/3.6*1000000+C38*'E Balans VL '!E15/100/3.6*1000000</f>
        <v>0.68479389378955147</v>
      </c>
      <c r="K15" s="33"/>
      <c r="L15" s="33"/>
      <c r="M15" s="33"/>
      <c r="N15" s="33"/>
      <c r="O15" s="33">
        <f>C38*'E Balans VL '!Y15/100/3.6*1000000</f>
        <v>6.0001299747159269</v>
      </c>
      <c r="P15" s="33"/>
      <c r="Q15" s="33"/>
      <c r="S15" s="32"/>
    </row>
    <row r="16" spans="1:19">
      <c r="A16" s="16" t="s">
        <v>628</v>
      </c>
      <c r="B16" s="17">
        <f>'lokale energieproductie'!N33</f>
        <v>267.9920000214392</v>
      </c>
      <c r="C16" s="17">
        <f>'lokale energieproductie'!O33</f>
        <v>525.28104341175583</v>
      </c>
      <c r="D16" s="920">
        <f>('lokale energieproductie'!P33)*(-1)</f>
        <v>-836.16848680636303</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486</v>
      </c>
      <c r="B17" s="17">
        <f>MWh_eigenverbruikPV_industrie</f>
        <v>511.86605249360127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47273.948462515044</v>
      </c>
      <c r="C19" s="21">
        <f>C5+C16</f>
        <v>525.28104341175583</v>
      </c>
      <c r="D19" s="21">
        <f>MAX((D5+D16),0)</f>
        <v>58440.81891415365</v>
      </c>
      <c r="E19" s="21">
        <f>MAX((E5+E16),0)</f>
        <v>761.9730800086918</v>
      </c>
      <c r="F19" s="21">
        <f>MAX((F5+F16),0)</f>
        <v>23978.260964591987</v>
      </c>
      <c r="G19" s="21" t="s">
        <v>639</v>
      </c>
      <c r="H19" s="21">
        <f t="shared" ref="H19" si="2">MAX((H5+H16),0)</f>
        <v>0</v>
      </c>
      <c r="I19" s="21" t="s">
        <v>639</v>
      </c>
      <c r="J19" s="21">
        <f>MAX((J5+J16),0)</f>
        <v>205.1629653249781</v>
      </c>
      <c r="K19" s="21" t="s">
        <v>639</v>
      </c>
      <c r="L19" s="882" t="s">
        <v>670</v>
      </c>
      <c r="M19" s="21" t="s">
        <v>670</v>
      </c>
      <c r="N19" s="21" t="s">
        <v>670</v>
      </c>
      <c r="O19" s="21">
        <f>MAX((O5+O16),0)</f>
        <v>5972.4034067084276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0.1792331617176651</v>
      </c>
      <c r="C21" s="25">
        <f>'EF ele_warmte'!B23</f>
        <v>0.22224659720452891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8473.0592498145234</v>
      </c>
      <c r="C23" s="23">
        <f>C19*C21</f>
        <v>116.74192447430717</v>
      </c>
      <c r="D23" s="23">
        <f>D19*D21</f>
        <v>11805.045420659038</v>
      </c>
      <c r="E23" s="23">
        <f>E19*E21</f>
        <v>172.96788916197303</v>
      </c>
      <c r="F23" s="23">
        <f>F19*F21</f>
        <v>6402.1956775460612</v>
      </c>
      <c r="G23" s="23" t="s">
        <v>639</v>
      </c>
      <c r="H23" s="23">
        <f t="shared" ref="H23" si="3">H19*H21</f>
        <v>0</v>
      </c>
      <c r="I23" s="23" t="s">
        <v>639</v>
      </c>
      <c r="J23" s="23">
        <f>J19*J21</f>
        <v>72.627689725042245</v>
      </c>
      <c r="K23" s="23" t="s">
        <v>639</v>
      </c>
      <c r="L23" s="887" t="s">
        <v>670</v>
      </c>
      <c r="M23" s="23" t="s">
        <v>670</v>
      </c>
      <c r="N23" s="23" t="s">
        <v>670</v>
      </c>
      <c r="O23" s="23">
        <f>O19*O21</f>
        <v>0</v>
      </c>
      <c r="P23" s="23" t="s">
        <v>639</v>
      </c>
      <c r="Q23" s="23" t="s">
        <v>639</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737</v>
      </c>
    </row>
    <row r="30" spans="1:19" ht="30">
      <c r="A30" s="164" t="s">
        <v>37</v>
      </c>
      <c r="B30" s="37">
        <f>IF( ISERROR(IND_nonf_ele_kWh/1000),0,IND_nonf_ele_kWh/1000)</f>
        <v>0</v>
      </c>
      <c r="C30" s="39">
        <f>IF(ISERROR(B30*3.6/1000000/'E Balans VL '!Z17*100),0,B30*3.6/1000000/'E Balans VL '!Z17*100)</f>
        <v>0</v>
      </c>
      <c r="D30" s="216" t="s">
        <v>737</v>
      </c>
    </row>
    <row r="31" spans="1:19" ht="30">
      <c r="A31" s="164" t="s">
        <v>35</v>
      </c>
      <c r="B31" s="37">
        <f>IF( ISERROR(IND_metaal_ele_kWh/1000),0,IND_metaal_ele_kWh/1000)</f>
        <v>3907.8170399999999</v>
      </c>
      <c r="C31" s="39">
        <f>IF(ISERROR(B31*3.6/1000000/'E Balans VL '!Z18*100),0,B31*3.6/1000000/'E Balans VL '!Z18*100)</f>
        <v>0.27432900990292347</v>
      </c>
      <c r="D31" s="216" t="s">
        <v>737</v>
      </c>
    </row>
    <row r="32" spans="1:19" ht="30">
      <c r="A32" s="6" t="s">
        <v>32</v>
      </c>
      <c r="B32" s="37">
        <f>IF( ISERROR(IND_ander_ele_kWh/1000),0,IND_ander_ele_kWh/1000)</f>
        <v>21827.861710000001</v>
      </c>
      <c r="C32" s="39">
        <f>IF(ISERROR(B32*3.6/1000000/'E Balans VL '!Z19*100),0,B32*3.6/1000000/'E Balans VL '!Z19*100)</f>
        <v>1.1625318492679526</v>
      </c>
      <c r="D32" s="216" t="s">
        <v>737</v>
      </c>
    </row>
    <row r="33" spans="1:5" ht="30">
      <c r="A33" s="164" t="s">
        <v>40</v>
      </c>
      <c r="B33" s="37">
        <f>IF( ISERROR(IND_voed_ele_kWh/1000),0,IND_voed_ele_kWh/1000)</f>
        <v>8110.0987800000003</v>
      </c>
      <c r="C33" s="39">
        <f>IF(ISERROR(B33*3.6/1000000/'E Balans VL '!Z20*100),0,B33*3.6/1000000/'E Balans VL '!Z20*100)</f>
        <v>0.29388094443046642</v>
      </c>
      <c r="D33" s="216" t="s">
        <v>737</v>
      </c>
    </row>
    <row r="34" spans="1:5" ht="30">
      <c r="A34" s="164" t="s">
        <v>39</v>
      </c>
      <c r="B34" s="37">
        <f>IF( ISERROR(IND_textiel_ele_kWh/1000),0,IND_textiel_ele_kWh/1000)</f>
        <v>153.86398</v>
      </c>
      <c r="C34" s="39">
        <f>IF(ISERROR(B34*3.6/1000000/'E Balans VL '!Z21*100),0,B34*3.6/1000000/'E Balans VL '!Z21*100)</f>
        <v>2.7662971955288617E-2</v>
      </c>
      <c r="D34" s="216" t="s">
        <v>737</v>
      </c>
    </row>
    <row r="35" spans="1:5" ht="30">
      <c r="A35" s="164" t="s">
        <v>36</v>
      </c>
      <c r="B35" s="37">
        <f>IF( ISERROR(IND_min_ele_kWh/1000),0,IND_min_ele_kWh/1000)</f>
        <v>9148.9600900000005</v>
      </c>
      <c r="C35" s="39">
        <f>IF(ISERROR(B35*3.6/1000000/'E Balans VL '!Z22*100),0,B35*3.6/1000000/'E Balans VL '!Z22*100)</f>
        <v>2.3768854283250809</v>
      </c>
      <c r="D35" s="216" t="s">
        <v>737</v>
      </c>
    </row>
    <row r="36" spans="1:5" ht="30">
      <c r="A36" s="164" t="s">
        <v>38</v>
      </c>
      <c r="B36" s="37">
        <f>IF( ISERROR(IND_papier_ele_kWh/1000),0,IND_papier_ele_kWh/1000)</f>
        <v>1243.53052</v>
      </c>
      <c r="C36" s="39">
        <f>IF(ISERROR(B36*3.6/1000000/'E Balans VL '!Z22*100),0,B36*3.6/1000000/'E Balans VL '!Z22*100)</f>
        <v>0.32306727142641961</v>
      </c>
      <c r="D36" s="216" t="s">
        <v>737</v>
      </c>
    </row>
    <row r="37" spans="1:5">
      <c r="A37" s="164" t="s">
        <v>33</v>
      </c>
      <c r="B37" s="37">
        <f>IF( ISERROR(IND_chemie_ele_kWh/1000),0,IND_chemie_ele_kWh/1000)</f>
        <v>1975.63771</v>
      </c>
      <c r="C37" s="39">
        <f>IF(ISERROR(B37*3.6/1000000/'E Balans VL '!Z24*100),0,B37*3.6/1000000/'E Balans VL '!Z24*100)</f>
        <v>6.666166583459826E-2</v>
      </c>
      <c r="D37" s="216" t="s">
        <v>736</v>
      </c>
    </row>
    <row r="38" spans="1:5" ht="30">
      <c r="A38" s="164" t="s">
        <v>234</v>
      </c>
      <c r="B38" s="37">
        <f>IF( ISERROR(IND_rest_ele_kWh/1000),0,IND_rest_ele_kWh/1000)</f>
        <v>126.32058000000001</v>
      </c>
      <c r="C38" s="39">
        <f>IF(ISERROR(B38*3.6/1000000/'E Balans VL '!Z15*100),0,B38*3.6/1000000/'E Balans VL '!Z15*100)</f>
        <v>1.2146413845572819E-3</v>
      </c>
      <c r="D38" s="216" t="s">
        <v>737</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1587.8302300000003</v>
      </c>
      <c r="C5" s="17">
        <f>'Eigen informatie GS &amp; warmtenet'!B64</f>
        <v>0</v>
      </c>
      <c r="D5" s="30">
        <f>IF(ISERROR(SUM(LB_lb_gas_kWh,LB_rest_gas_kWh)/1000),0,SUM(LB_lb_gas_kWh,LB_rest_gas_kWh)/1000)*0.903</f>
        <v>765.37803215999998</v>
      </c>
      <c r="E5" s="17">
        <f>B18*'E Balans VL '!I25/3.6*1000000/100</f>
        <v>62.146218969460044</v>
      </c>
      <c r="F5" s="17">
        <f>B18*('E Balans VL '!L25/3.6*1000000+'E Balans VL '!N25/3.6*1000000)/100</f>
        <v>6291.3518688362592</v>
      </c>
      <c r="G5" s="17" t="s">
        <v>639</v>
      </c>
      <c r="H5" s="17">
        <f>D18*('E Balans VL '!J25/3.6*1000000)/100</f>
        <v>0</v>
      </c>
      <c r="I5" s="17" t="s">
        <v>639</v>
      </c>
      <c r="J5" s="17">
        <f>('E Balans VL '!D25+'E Balans VL '!E25)/3.6*1000000*landbouw!B18/100</f>
        <v>200.09147742027352</v>
      </c>
      <c r="K5" s="17" t="s">
        <v>639</v>
      </c>
      <c r="L5" s="17" t="s">
        <v>670</v>
      </c>
      <c r="M5" s="17" t="s">
        <v>670</v>
      </c>
      <c r="N5" s="17" t="s">
        <v>673</v>
      </c>
      <c r="O5" s="17">
        <f>O6*(-1)</f>
        <v>0</v>
      </c>
      <c r="P5" s="17" t="s">
        <v>639</v>
      </c>
      <c r="Q5" s="17" t="s">
        <v>639</v>
      </c>
      <c r="S5" s="32"/>
    </row>
    <row r="6" spans="1:19">
      <c r="A6" s="16" t="s">
        <v>628</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670</v>
      </c>
      <c r="M6" s="920" t="s">
        <v>670</v>
      </c>
      <c r="N6" s="17" t="s">
        <v>673</v>
      </c>
      <c r="O6" s="920">
        <f>('lokale energieproductie'!V35+'lokale energieproductie'!R35+'lokale energieproductie'!T35+'lokale energieproductie'!U35+'lokale energieproductie'!Q35)*(-1)</f>
        <v>0</v>
      </c>
      <c r="P6" s="223"/>
      <c r="Q6" s="223"/>
      <c r="S6" s="32"/>
    </row>
    <row r="7" spans="1:19" s="812" customFormat="1">
      <c r="A7" s="16" t="s">
        <v>486</v>
      </c>
      <c r="B7" s="17">
        <f>MWh_eigenverbruikPV_landbouw</f>
        <v>115.70513073005691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1703.5353607300572</v>
      </c>
      <c r="C9" s="21">
        <f>C5+C6</f>
        <v>0</v>
      </c>
      <c r="D9" s="21">
        <f>MAX((D5+D6),0)</f>
        <v>765.37803215999998</v>
      </c>
      <c r="E9" s="21">
        <f>MAX((E5+E6),0)</f>
        <v>62.146218969460044</v>
      </c>
      <c r="F9" s="21">
        <f>MAX((F5+F6),0)</f>
        <v>6291.3518688362592</v>
      </c>
      <c r="G9" s="21" t="s">
        <v>639</v>
      </c>
      <c r="H9" s="21" t="s">
        <v>639</v>
      </c>
      <c r="I9" s="21" t="s">
        <v>639</v>
      </c>
      <c r="J9" s="21">
        <f>MAX((J5+J6),0)</f>
        <v>200.09147742027352</v>
      </c>
      <c r="K9" s="21" t="s">
        <v>639</v>
      </c>
      <c r="L9" s="21" t="s">
        <v>670</v>
      </c>
      <c r="M9" s="21" t="s">
        <v>670</v>
      </c>
      <c r="N9" s="21" t="s">
        <v>670</v>
      </c>
      <c r="O9" s="21">
        <f>MAX((O5+O6),0)</f>
        <v>0</v>
      </c>
      <c r="P9" s="21" t="s">
        <v>639</v>
      </c>
      <c r="Q9" s="21" t="s">
        <v>639</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0.1792331617176651</v>
      </c>
      <c r="C11" s="31">
        <f>'EF ele_warmte'!B23</f>
        <v>0.22224659720452891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305.33002880149127</v>
      </c>
      <c r="C13" s="23">
        <f>C9*C11</f>
        <v>0</v>
      </c>
      <c r="D13" s="23">
        <f>D9*D11</f>
        <v>154.60636249632</v>
      </c>
      <c r="E13" s="23">
        <f>E9*E11</f>
        <v>14.107191706067431</v>
      </c>
      <c r="F13" s="23">
        <f>F9*F11</f>
        <v>1679.7909489792812</v>
      </c>
      <c r="G13" s="23" t="s">
        <v>639</v>
      </c>
      <c r="H13" s="23" t="s">
        <v>639</v>
      </c>
      <c r="I13" s="23" t="s">
        <v>639</v>
      </c>
      <c r="J13" s="23">
        <f>J9*J11</f>
        <v>70.832383006776823</v>
      </c>
      <c r="K13" s="23" t="s">
        <v>639</v>
      </c>
      <c r="L13" s="23" t="s">
        <v>670</v>
      </c>
      <c r="M13" s="23" t="s">
        <v>670</v>
      </c>
      <c r="N13" s="23" t="s">
        <v>670</v>
      </c>
      <c r="O13" s="23">
        <f>O9*O11</f>
        <v>0</v>
      </c>
      <c r="P13" s="23" t="s">
        <v>639</v>
      </c>
      <c r="Q13" s="23" t="s">
        <v>639</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0.27444426763634905</v>
      </c>
      <c r="C18" s="1016" t="s">
        <v>736</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207.24678344868607</v>
      </c>
      <c r="C26" s="222">
        <f>B26*'GWP N2O_CH4'!B5</f>
        <v>5802.9099365632101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66.181069167601308</v>
      </c>
      <c r="C27" s="222">
        <f>B27*'GWP N2O_CH4'!B5</f>
        <v>1853.0699366928366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5.5466959801829683</v>
      </c>
      <c r="C28" s="222">
        <f>B28*'GWP N2O_CH4'!B4</f>
        <v>1469.8744347484867</v>
      </c>
      <c r="D28" s="50"/>
    </row>
    <row r="29" spans="1:4">
      <c r="A29" s="41" t="s">
        <v>241</v>
      </c>
      <c r="B29" s="222">
        <f>B34*'ha_N2O bodem landbouw'!B4</f>
        <v>19.2394760342689</v>
      </c>
      <c r="C29" s="222">
        <f>B29*'GWP N2O_CH4'!B4</f>
        <v>5098.4611490812586</v>
      </c>
      <c r="D29" s="50"/>
    </row>
    <row r="31" spans="1:4">
      <c r="A31" s="182" t="s">
        <v>404</v>
      </c>
      <c r="B31" s="191"/>
      <c r="C31" s="205"/>
    </row>
    <row r="32" spans="1:4">
      <c r="A32" s="215"/>
      <c r="B32" s="32"/>
      <c r="C32" s="216"/>
    </row>
    <row r="33" spans="1:5">
      <c r="A33" s="217"/>
      <c r="B33" s="204" t="s">
        <v>487</v>
      </c>
      <c r="C33" s="218" t="s">
        <v>162</v>
      </c>
    </row>
    <row r="34" spans="1:5">
      <c r="A34" s="231" t="s">
        <v>92</v>
      </c>
      <c r="B34" s="35">
        <f>IF(ISERROR(aantalCultuurgronden/'ha_N2O bodem landbouw'!B5),0,aantalCultuurgronden/'ha_N2O bodem landbouw'!B5)</f>
        <v>4.6790338636712499E-3</v>
      </c>
      <c r="C34" s="1014" t="s">
        <v>707</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654</v>
      </c>
      <c r="M3" s="302" t="s">
        <v>186</v>
      </c>
      <c r="N3" s="302" t="s">
        <v>187</v>
      </c>
      <c r="O3" s="302" t="s">
        <v>188</v>
      </c>
      <c r="P3" s="302" t="s">
        <v>189</v>
      </c>
      <c r="Q3" s="302" t="s">
        <v>190</v>
      </c>
    </row>
    <row r="4" spans="1:19">
      <c r="C4" s="15"/>
    </row>
    <row r="5" spans="1:19" s="8" customFormat="1">
      <c r="A5" s="259" t="s">
        <v>284</v>
      </c>
      <c r="B5" s="924">
        <f>SUM(B6:B11)</f>
        <v>3.9430741242116103E-2</v>
      </c>
      <c r="C5" s="922" t="s">
        <v>669</v>
      </c>
      <c r="D5" s="924">
        <f>SUM(D6:D11)</f>
        <v>8.9094231345954299E-3</v>
      </c>
      <c r="E5" s="924">
        <f>SUM(E6:E11)</f>
        <v>4.3678246228807706E-3</v>
      </c>
      <c r="F5" s="923" t="s">
        <v>669</v>
      </c>
      <c r="G5" s="924">
        <f>SUM(G6:G11)</f>
        <v>1.3823068125148024</v>
      </c>
      <c r="H5" s="924">
        <f>SUM(H6:H11)</f>
        <v>0.65712225501663069</v>
      </c>
      <c r="I5" s="922" t="s">
        <v>669</v>
      </c>
      <c r="J5" s="922" t="s">
        <v>669</v>
      </c>
      <c r="K5" s="922" t="s">
        <v>669</v>
      </c>
      <c r="L5" s="922" t="s">
        <v>669</v>
      </c>
      <c r="M5" s="922" t="s">
        <v>669</v>
      </c>
      <c r="N5" s="924">
        <f>SUM(N6:N11)</f>
        <v>0.21831068763460038</v>
      </c>
      <c r="O5" s="922" t="s">
        <v>669</v>
      </c>
      <c r="P5" s="922" t="s">
        <v>669</v>
      </c>
      <c r="Q5" s="925" t="s">
        <v>669</v>
      </c>
    </row>
    <row r="6" spans="1:19">
      <c r="A6" s="235" t="s">
        <v>508</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1.6883283511875565E-2</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4.392089426721907E-3</v>
      </c>
      <c r="E6" s="926">
        <f>vkm_GW_PW*SUMIFS(TableVerdeelsleutelVkm[LPG],TableVerdeelsleutelVkm[Voertuigtype],"Lichte voertuigen")*SUMIFS(TableECFTransport[EnergieConsumptieFactor (PJ per km)],TableECFTransport[Index],CONCATENATE($A6,"_LPG_LPG"))</f>
        <v>2.0486796002835376E-3</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0.44515704163167291</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0.32038374251928392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7.9048488725862662E-2</v>
      </c>
      <c r="O6" s="926"/>
      <c r="P6" s="926"/>
      <c r="Q6" s="928"/>
    </row>
    <row r="7" spans="1:19">
      <c r="A7" s="235" t="s">
        <v>509</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2.6452542475648048E-5</v>
      </c>
      <c r="C7" s="926"/>
      <c r="D7" s="926">
        <f>vkm_GW_ZV*SUMIFS(TableVerdeelsleutelVkm[CNG],TableVerdeelsleutelVkm[Voertuigtype],"Zware voertuigen")*SUMIFS(TableECFTransport[EnergieConsumptieFactor (PJ per km)],TableECFTransport[Index],CONCATENATE($A7,"_CNG_CNG"))</f>
        <v>3.593525936855633E-7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0.25673828859876002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8.2921281464239819E-7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3.0735488975761362E-2</v>
      </c>
      <c r="O7" s="926"/>
      <c r="P7" s="926"/>
      <c r="Q7" s="928"/>
      <c r="S7" s="705"/>
    </row>
    <row r="8" spans="1:19">
      <c r="A8" s="235" t="s">
        <v>510</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5.8182986458468295E-3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2.0903491055538812E-3</v>
      </c>
      <c r="E8" s="927">
        <f>vkm_NGW_PW*SUMIFS(TableVerdeelsleutelVkm[LPG],TableVerdeelsleutelVkm[Voertuigtype],"Lichte voertuigen")*SUMIFS(TableECFTransport[EnergieConsumptieFactor (PJ per km)],TableECFTransport[Index],CONCATENATE($A8,"_LPG_LPG"))</f>
        <v>8.636365469159615E-4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0.17562123631209331</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0.13783296015682675</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3.2105259976544398E-2</v>
      </c>
      <c r="O8" s="926"/>
      <c r="P8" s="926"/>
      <c r="Q8" s="928"/>
      <c r="S8" s="705"/>
    </row>
    <row r="9" spans="1:19">
      <c r="A9" s="235" t="s">
        <v>511</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4.8425296273864609E-7</v>
      </c>
      <c r="C9" s="926"/>
      <c r="D9" s="927">
        <f>vkm_NGW_ZV*SUMIFS(TableVerdeelsleutelVkm[CNG],TableVerdeelsleutelVkm[Voertuigtype],"Zware voertuigen")*SUMIFS(TableECFTransport[EnergieConsumptieFactor (PJ per km)],TableECFTransport[Index],CONCATENATE($A9,"_CNG_CNG"))</f>
        <v>8.5407138182099245E-9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6.1018851335122234E-3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1.8322609143085529E-8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7.3048860645083037E-4</v>
      </c>
      <c r="O9" s="926"/>
      <c r="P9" s="926"/>
      <c r="Q9" s="928"/>
      <c r="S9" s="705"/>
    </row>
    <row r="10" spans="1:19">
      <c r="A10" s="235" t="s">
        <v>512</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1.6678878278946777E-2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2.4263217519656316E-3</v>
      </c>
      <c r="E10" s="927">
        <f>vkm_SW_PW*SUMIFS(TableVerdeelsleutelVkm[LPG],TableVerdeelsleutelVkm[Voertuigtype],"Lichte voertuigen")*SUMIFS(TableECFTransport[EnergieConsumptieFactor (PJ per km)],TableECFTransport[Index],CONCATENATE($A10,"_LPG_LPG"))</f>
        <v>1.4555084756812712E-3</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0.28795726090794888</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0.19890395161520125</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5.0463228735648138E-2</v>
      </c>
      <c r="O10" s="926"/>
      <c r="P10" s="926"/>
      <c r="Q10" s="928"/>
      <c r="S10" s="705"/>
    </row>
    <row r="11" spans="1:19">
      <c r="A11" s="4" t="s">
        <v>513</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2.3344010008544061E-5</v>
      </c>
      <c r="C11" s="929"/>
      <c r="D11" s="930">
        <f>vkm_SW_ZV*SUMIFS(TableVerdeelsleutelVkm[CNG],TableVerdeelsleutelVkm[Voertuigtype],"Zware voertuigen")*SUMIFS(TableECFTransport[EnergieConsumptieFactor (PJ per km)],TableECFTransport[Index],CONCATENATE($A11,"_CNG_CNG"))</f>
        <v>2.9495704650699217E-7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0.2107310999308151</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7.5318989494470317E-7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2.5227732614332973E-2</v>
      </c>
      <c r="O11" s="929"/>
      <c r="P11" s="929"/>
      <c r="Q11" s="931"/>
      <c r="S11" s="705"/>
    </row>
    <row r="12" spans="1:19">
      <c r="A12" s="285" t="s">
        <v>442</v>
      </c>
      <c r="B12" s="369">
        <f>('Eigen vloot'!B27)*(-1)</f>
        <v>-0.83287</v>
      </c>
      <c r="C12" s="369"/>
      <c r="D12" s="369">
        <f>('Eigen vloot'!D27)*(-1)</f>
        <v>-107.973</v>
      </c>
      <c r="E12" s="369">
        <f>('Eigen vloot'!E27)*(-1)</f>
        <v>0</v>
      </c>
      <c r="F12" s="369"/>
      <c r="G12" s="369">
        <f>('Eigen vloot'!G27)*(-1)</f>
        <v>-1485.921016539249</v>
      </c>
      <c r="H12" s="369">
        <f>('Eigen vloot'!H27)*(-1)</f>
        <v>-201.07355252250278</v>
      </c>
      <c r="I12" s="369"/>
      <c r="J12" s="369"/>
      <c r="K12" s="369"/>
      <c r="L12" s="932"/>
      <c r="M12" s="369"/>
      <c r="N12" s="369">
        <f>('Eigen vloot'!N27)*(-1)</f>
        <v>-194.05187093824833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10952.150808365583</v>
      </c>
      <c r="C14" s="21" t="s">
        <v>669</v>
      </c>
      <c r="D14" s="21">
        <f>MAX(((D5)*10^9/3600)+D12,0)</f>
        <v>2366.8667596098417</v>
      </c>
      <c r="E14" s="21">
        <f>MAX(((E5)*10^9/3600)+E12,0)</f>
        <v>1213.2846174668807</v>
      </c>
      <c r="F14" s="21" t="s">
        <v>669</v>
      </c>
      <c r="G14" s="21">
        <f>MAX(((G5)*10^9/3600)+G12,0)</f>
        <v>382488.19357090583</v>
      </c>
      <c r="H14" s="21">
        <f>MAX(((H5)*10^9/3600)+H12,0)</f>
        <v>182332.88617431934</v>
      </c>
      <c r="I14" s="21" t="s">
        <v>669</v>
      </c>
      <c r="J14" s="21" t="s">
        <v>669</v>
      </c>
      <c r="K14" s="21" t="s">
        <v>669</v>
      </c>
      <c r="L14" s="882" t="s">
        <v>669</v>
      </c>
      <c r="M14" s="21" t="s">
        <v>669</v>
      </c>
      <c r="N14" s="21">
        <f>MAX(((N5)*10^9/3600)+N12,0)</f>
        <v>60447.805805339638</v>
      </c>
      <c r="O14" s="21" t="s">
        <v>669</v>
      </c>
      <c r="P14" s="21" t="s">
        <v>669</v>
      </c>
      <c r="Q14" s="21" t="s">
        <v>669</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0.1792331617176651</v>
      </c>
      <c r="C16" s="55">
        <f>'EF ele_warmte'!B23</f>
        <v>0.22224659720452891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1962.9886169920451</v>
      </c>
      <c r="C18" s="23" t="s">
        <v>669</v>
      </c>
      <c r="D18" s="23">
        <f t="shared" ref="D18:N18" si="0">D14*D16</f>
        <v>478.10708544118802</v>
      </c>
      <c r="E18" s="23">
        <f>E14*E16</f>
        <v>275.4156081649819</v>
      </c>
      <c r="F18" s="23" t="s">
        <v>669</v>
      </c>
      <c r="G18" s="23">
        <f t="shared" si="0"/>
        <v>102124.34768343186</v>
      </c>
      <c r="H18" s="23">
        <f t="shared" si="0"/>
        <v>45400.888657405514</v>
      </c>
      <c r="I18" s="23" t="s">
        <v>669</v>
      </c>
      <c r="J18" s="23" t="s">
        <v>669</v>
      </c>
      <c r="K18" s="23" t="s">
        <v>669</v>
      </c>
      <c r="L18" s="887" t="s">
        <v>669</v>
      </c>
      <c r="M18" s="23" t="s">
        <v>669</v>
      </c>
      <c r="N18" s="23">
        <f t="shared" si="0"/>
        <v>0</v>
      </c>
      <c r="O18" s="23" t="s">
        <v>669</v>
      </c>
      <c r="P18" s="23" t="s">
        <v>669</v>
      </c>
      <c r="Q18" s="23" t="s">
        <v>669</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514</v>
      </c>
      <c r="D23" s="730" t="s">
        <v>515</v>
      </c>
      <c r="E23" s="730" t="s">
        <v>516</v>
      </c>
      <c r="F23" s="730" t="s">
        <v>503</v>
      </c>
      <c r="G23" s="730" t="s">
        <v>517</v>
      </c>
      <c r="H23" s="730" t="s">
        <v>518</v>
      </c>
      <c r="I23" s="730" t="s">
        <v>99</v>
      </c>
      <c r="J23" s="730" t="s">
        <v>519</v>
      </c>
      <c r="K23" s="730" t="s">
        <v>520</v>
      </c>
      <c r="L23" s="731" t="s">
        <v>521</v>
      </c>
      <c r="M23" s="126" t="s">
        <v>162</v>
      </c>
      <c r="N23" s="242" t="s">
        <v>272</v>
      </c>
      <c r="O23" s="32"/>
    </row>
    <row r="24" spans="1:19">
      <c r="A24" s="32" t="s">
        <v>506</v>
      </c>
      <c r="B24" s="818">
        <v>4.6594147144219814E-3</v>
      </c>
      <c r="C24" s="818">
        <v>0.54416989848234099</v>
      </c>
      <c r="D24" s="820" t="s">
        <v>631</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756</v>
      </c>
      <c r="N24" s="707">
        <f>SUM(B24:L24)</f>
        <v>1</v>
      </c>
      <c r="O24" s="32"/>
    </row>
    <row r="25" spans="1:19">
      <c r="A25" s="32" t="s">
        <v>507</v>
      </c>
      <c r="B25" s="820">
        <v>1.2497292957996928E-6</v>
      </c>
      <c r="C25" s="818">
        <v>0.99974758878094994</v>
      </c>
      <c r="D25" s="820">
        <v>6.7600443696064044E-6</v>
      </c>
      <c r="E25" s="820" t="s">
        <v>631</v>
      </c>
      <c r="F25" s="818"/>
      <c r="G25" s="820">
        <v>2.1238706901097014E-4</v>
      </c>
      <c r="H25" s="820">
        <v>2.6904602753877787E-5</v>
      </c>
      <c r="I25" s="820" t="s">
        <v>631</v>
      </c>
      <c r="J25" s="820">
        <v>5.1097736198669135E-6</v>
      </c>
      <c r="K25" s="820" t="s">
        <v>631</v>
      </c>
      <c r="L25" s="819" t="s">
        <v>631</v>
      </c>
      <c r="M25" s="243" t="s">
        <v>756</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756</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654</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1.4582981682867375E-4</v>
      </c>
      <c r="C50" s="937" t="s">
        <v>669</v>
      </c>
      <c r="D50" s="937" t="s">
        <v>669</v>
      </c>
      <c r="E50" s="937" t="s">
        <v>669</v>
      </c>
      <c r="F50" s="937" t="s">
        <v>669</v>
      </c>
      <c r="G50" s="937">
        <f t="shared" ref="G50:N50" si="1">SUM(G51:G52)</f>
        <v>5.4136198753063997E-2</v>
      </c>
      <c r="H50" s="937" t="s">
        <v>669</v>
      </c>
      <c r="I50" s="937" t="s">
        <v>669</v>
      </c>
      <c r="J50" s="937" t="s">
        <v>669</v>
      </c>
      <c r="K50" s="937" t="s">
        <v>669</v>
      </c>
      <c r="L50" s="937" t="s">
        <v>669</v>
      </c>
      <c r="M50" s="937" t="s">
        <v>669</v>
      </c>
      <c r="N50" s="937">
        <f t="shared" si="1"/>
        <v>6.4809146317150916E-3</v>
      </c>
      <c r="O50" s="937" t="s">
        <v>669</v>
      </c>
      <c r="P50" s="937" t="s">
        <v>669</v>
      </c>
      <c r="Q50" s="938" t="s">
        <v>669</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1.4582981682867375E-4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5.4136198753063997E-2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6.4809146317150916E-3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40.508282452409382</v>
      </c>
      <c r="C54" s="21" t="s">
        <v>669</v>
      </c>
      <c r="D54" s="21" t="s">
        <v>669</v>
      </c>
      <c r="E54" s="21" t="s">
        <v>669</v>
      </c>
      <c r="F54" s="21" t="s">
        <v>669</v>
      </c>
      <c r="G54" s="21">
        <f t="shared" ref="G54:N54" si="2">(G50)*10^9/3600</f>
        <v>15037.832986962221</v>
      </c>
      <c r="H54" s="21" t="s">
        <v>669</v>
      </c>
      <c r="I54" s="21" t="s">
        <v>669</v>
      </c>
      <c r="J54" s="21" t="s">
        <v>669</v>
      </c>
      <c r="K54" s="21" t="s">
        <v>669</v>
      </c>
      <c r="L54" s="21" t="s">
        <v>669</v>
      </c>
      <c r="M54" s="21" t="s">
        <v>669</v>
      </c>
      <c r="N54" s="21">
        <f t="shared" si="2"/>
        <v>1800.2540643653033</v>
      </c>
      <c r="O54" s="21" t="s">
        <v>669</v>
      </c>
      <c r="P54" s="21" t="s">
        <v>669</v>
      </c>
      <c r="Q54" s="21" t="s">
        <v>671</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0.1792331617176651</v>
      </c>
      <c r="C56" s="55">
        <f>'EF ele_warmte'!B23</f>
        <v>0.22224659720452891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7.2604275396975462</v>
      </c>
      <c r="C58" s="23" t="s">
        <v>669</v>
      </c>
      <c r="D58" s="23" t="s">
        <v>669</v>
      </c>
      <c r="E58" s="23" t="s">
        <v>669</v>
      </c>
      <c r="F58" s="23" t="s">
        <v>669</v>
      </c>
      <c r="G58" s="23">
        <f t="shared" ref="G58:N58" si="3">G54*G56</f>
        <v>4015.1014075189132</v>
      </c>
      <c r="H58" s="23" t="s">
        <v>669</v>
      </c>
      <c r="I58" s="23" t="s">
        <v>669</v>
      </c>
      <c r="J58" s="23" t="s">
        <v>669</v>
      </c>
      <c r="K58" s="23" t="s">
        <v>669</v>
      </c>
      <c r="L58" s="23" t="s">
        <v>669</v>
      </c>
      <c r="M58" s="23" t="s">
        <v>669</v>
      </c>
      <c r="N58" s="23">
        <f t="shared" si="3"/>
        <v>0</v>
      </c>
      <c r="O58" s="23" t="s">
        <v>669</v>
      </c>
      <c r="P58" s="23" t="s">
        <v>669</v>
      </c>
      <c r="Q58" s="23" t="s">
        <v>669</v>
      </c>
    </row>
    <row r="59" spans="1:19">
      <c r="A59" s="1"/>
      <c r="B59" s="1"/>
    </row>
    <row r="60" spans="1:19">
      <c r="A60" s="1"/>
      <c r="B60" s="1"/>
    </row>
    <row r="61" spans="1:19">
      <c r="A61" s="236" t="s">
        <v>457</v>
      </c>
      <c r="B61" s="238"/>
      <c r="C61" s="239"/>
    </row>
    <row r="62" spans="1:19" s="15" customFormat="1">
      <c r="A62" s="265"/>
      <c r="B62" s="262"/>
      <c r="C62" s="266"/>
      <c r="L62" s="812"/>
    </row>
    <row r="63" spans="1:19">
      <c r="A63" s="267"/>
      <c r="B63" s="130"/>
      <c r="C63" s="268" t="s">
        <v>162</v>
      </c>
    </row>
    <row r="64" spans="1:19">
      <c r="A64" s="260" t="s">
        <v>182</v>
      </c>
      <c r="B64" s="1031">
        <f>100%-B65-B66</f>
        <v>0.98598539481887104</v>
      </c>
      <c r="C64" s="167"/>
    </row>
    <row r="65" spans="1:13">
      <c r="A65" s="260" t="s">
        <v>599</v>
      </c>
      <c r="B65" s="817">
        <f>bus_pct_hybride</f>
        <v>1.4014605181129014E-2</v>
      </c>
      <c r="C65" s="271" t="s">
        <v>773</v>
      </c>
    </row>
    <row r="66" spans="1:13" s="15" customFormat="1">
      <c r="A66" s="261" t="s">
        <v>777</v>
      </c>
      <c r="B66" s="817">
        <f>bus_pct_elektrisch</f>
        <v>0</v>
      </c>
      <c r="C66" s="271" t="s">
        <v>773</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458</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654</v>
      </c>
      <c r="L2" s="1213" t="s">
        <v>661</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660</v>
      </c>
      <c r="O3" s="857" t="s">
        <v>659</v>
      </c>
      <c r="P3" s="906"/>
      <c r="S3" s="1230"/>
      <c r="T3" s="1230"/>
      <c r="U3" s="1230"/>
    </row>
    <row r="4" spans="1:21" s="433" customFormat="1" ht="15.75" thickTop="1">
      <c r="A4" s="439" t="s">
        <v>219</v>
      </c>
      <c r="B4" s="440">
        <f>IF(ISERROR(kWh_wind_land),"NO",kWh_wind_land)</f>
        <v>15504.966484568711</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1375.525001</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53470.365303814673</v>
      </c>
      <c r="C6" s="1192"/>
      <c r="D6" s="1186"/>
      <c r="E6" s="1186"/>
      <c r="F6" s="1195"/>
      <c r="G6" s="1198"/>
      <c r="H6" s="1189"/>
      <c r="I6" s="1186"/>
      <c r="J6" s="1186"/>
      <c r="K6" s="1186"/>
      <c r="L6" s="1186"/>
      <c r="M6" s="1201"/>
      <c r="N6" s="1186"/>
      <c r="O6" s="448">
        <v>0</v>
      </c>
      <c r="P6" s="860"/>
      <c r="S6" s="441"/>
      <c r="T6" s="1221"/>
      <c r="U6" s="1221"/>
    </row>
    <row r="7" spans="1:21" s="433" customFormat="1">
      <c r="A7" s="442" t="s">
        <v>542</v>
      </c>
      <c r="B7" s="440" t="s">
        <v>669</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8047.1222847042072</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8853.6908171497234</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1380.3154820426746</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1788.4455450642442</v>
      </c>
      <c r="O8" s="448">
        <f>0</f>
        <v>0</v>
      </c>
      <c r="P8" s="860"/>
      <c r="S8" s="441"/>
      <c r="T8" s="1221"/>
      <c r="U8" s="1221"/>
    </row>
    <row r="9" spans="1:21" s="433" customFormat="1" ht="17.45" customHeight="1" thickBot="1">
      <c r="A9" s="449" t="s">
        <v>218</v>
      </c>
      <c r="B9" s="477" t="s">
        <v>670</v>
      </c>
      <c r="C9" s="450" t="s">
        <v>670</v>
      </c>
      <c r="D9" s="451" t="s">
        <v>670</v>
      </c>
      <c r="E9" s="451" t="s">
        <v>670</v>
      </c>
      <c r="F9" s="451" t="s">
        <v>669</v>
      </c>
      <c r="G9" s="452" t="s">
        <v>669</v>
      </c>
      <c r="H9" s="451" t="s">
        <v>670</v>
      </c>
      <c r="I9" s="451" t="s">
        <v>670</v>
      </c>
      <c r="J9" s="451" t="s">
        <v>670</v>
      </c>
      <c r="K9" s="453" t="s">
        <v>670</v>
      </c>
      <c r="L9" s="453" t="s">
        <v>669</v>
      </c>
      <c r="M9" s="909" t="s">
        <v>669</v>
      </c>
      <c r="N9" s="910" t="s">
        <v>670</v>
      </c>
      <c r="O9" s="910" t="s">
        <v>670</v>
      </c>
      <c r="P9" s="860"/>
      <c r="S9" s="441"/>
      <c r="T9" s="1221"/>
      <c r="U9" s="1221"/>
    </row>
    <row r="10" spans="1:21" s="433" customFormat="1" ht="16.5" thickTop="1" thickBot="1">
      <c r="A10" s="454" t="s">
        <v>96</v>
      </c>
      <c r="B10" s="455">
        <f>SUM(B4:B9)</f>
        <v>78397.979074087591</v>
      </c>
      <c r="C10" s="456">
        <f t="shared" ref="C10:M10" si="0">SUM(C8:C9)</f>
        <v>8853.6908171497234</v>
      </c>
      <c r="D10" s="456">
        <f t="shared" si="0"/>
        <v>0</v>
      </c>
      <c r="E10" s="456">
        <f t="shared" si="0"/>
        <v>0</v>
      </c>
      <c r="F10" s="456">
        <f t="shared" si="0"/>
        <v>0</v>
      </c>
      <c r="G10" s="456">
        <f t="shared" si="0"/>
        <v>0</v>
      </c>
      <c r="H10" s="456">
        <f t="shared" si="0"/>
        <v>0</v>
      </c>
      <c r="I10" s="456">
        <f t="shared" si="0"/>
        <v>0</v>
      </c>
      <c r="J10" s="456">
        <f t="shared" si="0"/>
        <v>0</v>
      </c>
      <c r="K10" s="456">
        <f t="shared" si="0"/>
        <v>1380.3154820426746</v>
      </c>
      <c r="L10" s="456">
        <f t="shared" si="0"/>
        <v>0</v>
      </c>
      <c r="M10" s="456">
        <f t="shared" si="0"/>
        <v>0</v>
      </c>
      <c r="N10" s="457">
        <f>SUM(N4:N9)</f>
        <v>1788.4455450642442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654</v>
      </c>
      <c r="L15" s="1225" t="s">
        <v>661</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660</v>
      </c>
      <c r="O16" s="857" t="s">
        <v>659</v>
      </c>
      <c r="P16" s="906"/>
      <c r="S16" s="1230"/>
      <c r="T16" s="1230"/>
    </row>
    <row r="17" spans="1:27" s="433" customFormat="1" ht="15.75" thickTop="1">
      <c r="A17" s="469" t="s">
        <v>222</v>
      </c>
      <c r="B17" s="470">
        <f>O31+'Eigen informatie GS &amp; warmtenet'!B12</f>
        <v>10394.531022788355</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11436.381927483284</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1782.9643432409991</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2310.1491493516237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669</v>
      </c>
      <c r="C19" s="478" t="s">
        <v>669</v>
      </c>
      <c r="D19" s="478" t="s">
        <v>669</v>
      </c>
      <c r="E19" s="478" t="s">
        <v>669</v>
      </c>
      <c r="F19" s="478" t="s">
        <v>669</v>
      </c>
      <c r="G19" s="478" t="s">
        <v>669</v>
      </c>
      <c r="H19" s="478" t="s">
        <v>669</v>
      </c>
      <c r="I19" s="478" t="s">
        <v>669</v>
      </c>
      <c r="J19" s="478" t="s">
        <v>669</v>
      </c>
      <c r="K19" s="478" t="s">
        <v>669</v>
      </c>
      <c r="L19" s="478" t="s">
        <v>669</v>
      </c>
      <c r="M19" s="908" t="s">
        <v>669</v>
      </c>
      <c r="N19" s="474" t="s">
        <v>669</v>
      </c>
      <c r="O19" s="474" t="s">
        <v>669</v>
      </c>
      <c r="P19" s="858"/>
      <c r="S19" s="1221"/>
      <c r="T19" s="1221"/>
    </row>
    <row r="20" spans="1:27" s="433" customFormat="1" ht="16.5" thickTop="1" thickBot="1">
      <c r="A20" s="454" t="s">
        <v>96</v>
      </c>
      <c r="B20" s="455">
        <f>SUM(B17:B19)</f>
        <v>10394.531022788355</v>
      </c>
      <c r="C20" s="455">
        <f>SUM(C17:C19)</f>
        <v>11436.381927483284</v>
      </c>
      <c r="D20" s="455">
        <f t="shared" ref="D20:K20" si="2">SUM(D17:D19)</f>
        <v>0</v>
      </c>
      <c r="E20" s="455">
        <f t="shared" si="2"/>
        <v>0</v>
      </c>
      <c r="F20" s="455">
        <f t="shared" si="2"/>
        <v>0</v>
      </c>
      <c r="G20" s="455">
        <f t="shared" si="2"/>
        <v>0</v>
      </c>
      <c r="H20" s="455">
        <f t="shared" si="2"/>
        <v>0</v>
      </c>
      <c r="I20" s="455">
        <f t="shared" si="2"/>
        <v>0</v>
      </c>
      <c r="J20" s="455">
        <f t="shared" si="2"/>
        <v>0</v>
      </c>
      <c r="K20" s="455">
        <f t="shared" si="2"/>
        <v>1782.9643432409991</v>
      </c>
      <c r="L20" s="455"/>
      <c r="M20" s="455">
        <f>SUM(M17:M19)</f>
        <v>0</v>
      </c>
      <c r="N20" s="479">
        <f>SUM(N17:N19)</f>
        <v>2310.1491493516237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746</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620</v>
      </c>
      <c r="Y27" s="522" t="s">
        <v>255</v>
      </c>
      <c r="Z27" s="522" t="s">
        <v>90</v>
      </c>
      <c r="AA27" s="524" t="s">
        <v>256</v>
      </c>
    </row>
    <row r="28" spans="1:27" s="484" customFormat="1" ht="12.75">
      <c r="A28" s="483"/>
      <c r="B28" s="619">
        <v>71022</v>
      </c>
      <c r="C28" s="619"/>
      <c r="D28" s="526"/>
      <c r="E28" s="525"/>
      <c r="F28" s="525"/>
      <c r="G28" s="525"/>
      <c r="H28" s="525"/>
      <c r="I28" s="525"/>
      <c r="J28" s="618"/>
      <c r="K28" s="618"/>
      <c r="L28" s="525"/>
      <c r="M28" s="525">
        <v>48.799999999999969</v>
      </c>
      <c r="N28" s="525">
        <v>267.9920000214392</v>
      </c>
      <c r="O28" s="525">
        <v>525.28104341175583</v>
      </c>
      <c r="P28" s="525">
        <v>836.16848680636303</v>
      </c>
      <c r="Q28" s="525">
        <v>0</v>
      </c>
      <c r="R28" s="525">
        <v>0</v>
      </c>
      <c r="S28" s="525">
        <v>0</v>
      </c>
      <c r="T28" s="525">
        <v>0</v>
      </c>
      <c r="U28" s="525">
        <v>0</v>
      </c>
      <c r="V28" s="525">
        <v>0</v>
      </c>
      <c r="W28" s="525">
        <v>0</v>
      </c>
      <c r="X28" s="525">
        <v>0</v>
      </c>
      <c r="Y28" s="525">
        <v>0</v>
      </c>
      <c r="Z28" s="525"/>
      <c r="AA28" s="527" t="s">
        <v>334</v>
      </c>
    </row>
    <row r="29" spans="1:27" s="484" customFormat="1" ht="12.75">
      <c r="A29" s="483"/>
      <c r="B29" s="619">
        <v>71022</v>
      </c>
      <c r="C29" s="619"/>
      <c r="D29" s="526"/>
      <c r="E29" s="525"/>
      <c r="F29" s="525"/>
      <c r="G29" s="525"/>
      <c r="H29" s="525"/>
      <c r="I29" s="525"/>
      <c r="J29" s="618"/>
      <c r="K29" s="618"/>
      <c r="L29" s="525"/>
      <c r="M29" s="525">
        <v>23.635999999999999</v>
      </c>
      <c r="N29" s="525">
        <v>103.55023200828398</v>
      </c>
      <c r="O29" s="525">
        <v>194.80504961322654</v>
      </c>
      <c r="P29" s="525">
        <v>345.22541296174387</v>
      </c>
      <c r="Q29" s="525">
        <v>0</v>
      </c>
      <c r="R29" s="525">
        <v>0</v>
      </c>
      <c r="S29" s="525">
        <v>0</v>
      </c>
      <c r="T29" s="525">
        <v>0</v>
      </c>
      <c r="U29" s="525">
        <v>0</v>
      </c>
      <c r="V29" s="525">
        <v>0</v>
      </c>
      <c r="W29" s="525">
        <v>0</v>
      </c>
      <c r="X29" s="525">
        <v>0</v>
      </c>
      <c r="Y29" s="525">
        <v>0</v>
      </c>
      <c r="Z29" s="525"/>
      <c r="AA29" s="527" t="s">
        <v>135</v>
      </c>
    </row>
    <row r="30" spans="1:27" s="484" customFormat="1" ht="12.75">
      <c r="A30" s="483"/>
      <c r="B30" s="619">
        <v>71022</v>
      </c>
      <c r="C30" s="619"/>
      <c r="D30" s="526"/>
      <c r="E30" s="525"/>
      <c r="F30" s="525"/>
      <c r="G30" s="525"/>
      <c r="H30" s="525"/>
      <c r="I30" s="525"/>
      <c r="J30" s="618"/>
      <c r="K30" s="618"/>
      <c r="L30" s="525"/>
      <c r="M30" s="525">
        <v>1694.1599999999996</v>
      </c>
      <c r="N30" s="525">
        <v>7675.5800526744843</v>
      </c>
      <c r="O30" s="525">
        <v>9674.4449297633728</v>
      </c>
      <c r="P30" s="525">
        <v>19108.678844864899</v>
      </c>
      <c r="Q30" s="525">
        <v>3163.2798252836737</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1766.5959999999995</v>
      </c>
      <c r="N31" s="487">
        <f>SUM(N28:N30)</f>
        <v>8047.1222847042072</v>
      </c>
      <c r="O31" s="487">
        <f>SUM(O28:O30)</f>
        <v>10394.531022788355</v>
      </c>
      <c r="P31" s="487">
        <f>SUM(P28:P30)</f>
        <v>20290.072744633006</v>
      </c>
      <c r="Q31" s="487">
        <f>SUM(Q28:Q30)</f>
        <v>3163.2798252836737</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636</v>
      </c>
      <c r="B32" s="486"/>
      <c r="C32" s="486"/>
      <c r="D32" s="486"/>
      <c r="E32" s="486"/>
      <c r="F32" s="486"/>
      <c r="G32" s="486"/>
      <c r="H32" s="486"/>
      <c r="I32" s="486"/>
      <c r="J32" s="486"/>
      <c r="K32" s="486"/>
      <c r="L32" s="487"/>
      <c r="M32" s="487">
        <f>SUMIF($AA$28:$AA$30,"huishoudens",M28:M30)</f>
        <v>23.635999999999999</v>
      </c>
      <c r="N32" s="487">
        <f>SUMIF($AA$28:$AA$30,"huishoudens",N28:N30)</f>
        <v>103.55023200828398</v>
      </c>
      <c r="O32" s="487">
        <f>SUMIF($AA$28:$AA$30,"huishoudens",O28:O30)</f>
        <v>194.80504961322654</v>
      </c>
      <c r="P32" s="487">
        <f>SUMIF($AA$28:$AA$30,"huishoudens",P28:P30)</f>
        <v>345.22541296174387</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48.799999999999969</v>
      </c>
      <c r="N33" s="487">
        <f>SUMIF($AA$28:$AA$30,"industrie",N28:N30)</f>
        <v>267.9920000214392</v>
      </c>
      <c r="O33" s="487">
        <f>SUMIF($AA$28:$AA$30,"industrie",O28:O30)</f>
        <v>525.28104341175583</v>
      </c>
      <c r="P33" s="487">
        <f>SUMIF($AA$28:$AA$30,"industrie",P28:P30)</f>
        <v>836.16848680636303</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1694.1599999999996</v>
      </c>
      <c r="N34" s="487">
        <f>SUMIF($AA$28:$AA$30,"tertiair",N28:N30)</f>
        <v>7675.5800526744843</v>
      </c>
      <c r="O34" s="487">
        <f>SUMIF($AA$28:$AA$30,"tertiair",O28:O30)</f>
        <v>9674.4449297633728</v>
      </c>
      <c r="P34" s="487">
        <f>SUMIF($AA$28:$AA$30,"tertiair",P28:P30)</f>
        <v>19108.678844864899</v>
      </c>
      <c r="Q34" s="487">
        <f>SUMIF($AA$28:$AA$30,"tertiair",Q28:Q30)</f>
        <v>3163.2798252836737</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695</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0.56364420529287451</v>
      </c>
      <c r="C42" s="510">
        <f>IF(ISERROR(N31/(O31+N31)),0,N31/(N31+O31))</f>
        <v>0.43635579470712554</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620</v>
      </c>
      <c r="K44" s="507"/>
      <c r="L44" s="515"/>
      <c r="M44" s="515"/>
      <c r="N44" s="515"/>
      <c r="O44" s="502"/>
      <c r="P44" s="502"/>
    </row>
    <row r="45" spans="1:28">
      <c r="A45" s="506" t="s">
        <v>246</v>
      </c>
      <c r="B45" s="519">
        <f t="shared" ref="B45:J45" si="3">$C$42*P31</f>
        <v>8853.6908171497234</v>
      </c>
      <c r="C45" s="519">
        <f t="shared" si="3"/>
        <v>1380.3154820426746</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11436.381927483284</v>
      </c>
      <c r="C46" s="521">
        <f t="shared" si="4"/>
        <v>1782.9643432409991</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776</v>
      </c>
      <c r="E2" s="1012"/>
      <c r="F2" s="711" t="s">
        <v>525</v>
      </c>
      <c r="G2" s="711" t="s">
        <v>526</v>
      </c>
      <c r="H2" s="711" t="s">
        <v>630</v>
      </c>
    </row>
    <row r="3" spans="1:8" s="11" customFormat="1">
      <c r="A3" s="296" t="s">
        <v>578</v>
      </c>
      <c r="B3" s="865" t="s">
        <v>721</v>
      </c>
      <c r="C3" s="296" t="s">
        <v>578</v>
      </c>
      <c r="D3" s="296" t="s">
        <v>735</v>
      </c>
      <c r="E3" s="1012" t="s">
        <v>617</v>
      </c>
      <c r="F3" s="711"/>
      <c r="G3" s="711"/>
      <c r="H3" s="1013"/>
    </row>
    <row r="4" spans="1:8">
      <c r="A4" s="296" t="s">
        <v>355</v>
      </c>
      <c r="B4" s="625">
        <v>2014</v>
      </c>
      <c r="C4" s="296" t="s">
        <v>356</v>
      </c>
      <c r="D4" s="296" t="s">
        <v>765</v>
      </c>
      <c r="E4" s="1012" t="s">
        <v>764</v>
      </c>
      <c r="F4" s="294"/>
      <c r="G4" s="294"/>
      <c r="H4" s="295"/>
    </row>
    <row r="5" spans="1:8" s="705" customFormat="1">
      <c r="A5" s="296" t="s">
        <v>532</v>
      </c>
      <c r="B5" s="625">
        <v>2017</v>
      </c>
      <c r="C5" s="296" t="s">
        <v>534</v>
      </c>
      <c r="D5" s="296" t="s">
        <v>533</v>
      </c>
      <c r="E5" s="297" t="s">
        <v>531</v>
      </c>
      <c r="F5" s="294"/>
      <c r="G5" s="294"/>
      <c r="H5" s="295"/>
    </row>
    <row r="6" spans="1:8" s="11" customFormat="1">
      <c r="A6" s="296" t="s">
        <v>490</v>
      </c>
      <c r="B6" s="625" t="s">
        <v>710</v>
      </c>
      <c r="C6" s="296" t="s">
        <v>491</v>
      </c>
      <c r="D6" s="296" t="s">
        <v>492</v>
      </c>
      <c r="E6" s="297" t="s">
        <v>616</v>
      </c>
      <c r="F6" s="711" t="s">
        <v>579</v>
      </c>
      <c r="G6" s="711"/>
      <c r="H6" s="811" t="s">
        <v>580</v>
      </c>
    </row>
    <row r="7" spans="1:8" s="10" customFormat="1">
      <c r="A7" s="296" t="s">
        <v>618</v>
      </c>
      <c r="B7" s="298" t="s">
        <v>740</v>
      </c>
      <c r="C7" s="296" t="s">
        <v>618</v>
      </c>
      <c r="D7" s="296" t="s">
        <v>619</v>
      </c>
      <c r="E7" s="297" t="s">
        <v>760</v>
      </c>
      <c r="F7" s="834"/>
      <c r="G7" s="834"/>
      <c r="H7" s="834"/>
    </row>
    <row r="8" spans="1:8" s="11" customFormat="1">
      <c r="A8" s="296" t="s">
        <v>604</v>
      </c>
      <c r="B8" s="865" t="s">
        <v>721</v>
      </c>
      <c r="C8" s="296" t="s">
        <v>604</v>
      </c>
      <c r="D8" s="866" t="s">
        <v>588</v>
      </c>
      <c r="E8" s="863"/>
      <c r="F8" s="711" t="s">
        <v>742</v>
      </c>
      <c r="G8" s="711" t="s">
        <v>743</v>
      </c>
      <c r="H8" s="711" t="s">
        <v>744</v>
      </c>
    </row>
    <row r="9" spans="1:8" s="708" customFormat="1">
      <c r="A9" s="825" t="s">
        <v>605</v>
      </c>
      <c r="B9" s="828" t="s">
        <v>718</v>
      </c>
      <c r="C9" s="825" t="s">
        <v>604</v>
      </c>
      <c r="D9" s="825" t="s">
        <v>719</v>
      </c>
      <c r="E9" s="830" t="s">
        <v>634</v>
      </c>
      <c r="F9" s="827" t="s">
        <v>742</v>
      </c>
      <c r="G9" s="827" t="s">
        <v>743</v>
      </c>
      <c r="H9" s="829" t="s">
        <v>744</v>
      </c>
    </row>
    <row r="10" spans="1:8" s="708" customFormat="1">
      <c r="A10" s="825" t="s">
        <v>173</v>
      </c>
      <c r="B10" s="831" t="s">
        <v>708</v>
      </c>
      <c r="C10" s="825" t="s">
        <v>351</v>
      </c>
      <c r="D10" s="825" t="s">
        <v>709</v>
      </c>
      <c r="E10" s="826"/>
      <c r="F10" s="827" t="s">
        <v>352</v>
      </c>
      <c r="G10" s="827" t="s">
        <v>353</v>
      </c>
      <c r="H10" s="829" t="s">
        <v>354</v>
      </c>
    </row>
    <row r="11" spans="1:8" s="10" customFormat="1">
      <c r="A11" s="1026" t="s">
        <v>756</v>
      </c>
      <c r="B11" s="1027" t="s">
        <v>758</v>
      </c>
      <c r="C11" s="1026" t="s">
        <v>173</v>
      </c>
      <c r="D11" s="1026" t="s">
        <v>759</v>
      </c>
      <c r="E11" s="863"/>
      <c r="F11" s="711" t="s">
        <v>528</v>
      </c>
      <c r="G11" s="711" t="s">
        <v>527</v>
      </c>
      <c r="H11" s="711" t="s">
        <v>529</v>
      </c>
    </row>
    <row r="12" spans="1:8" s="11" customFormat="1">
      <c r="A12" s="296" t="s">
        <v>604</v>
      </c>
      <c r="B12" s="625" t="s">
        <v>708</v>
      </c>
      <c r="C12" s="296" t="s">
        <v>604</v>
      </c>
      <c r="D12" s="296" t="s">
        <v>587</v>
      </c>
      <c r="E12" s="863"/>
      <c r="F12" s="711" t="s">
        <v>742</v>
      </c>
      <c r="G12" s="711" t="s">
        <v>743</v>
      </c>
      <c r="H12" s="711" t="s">
        <v>744</v>
      </c>
    </row>
    <row r="13" spans="1:8" s="11" customFormat="1">
      <c r="A13" s="296" t="s">
        <v>604</v>
      </c>
      <c r="B13" s="864" t="s">
        <v>708</v>
      </c>
      <c r="C13" s="296" t="s">
        <v>604</v>
      </c>
      <c r="D13" s="296" t="s">
        <v>720</v>
      </c>
      <c r="E13" s="863"/>
      <c r="F13" s="711" t="s">
        <v>742</v>
      </c>
      <c r="G13" s="711" t="s">
        <v>743</v>
      </c>
      <c r="H13" s="711" t="s">
        <v>744</v>
      </c>
    </row>
    <row r="14" spans="1:8" s="11" customFormat="1">
      <c r="A14" s="296" t="s">
        <v>604</v>
      </c>
      <c r="B14" s="864" t="s">
        <v>740</v>
      </c>
      <c r="C14" s="296" t="s">
        <v>604</v>
      </c>
      <c r="D14" s="296" t="s">
        <v>741</v>
      </c>
      <c r="E14" s="863"/>
      <c r="F14" s="711" t="s">
        <v>742</v>
      </c>
      <c r="G14" s="711" t="s">
        <v>743</v>
      </c>
      <c r="H14" s="811" t="s">
        <v>744</v>
      </c>
    </row>
    <row r="15" spans="1:8" s="11" customFormat="1">
      <c r="A15" s="296" t="s">
        <v>604</v>
      </c>
      <c r="B15" s="865" t="s">
        <v>721</v>
      </c>
      <c r="C15" s="296" t="s">
        <v>604</v>
      </c>
      <c r="D15" s="296" t="s">
        <v>745</v>
      </c>
      <c r="E15" s="863"/>
      <c r="F15" s="711" t="s">
        <v>742</v>
      </c>
      <c r="G15" s="711" t="s">
        <v>743</v>
      </c>
      <c r="H15" s="711" t="s">
        <v>744</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482</v>
      </c>
      <c r="B1" s="712" t="s">
        <v>483</v>
      </c>
      <c r="C1" s="712" t="s">
        <v>485</v>
      </c>
      <c r="D1" s="712" t="s">
        <v>484</v>
      </c>
    </row>
    <row r="2" spans="1:4" s="706" customFormat="1">
      <c r="A2" s="789" t="s">
        <v>711</v>
      </c>
      <c r="B2" s="733">
        <v>45373</v>
      </c>
      <c r="C2" s="812" t="s">
        <v>583</v>
      </c>
      <c r="D2" s="813" t="s">
        <v>584</v>
      </c>
    </row>
    <row r="3" spans="1:4" s="706" customFormat="1">
      <c r="A3" s="789" t="s">
        <v>711</v>
      </c>
      <c r="B3" s="733">
        <v>45373</v>
      </c>
      <c r="C3" s="812" t="s">
        <v>586</v>
      </c>
      <c r="D3" s="736" t="s">
        <v>585</v>
      </c>
    </row>
    <row r="4" spans="1:4" s="11" customFormat="1">
      <c r="A4" s="1003" t="s">
        <v>711</v>
      </c>
      <c r="B4" s="1004">
        <v>45385</v>
      </c>
      <c r="C4" s="1005" t="s">
        <v>644</v>
      </c>
      <c r="D4" s="839" t="s">
        <v>643</v>
      </c>
    </row>
    <row r="5" spans="1:4" s="11" customFormat="1">
      <c r="A5" s="1003" t="s">
        <v>711</v>
      </c>
      <c r="B5" s="1004">
        <v>45393</v>
      </c>
      <c r="C5" s="1005" t="s">
        <v>754</v>
      </c>
      <c r="D5" s="839"/>
    </row>
    <row r="6" spans="1:4" s="11" customFormat="1">
      <c r="A6" s="1003" t="s">
        <v>711</v>
      </c>
      <c r="B6" s="1004">
        <v>45405</v>
      </c>
      <c r="C6" s="1005" t="s">
        <v>606</v>
      </c>
      <c r="D6" s="839" t="s">
        <v>607</v>
      </c>
    </row>
    <row r="7" spans="1:4" s="11" customFormat="1">
      <c r="A7" s="1003" t="s">
        <v>711</v>
      </c>
      <c r="B7" s="1004">
        <v>45428</v>
      </c>
      <c r="C7" s="1005" t="s">
        <v>738</v>
      </c>
      <c r="D7" s="839" t="s">
        <v>739</v>
      </c>
    </row>
    <row r="8" spans="1:4" s="11" customFormat="1">
      <c r="A8" s="1003" t="s">
        <v>711</v>
      </c>
      <c r="B8" s="1004">
        <v>45428</v>
      </c>
      <c r="C8" s="1005" t="s">
        <v>753</v>
      </c>
      <c r="D8" s="823" t="s">
        <v>755</v>
      </c>
    </row>
    <row r="9" spans="1:4" s="7" customFormat="1">
      <c r="A9" s="1003" t="s">
        <v>711</v>
      </c>
      <c r="B9" s="1004">
        <v>45442</v>
      </c>
      <c r="C9" s="1005" t="s">
        <v>762</v>
      </c>
      <c r="D9" s="823" t="s">
        <v>602</v>
      </c>
    </row>
    <row r="10" spans="1:4" s="7" customFormat="1">
      <c r="A10" s="1003" t="s">
        <v>711</v>
      </c>
      <c r="B10" s="1004">
        <v>45442</v>
      </c>
      <c r="C10" s="1005" t="s">
        <v>757</v>
      </c>
      <c r="D10" s="823" t="s">
        <v>603</v>
      </c>
    </row>
    <row r="11" spans="1:4" s="7" customFormat="1">
      <c r="A11" s="1003" t="s">
        <v>711</v>
      </c>
      <c r="B11" s="1004">
        <v>45442</v>
      </c>
      <c r="C11" s="1005" t="s">
        <v>763</v>
      </c>
      <c r="D11" s="823" t="s">
        <v>600</v>
      </c>
    </row>
    <row r="12" spans="1:4" s="7" customFormat="1">
      <c r="A12" s="1003" t="s">
        <v>711</v>
      </c>
      <c r="B12" s="809">
        <v>45457</v>
      </c>
      <c r="C12" s="1005" t="s">
        <v>774</v>
      </c>
      <c r="D12" s="823" t="s">
        <v>600</v>
      </c>
    </row>
    <row r="13" spans="1:4" s="822" customFormat="1">
      <c r="A13" s="1003" t="s">
        <v>711</v>
      </c>
      <c r="B13" s="809">
        <v>45457</v>
      </c>
      <c r="C13" s="1005" t="s">
        <v>775</v>
      </c>
      <c r="D13" s="823" t="s">
        <v>601</v>
      </c>
    </row>
    <row r="14" spans="1:4" s="822" customFormat="1">
      <c r="A14" s="1003" t="s">
        <v>711</v>
      </c>
      <c r="B14" s="809">
        <v>45457</v>
      </c>
      <c r="C14" s="1005" t="s">
        <v>778</v>
      </c>
      <c r="D14" s="823" t="s">
        <v>779</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2024-08-06T14:08:36Z</dcterms:modified>
</cp:coreProperties>
</file>