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54B71EB5-955E-4E52-8D41-5E09C756BA0D}"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2" i="18"/>
  <c r="E6" i="13" s="1"/>
  <c r="W32" i="18"/>
  <c r="X34" i="18"/>
  <c r="E13" i="15" s="1"/>
  <c r="W34" i="18"/>
  <c r="V34" i="18"/>
  <c r="U34" i="18"/>
  <c r="T34" i="18"/>
  <c r="S34" i="18"/>
  <c r="F13" i="15" s="1"/>
  <c r="R34" i="18"/>
  <c r="Q34" i="18"/>
  <c r="P34" i="18"/>
  <c r="D13" i="15" s="1"/>
  <c r="O34" i="18"/>
  <c r="C13" i="15" s="1"/>
  <c r="N34" i="18"/>
  <c r="B13" i="15" s="1"/>
  <c r="M34" i="18"/>
  <c r="V32" i="18"/>
  <c r="U32" i="18"/>
  <c r="M6" i="13" s="1"/>
  <c r="M9" i="13" s="1"/>
  <c r="M13" i="13" s="1"/>
  <c r="T32" i="18"/>
  <c r="S32" i="18"/>
  <c r="F6" i="13" s="1"/>
  <c r="R32" i="18"/>
  <c r="O6" i="13" s="1"/>
  <c r="Q32" i="18"/>
  <c r="L6" i="13" s="1"/>
  <c r="L9" i="13" s="1"/>
  <c r="P32" i="18"/>
  <c r="D6" i="13" s="1"/>
  <c r="O32" i="18"/>
  <c r="C6" i="13" s="1"/>
  <c r="N32" i="18"/>
  <c r="M32" i="18"/>
  <c r="AC25" i="5"/>
  <c r="Z25" i="5"/>
  <c r="Y25" i="5"/>
  <c r="X31" i="18"/>
  <c r="X35" i="18"/>
  <c r="E6" i="17" s="1"/>
  <c r="X33"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3"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5" i="18"/>
  <c r="V35" i="18"/>
  <c r="U35" i="18"/>
  <c r="T35" i="18"/>
  <c r="S35" i="18"/>
  <c r="F6" i="17" s="1"/>
  <c r="R35" i="18"/>
  <c r="Q35" i="18"/>
  <c r="P35" i="18"/>
  <c r="D6" i="17" s="1"/>
  <c r="O35" i="18"/>
  <c r="C6" i="17" s="1"/>
  <c r="N35" i="18"/>
  <c r="M35" i="18"/>
  <c r="W33" i="18"/>
  <c r="V33" i="18"/>
  <c r="U33" i="18"/>
  <c r="T33" i="18"/>
  <c r="S33" i="18"/>
  <c r="F16" i="16" s="1"/>
  <c r="R33" i="18"/>
  <c r="Q33" i="18"/>
  <c r="P33" i="18"/>
  <c r="O33" i="18"/>
  <c r="C16" i="16" s="1"/>
  <c r="N33" i="18"/>
  <c r="B16" i="16" s="1"/>
  <c r="W31" i="18"/>
  <c r="V31" i="18"/>
  <c r="U31" i="18"/>
  <c r="T31" i="18"/>
  <c r="S31" i="18"/>
  <c r="R31" i="18"/>
  <c r="Q31" i="18"/>
  <c r="P31" i="18"/>
  <c r="O31" i="18"/>
  <c r="N31" i="18"/>
  <c r="B8" i="18" s="1"/>
  <c r="M31"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c r="F15" i="16" s="1"/>
  <c r="B37" i="16"/>
  <c r="C37" i="16" s="1"/>
  <c r="B36" i="16"/>
  <c r="B13" i="16" s="1"/>
  <c r="B35" i="16"/>
  <c r="C35" i="16" s="1"/>
  <c r="O12" i="16" s="1"/>
  <c r="B34" i="16"/>
  <c r="C34" i="16" s="1"/>
  <c r="J11" i="16" s="1"/>
  <c r="B33" i="16"/>
  <c r="C33" i="16" s="1"/>
  <c r="B32" i="16"/>
  <c r="C32" i="16" s="1"/>
  <c r="B31" i="16"/>
  <c r="C31" i="16" s="1"/>
  <c r="O8" i="16" s="1"/>
  <c r="B30" i="16"/>
  <c r="C30" i="16" s="1"/>
  <c r="E7" i="16" s="1"/>
  <c r="O21" i="16"/>
  <c r="N21" i="16"/>
  <c r="O63" i="14" s="1"/>
  <c r="M21" i="16"/>
  <c r="K21" i="16"/>
  <c r="J21" i="16"/>
  <c r="I21" i="16"/>
  <c r="H21" i="16"/>
  <c r="G21" i="16"/>
  <c r="F21" i="16"/>
  <c r="E21" i="16"/>
  <c r="D21" i="16"/>
  <c r="C5" i="16"/>
  <c r="B33" i="15"/>
  <c r="C33" i="15" s="1"/>
  <c r="H12" i="15" s="1"/>
  <c r="B32" i="15"/>
  <c r="C32" i="15" s="1"/>
  <c r="H11" i="15" s="1"/>
  <c r="B31" i="15"/>
  <c r="B10" i="15" s="1"/>
  <c r="B30" i="15"/>
  <c r="C30" i="15" s="1"/>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7" i="15"/>
  <c r="P19" i="16"/>
  <c r="H104" i="14"/>
  <c r="H9" i="59" s="1"/>
  <c r="O11" i="48"/>
  <c r="C78" i="22"/>
  <c r="P17" i="15"/>
  <c r="B101" i="14"/>
  <c r="B6" i="59" s="1"/>
  <c r="B100" i="14"/>
  <c r="B5" i="59" s="1"/>
  <c r="B15" i="16"/>
  <c r="B7" i="16"/>
  <c r="B8" i="16"/>
  <c r="B9" i="15"/>
  <c r="P11" i="48"/>
  <c r="Q10" i="14"/>
  <c r="Q9" i="14" s="1"/>
  <c r="J9" i="15" l="1"/>
  <c r="H9" i="15"/>
  <c r="F8" i="15"/>
  <c r="H8" i="15"/>
  <c r="B11" i="15"/>
  <c r="C31" i="15"/>
  <c r="L13" i="13"/>
  <c r="M62" i="14" s="1"/>
  <c r="M66" i="14" s="1"/>
  <c r="L4" i="48"/>
  <c r="L22" i="48" s="1"/>
  <c r="M16" i="14"/>
  <c r="M20" i="14" s="1"/>
  <c r="C36" i="16"/>
  <c r="E13" i="16" s="1"/>
  <c r="O115" i="14"/>
  <c r="C42" i="18"/>
  <c r="G45" i="18" s="1"/>
  <c r="B42" i="18"/>
  <c r="B46" i="18" s="1"/>
  <c r="C17" i="18" s="1"/>
  <c r="O13" i="15"/>
  <c r="B12" i="16"/>
  <c r="D16" i="16"/>
  <c r="B6" i="13"/>
  <c r="B9" i="13" s="1"/>
  <c r="B4" i="48" s="1"/>
  <c r="O16" i="16"/>
  <c r="O6" i="17"/>
  <c r="O5" i="17" s="1"/>
  <c r="O9" i="17" s="1"/>
  <c r="P39" i="14" s="1"/>
  <c r="P41" i="14" s="1"/>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29" i="48"/>
  <c r="N30" i="48"/>
  <c r="N32" i="48"/>
  <c r="N24" i="48"/>
  <c r="N25" i="48"/>
  <c r="K31" i="48"/>
  <c r="G22" i="48"/>
  <c r="I27" i="48"/>
  <c r="F32" i="48"/>
  <c r="F24" i="48"/>
  <c r="F28" i="48"/>
  <c r="F30" i="48"/>
  <c r="O32" i="48"/>
  <c r="O30" i="48"/>
  <c r="O28" i="48"/>
  <c r="O24" i="48"/>
  <c r="O31" i="48"/>
  <c r="N22" i="48"/>
  <c r="D45" i="18"/>
  <c r="N18" i="18"/>
  <c r="B17" i="18"/>
  <c r="B20" i="18" s="1"/>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D17" i="15"/>
  <c r="F45"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J7" i="15"/>
  <c r="B6"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C17" i="15"/>
  <c r="C5" i="48" s="1"/>
  <c r="E10" i="19"/>
  <c r="F56" i="14" s="1"/>
  <c r="F55" i="14" s="1"/>
  <c r="K11" i="48"/>
  <c r="K29" i="48" s="1"/>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M7" i="48"/>
  <c r="M25" i="48" s="1"/>
  <c r="M8" i="48"/>
  <c r="M26" i="48" s="1"/>
  <c r="C9" i="17"/>
  <c r="C7" i="48" s="1"/>
  <c r="H10" i="59"/>
  <c r="B4" i="59"/>
  <c r="G19" i="59"/>
  <c r="G20" i="59" s="1"/>
  <c r="G117" i="14"/>
  <c r="H19" i="59"/>
  <c r="H20" i="59" s="1"/>
  <c r="H117" i="14"/>
  <c r="C46" i="18"/>
  <c r="J18" i="59"/>
  <c r="M18" i="59"/>
  <c r="J5" i="17"/>
  <c r="J9" i="17" s="1"/>
  <c r="K39" i="14" s="1"/>
  <c r="K41" i="14" s="1"/>
  <c r="E11" i="16"/>
  <c r="E12" i="16"/>
  <c r="F8" i="16"/>
  <c r="F12" i="16"/>
  <c r="J8" i="16"/>
  <c r="E8" i="16"/>
  <c r="J12" i="16"/>
  <c r="J8" i="15"/>
  <c r="E8" i="15"/>
  <c r="M5" i="48"/>
  <c r="M23" i="48" s="1"/>
  <c r="H46" i="18" l="1"/>
  <c r="D46" i="18"/>
  <c r="C45" i="18"/>
  <c r="K8" i="18" s="1"/>
  <c r="E10" i="15"/>
  <c r="H10" i="15"/>
  <c r="H5" i="15" s="1"/>
  <c r="H17" i="15" s="1"/>
  <c r="J10" i="15"/>
  <c r="J5" i="15" s="1"/>
  <c r="J17" i="15" s="1"/>
  <c r="K15" i="14" s="1"/>
  <c r="K13" i="14" s="1"/>
  <c r="E45" i="18"/>
  <c r="E8" i="18" s="1"/>
  <c r="F103" i="14" s="1"/>
  <c r="O10" i="15"/>
  <c r="E46" i="18"/>
  <c r="E17" i="18" s="1"/>
  <c r="J45" i="18"/>
  <c r="D8" i="18" s="1"/>
  <c r="E103" i="14" s="1"/>
  <c r="B45" i="18"/>
  <c r="F46" i="18"/>
  <c r="I45" i="18"/>
  <c r="H8" i="18" s="1"/>
  <c r="I103" i="14" s="1"/>
  <c r="H45" i="18"/>
  <c r="J8" i="18" s="1"/>
  <c r="F10" i="15"/>
  <c r="G5" i="22"/>
  <c r="G14" i="22" s="1"/>
  <c r="E5" i="22"/>
  <c r="H5" i="22"/>
  <c r="H14" i="22" s="1"/>
  <c r="D5" i="22"/>
  <c r="D14" i="22"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E31" i="14"/>
  <c r="E30" i="14" s="1"/>
  <c r="E37" i="14" s="1"/>
  <c r="J5" i="16"/>
  <c r="J19" i="16" s="1"/>
  <c r="J23" i="16" s="1"/>
  <c r="K63" i="14" s="1"/>
  <c r="O5" i="15"/>
  <c r="O17" i="15" s="1"/>
  <c r="O21" i="15" s="1"/>
  <c r="P61" i="14" s="1"/>
  <c r="P59" i="14" s="1"/>
  <c r="O5" i="13"/>
  <c r="O9" i="13" s="1"/>
  <c r="J5" i="13"/>
  <c r="J9" i="13" s="1"/>
  <c r="J17" i="18"/>
  <c r="K114" i="14" s="1"/>
  <c r="M85" i="14"/>
  <c r="M87" i="14" s="1"/>
  <c r="M88" i="14" s="1"/>
  <c r="M39" i="14"/>
  <c r="M41" i="14" s="1"/>
  <c r="M42" i="14" s="1"/>
  <c r="L7" i="48"/>
  <c r="J46" i="18"/>
  <c r="D17" i="18" s="1"/>
  <c r="E114" i="14" s="1"/>
  <c r="I46" i="18"/>
  <c r="J10" i="18"/>
  <c r="K103" i="14"/>
  <c r="K8" i="59" s="1"/>
  <c r="K10" i="18"/>
  <c r="L103" i="14"/>
  <c r="G46" i="18"/>
  <c r="I17" i="18" s="1"/>
  <c r="J114" i="14" s="1"/>
  <c r="K17" i="18"/>
  <c r="K20" i="18" s="1"/>
  <c r="C8" i="18"/>
  <c r="N50" i="22"/>
  <c r="N54" i="22" s="1"/>
  <c r="N58" i="22" s="1"/>
  <c r="C25" i="14"/>
  <c r="G50" i="22"/>
  <c r="G54" i="22" s="1"/>
  <c r="G10" i="48" s="1"/>
  <c r="G28" i="48" s="1"/>
  <c r="I31" i="14"/>
  <c r="I30" i="14" s="1"/>
  <c r="I37" i="14"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Q66" i="14"/>
  <c r="Q88" i="14" s="1"/>
  <c r="J66" i="14"/>
  <c r="R66" i="14"/>
  <c r="R88" i="14" s="1"/>
  <c r="G9" i="59"/>
  <c r="G10" i="59" s="1"/>
  <c r="R20" i="14"/>
  <c r="R42" i="14" s="1"/>
  <c r="H20" i="14"/>
  <c r="Q20" i="14"/>
  <c r="Q42" i="14" s="1"/>
  <c r="S9" i="14"/>
  <c r="O5" i="16"/>
  <c r="O19" i="16" s="1"/>
  <c r="F5" i="15"/>
  <c r="B5" i="15"/>
  <c r="J15" i="14"/>
  <c r="J13" i="14" s="1"/>
  <c r="J20" i="14" s="1"/>
  <c r="J42" i="14" s="1"/>
  <c r="I5" i="48"/>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D114" i="14"/>
  <c r="E8" i="59"/>
  <c r="J7" i="48"/>
  <c r="J25" i="48" s="1"/>
  <c r="J13" i="17"/>
  <c r="K85" i="14" s="1"/>
  <c r="K87" i="14" s="1"/>
  <c r="F5" i="16"/>
  <c r="F19" i="16" s="1"/>
  <c r="E5" i="16"/>
  <c r="E19" i="16" s="1"/>
  <c r="N15" i="14"/>
  <c r="N13" i="14" s="1"/>
  <c r="N61" i="14"/>
  <c r="N59" i="14" s="1"/>
  <c r="C15" i="48"/>
  <c r="M33" i="48"/>
  <c r="M15" i="48"/>
  <c r="H21" i="15" l="1"/>
  <c r="I61" i="14" s="1"/>
  <c r="I59" i="14" s="1"/>
  <c r="I66" i="14" s="1"/>
  <c r="H5" i="48"/>
  <c r="H23" i="48" s="1"/>
  <c r="I15" i="14"/>
  <c r="I13" i="14" s="1"/>
  <c r="I20" i="14" s="1"/>
  <c r="S23" i="14"/>
  <c r="N14" i="22"/>
  <c r="N18" i="22" s="1"/>
  <c r="O77" i="14" s="1"/>
  <c r="O76" i="14" s="1"/>
  <c r="O83" i="14" s="1"/>
  <c r="O88" i="14" s="1"/>
  <c r="O13" i="13"/>
  <c r="P62" i="14" s="1"/>
  <c r="F17" i="15"/>
  <c r="F5" i="48" s="1"/>
  <c r="F23" i="48" s="1"/>
  <c r="N8" i="18"/>
  <c r="S22" i="14"/>
  <c r="D103" i="14"/>
  <c r="E9" i="48"/>
  <c r="E27" i="48" s="1"/>
  <c r="E14" i="22"/>
  <c r="E18" i="22" s="1"/>
  <c r="F77" i="14" s="1"/>
  <c r="F76" i="14" s="1"/>
  <c r="F83" i="14" s="1"/>
  <c r="B5" i="48"/>
  <c r="B17" i="15"/>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N9" i="48" l="1"/>
  <c r="N27" i="48" s="1"/>
  <c r="N33" i="48" s="1"/>
  <c r="O31" i="14"/>
  <c r="O30" i="14" s="1"/>
  <c r="O37" i="14" s="1"/>
  <c r="O42" i="14" s="1"/>
  <c r="P66" i="14"/>
  <c r="F31" i="14"/>
  <c r="F30" i="14" s="1"/>
  <c r="F37" i="14" s="1"/>
  <c r="E33" i="48"/>
  <c r="S25" i="14"/>
  <c r="D15" i="48"/>
  <c r="R10" i="48"/>
  <c r="H15" i="48"/>
  <c r="R9" i="48"/>
  <c r="E88" i="14"/>
  <c r="E90" i="14" s="1"/>
  <c r="O9" i="59"/>
  <c r="R7" i="48"/>
  <c r="B15" i="48"/>
  <c r="R4" i="48"/>
  <c r="S16" i="14"/>
  <c r="K20" i="14"/>
  <c r="K42" i="14" s="1"/>
  <c r="L17" i="59"/>
  <c r="L20" i="59" s="1"/>
  <c r="L117" i="14"/>
  <c r="I10" i="59"/>
  <c r="I114"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N15" i="48" l="1"/>
  <c r="S30" i="14"/>
  <c r="O105" i="14"/>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16" i="22"/>
  <c r="C11" i="13"/>
  <c r="C29" i="20"/>
  <c r="C8" i="19"/>
  <c r="C10" i="19" s="1"/>
  <c r="D56" i="14" s="1"/>
  <c r="D55" i="14" s="1"/>
  <c r="C22" i="59"/>
  <c r="C11" i="17"/>
  <c r="C13" i="17" s="1"/>
  <c r="D85" i="14" s="1"/>
  <c r="D87" i="14" s="1"/>
  <c r="C19" i="15"/>
  <c r="C21" i="15" s="1"/>
  <c r="D61" i="14" s="1"/>
  <c r="D59" i="14" s="1"/>
  <c r="C56" i="22"/>
  <c r="B4" i="6"/>
  <c r="C17" i="48" l="1"/>
  <c r="C13" i="13"/>
  <c r="D62" i="14" s="1"/>
  <c r="D66" i="14" s="1"/>
  <c r="D72" i="14"/>
  <c r="D73" i="14"/>
  <c r="B13" i="6"/>
  <c r="B56" i="22" s="1"/>
  <c r="D71" i="14" l="1"/>
  <c r="D83" i="14" s="1"/>
  <c r="D88" i="14" s="1"/>
  <c r="D90" i="14" s="1"/>
  <c r="C25" i="48"/>
  <c r="C29" i="48"/>
  <c r="C26" i="48"/>
  <c r="C28" i="48"/>
  <c r="C31" i="48"/>
  <c r="C22" i="48"/>
  <c r="C27" i="48"/>
  <c r="C30" i="48"/>
  <c r="C23" i="48"/>
  <c r="C32" i="48"/>
  <c r="C24" i="48"/>
  <c r="C73" i="14"/>
  <c r="S73" i="14" s="1"/>
  <c r="C72" i="14"/>
  <c r="S72" i="14" s="1"/>
  <c r="B16" i="22"/>
  <c r="B21" i="16"/>
  <c r="B23" i="16" s="1"/>
  <c r="C63" i="14" s="1"/>
  <c r="S63" i="14" s="1"/>
  <c r="B8" i="49"/>
  <c r="B10" i="49" s="1"/>
  <c r="C57" i="14" s="1"/>
  <c r="S57" i="14" s="1"/>
  <c r="B11" i="13"/>
  <c r="B17" i="48" s="1"/>
  <c r="B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R22" i="48" l="1"/>
  <c r="C33" i="48"/>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<sst xmlns="http://schemas.openxmlformats.org/spreadsheetml/2006/main" count="3029" uniqueCount="783">
  <si>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</si>
  <si>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</si>
  <si>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</si>
  <si>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</si>
  <si>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</si>
  <si>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</si>
  <si>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</si>
  <si>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</si>
  <si>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</si>
  <si>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</si>
  <si>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</si>
  <si>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</si>
  <si>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</si>
  <si>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</si>
  <si>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</si>
  <si>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</si>
  <si>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</si>
  <si>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</si>
  <si>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</si>
  <si>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</si>
  <si>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</si>
  <si>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</si>
  <si>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</si>
  <si>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</si>
  <si>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</si>
  <si>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</si>
  <si>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</si>
  <si>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</si>
  <si>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</si>
  <si>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</si>
  <si>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</si>
  <si>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</si>
  <si>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</si>
  <si>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</si>
  <si>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</si>
  <si>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</si>
  <si>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</si>
  <si>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</si>
  <si>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</si>
  <si>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</si>
  <si>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</si>
  <si>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</si>
  <si>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</si>
  <si>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</si>
  <si>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</si>
  <si>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</si>
  <si>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</si>
  <si>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</si>
  <si>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</si>
  <si>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</si>
  <si>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</si>
  <si>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</si>
  <si>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</si>
  <si>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</si>
  <si>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</si>
  <si>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</si>
  <si>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</si>
  <si>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</si>
  <si>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</si>
  <si>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</si>
  <si>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</si>
  <si>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</si>
  <si>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</si>
  <si>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</si>
  <si>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</si>
  <si>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</si>
  <si>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</si>
  <si>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</si>
  <si>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</si>
  <si>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</si>
  <si>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</si>
  <si>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</si>
  <si>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</si>
  <si>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</si>
  <si>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</si>
  <si>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</si>
  <si>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</si>
  <si>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</si>
  <si>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</si>
  <si>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</si>
  <si>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</si>
  <si>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</si>
  <si>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</si>
  <si>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</si>
  <si>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</si>
  <si>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</si>
  <si>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</si>
  <si>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</si>
  <si>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</si>
  <si>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</si>
  <si>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</si>
  <si>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</si>
  <si>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</si>
  <si>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</si>
  <si>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</si>
  <si>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</si>
  <si>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</si>
  <si>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</si>
  <si>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</si>
  <si>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</si>
  <si>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</si>
  <si>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</si>
  <si>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</si>
  <si>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</si>
  <si>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</si>
  <si>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</si>
  <si>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</si>
  <si>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</si>
  <si>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</si>
  <si>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</si>
  <si>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</si>
  <si>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</si>
  <si>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</si>
  <si>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</si>
  <si>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</si>
  <si>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</si>
  <si>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</si>
  <si>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</si>
  <si>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</si>
  <si>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</si>
  <si>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</si>
  <si>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</si>
  <si>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</si>
  <si>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</si>
  <si>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</si>
  <si>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</si>
  <si>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</si>
  <si>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</si>
  <si>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</si>
  <si>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</si>
  <si>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</si>
  <si>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</si>
  <si>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</si>
  <si>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</si>
  <si>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</si>
  <si>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</si>
  <si>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</si>
  <si>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</si>
  <si>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</si>
  <si>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</si>
  <si>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</si>
  <si>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</si>
  <si>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</si>
  <si>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</si>
  <si>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</si>
  <si>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</si>
  <si>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</si>
  <si>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</si>
  <si>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</si>
  <si>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</si>
  <si>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</si>
  <si>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</si>
  <si>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</si>
  <si>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</si>
  <si>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</si>
  <si>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</si>
  <si>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</si>
  <si>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</si>
  <si>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</si>
  <si>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</si>
  <si>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</si>
  <si>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</si>
  <si>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</si>
  <si>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</si>
  <si>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</si>
  <si>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</si>
  <si>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</si>
  <si>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</si>
  <si>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</si>
  <si>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</si>
  <si>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</si>
  <si>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</si>
  <si>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</si>
  <si>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</si>
  <si>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</si>
  <si>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</si>
  <si>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</si>
  <si>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</si>
  <si>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</si>
  <si>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</si>
  <si>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</si>
  <si>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</si>
  <si>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</si>
  <si>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</si>
  <si>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</si>
  <si>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</si>
  <si>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</si>
  <si>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</si>
  <si>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</si>
  <si>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</si>
  <si>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</si>
  <si>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</si>
  <si>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</si>
  <si>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</si>
  <si>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</si>
  <si>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</si>
  <si>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</si>
  <si>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</si>
  <si>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</si>
  <si>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</si>
  <si>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</si>
  <si>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</si>
  <si>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</si>
  <si>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</si>
  <si>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</si>
  <si>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</si>
  <si>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</si>
  <si>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</si>
  <si>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</si>
  <si>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</si>
  <si>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</si>
  <si>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</si>
  <si>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</si>
  <si>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</si>
  <si>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</si>
  <si>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</si>
  <si>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</si>
  <si>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</si>
  <si>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</si>
  <si>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</si>
  <si>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</si>
  <si>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</si>
  <si>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</si>
  <si>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</si>
  <si>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</si>
  <si>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</si>
  <si>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</si>
  <si>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</si>
  <si>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</si>
  <si>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</si>
  <si>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</si>
  <si>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</si>
  <si>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</si>
  <si>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</si>
  <si>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</si>
  <si>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</si>
  <si>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</si>
  <si>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</si>
  <si>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</si>
  <si>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</si>
  <si>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</si>
  <si>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</si>
  <si>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</si>
  <si>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</si>
  <si>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</si>
  <si>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</si>
  <si>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</si>
  <si>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</si>
  <si>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</si>
  <si>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</si>
  <si>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</si>
  <si>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</si>
  <si>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</si>
  <si>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</si>
  <si>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</si>
  <si>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</si>
  <si>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</si>
  <si>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</si>
  <si>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</si>
  <si>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</si>
  <si>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</si>
  <si>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</si>
  <si>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</si>
  <si>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</si>
  <si>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</si>
  <si>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</si>
  <si>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</si>
  <si>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</si>
  <si>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</si>
  <si>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</si>
  <si>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</si>
  <si>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</si>
  <si>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</si>
  <si>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</si>
  <si>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</si>
  <si>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</si>
  <si>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</si>
  <si>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</si>
  <si>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</si>
  <si>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</si>
  <si>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</si>
  <si>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</si>
  <si>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</si>
  <si>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</si>
  <si>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</si>
  <si>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</si>
  <si>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</si>
  <si>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</si>
  <si>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</si>
  <si>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</si>
  <si>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</si>
  <si>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</si>
  <si>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</si>
  <si>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</si>
  <si>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</si>
  <si>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</si>
  <si>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</si>
  <si>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</si>
  <si>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</si>
  <si>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</si>
  <si>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</si>
  <si>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</si>
  <si>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</si>
  <si>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</si>
  <si>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</si>
  <si>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</si>
  <si>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</si>
  <si>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</si>
  <si>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</si>
  <si>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</si>
  <si>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</si>
  <si>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</si>
  <si>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</si>
  <si>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</si>
  <si>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</si>
  <si>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</si>
  <si>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</si>
  <si>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</si>
  <si>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</si>
  <si>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</si>
  <si>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</si>
  <si>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</si>
  <si>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</si>
  <si>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</si>
  <si>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</si>
  <si>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</si>
  <si>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</si>
  <si>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</si>
  <si>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</si>
  <si>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</si>
  <si>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</si>
  <si>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</si>
  <si>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</si>
  <si>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</si>
  <si>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</si>
  <si>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</si>
  <si>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</si>
  <si>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</si>
  <si>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</si>
  <si>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</si>
  <si>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</si>
  <si>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</si>
  <si>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</si>
  <si>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</si>
  <si>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</si>
  <si>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</si>
  <si>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</si>
  <si>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</si>
  <si>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</si>
  <si>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</si>
  <si>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</si>
  <si>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</si>
  <si>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</si>
  <si>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</si>
  <si>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</si>
  <si>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</si>
  <si>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</si>
  <si>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</si>
  <si>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</si>
  <si>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</si>
  <si>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</si>
  <si>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</si>
  <si>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</si>
  <si>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</si>
  <si>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</si>
  <si>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</si>
  <si>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</si>
  <si>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</si>
  <si>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</si>
  <si>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</si>
  <si>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</si>
  <si>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</si>
  <si>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</si>
  <si>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</si>
  <si>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</si>
  <si>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</si>
  <si>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</si>
  <si>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</si>
  <si>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</si>
  <si>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</si>
  <si>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</si>
  <si>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</si>
  <si>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</si>
  <si>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</si>
  <si>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</si>
  <si>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</si>
  <si>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</si>
  <si>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</si>
  <si>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</si>
  <si>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</si>
  <si>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</si>
  <si>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</si>
  <si>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</si>
  <si>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</si>
  <si>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</si>
  <si>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</si>
  <si>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</si>
  <si>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</si>
  <si>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</si>
  <si>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</si>
  <si>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</si>
  <si>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</si>
  <si>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</si>
  <si>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</si>
  <si>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</si>
  <si>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</si>
  <si>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</si>
  <si>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</si>
  <si>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</si>
  <si>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</si>
  <si>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</si>
  <si>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</si>
  <si>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</si>
  <si>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</si>
  <si>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</si>
  <si>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</si>
  <si>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</si>
  <si>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</si>
  <si>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</si>
  <si>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</si>
  <si>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</si>
  <si>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</si>
  <si>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</si>
  <si>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</si>
  <si>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</si>
  <si>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</si>
  <si>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</si>
  <si>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</si>
  <si>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</si>
  <si>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</si>
  <si>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</si>
  <si>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</si>
  <si>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</si>
  <si>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</si>
  <si>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</si>
  <si>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</si>
  <si>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</si>
  <si>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</si>
  <si>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</si>
  <si>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</si>
  <si>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</si>
  <si>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</si>
  <si>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</si>
  <si>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</si>
  <si>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</si>
  <si>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</si>
  <si>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</si>
  <si>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</si>
  <si>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</si>
  <si>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</si>
  <si>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</si>
  <si>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</si>
  <si>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</si>
  <si>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</si>
  <si>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</si>
  <si>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</si>
  <si>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</si>
  <si>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</si>
  <si>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</si>
  <si>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</si>
  <si>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</si>
  <si>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</si>
  <si>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</si>
  <si>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</si>
  <si>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</si>
  <si>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</si>
  <si>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</si>
  <si>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</si>
  <si>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</si>
  <si>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</si>
  <si>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</si>
  <si>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</si>
  <si>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</si>
  <si>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</si>
  <si>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</si>
  <si>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</si>
  <si>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</si>
  <si>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</si>
  <si>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</si>
  <si>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</si>
  <si>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</si>
  <si>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</si>
  <si>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</si>
  <si>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</si>
  <si>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</si>
  <si>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</si>
  <si>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</si>
  <si>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</si>
  <si>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</si>
  <si>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</si>
  <si>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</si>
  <si>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</si>
  <si>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</si>
  <si>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</si>
  <si>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</si>
  <si>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</si>
  <si>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</si>
  <si>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</si>
  <si>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</si>
  <si>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</si>
  <si>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</si>
  <si>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</si>
  <si>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</si>
  <si>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</si>
  <si>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</si>
  <si>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</si>
  <si>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</si>
  <si>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</si>
  <si>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</si>
  <si>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</si>
  <si>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</si>
  <si>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</si>
  <si>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</si>
  <si>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</si>
  <si>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</si>
  <si>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</si>
  <si>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</si>
  <si>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</si>
  <si>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</si>
  <si>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</si>
  <si>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</si>
  <si>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</si>
  <si>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</si>
  <si>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</si>
  <si>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</si>
  <si>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</si>
  <si>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</si>
  <si>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</si>
  <si>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</si>
  <si>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</si>
  <si>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</si>
  <si>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</si>
  <si>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</si>
  <si>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</si>
  <si>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</si>
  <si>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</si>
  <si>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</si>
  <si>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</si>
  <si>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</si>
  <si>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</si>
  <si>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</si>
  <si>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</si>
  <si>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</si>
  <si>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</si>
  <si>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</si>
  <si>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</si>
  <si>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</si>
  <si>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</si>
  <si>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</si>
  <si>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</si>
  <si>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</si>
  <si>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</si>
  <si>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</si>
  <si>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</si>
  <si>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</si>
  <si>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</si>
  <si>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</si>
  <si>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</si>
  <si>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</si>
  <si>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</si>
  <si>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</si>
  <si>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</si>
  <si>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</si>
  <si>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</si>
  <si>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</si>
  <si>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</si>
  <si>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</si>
  <si>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</si>
  <si>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</si>
  <si>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</si>
  <si>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</si>
  <si>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</si>
  <si>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</si>
  <si>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</si>
  <si>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</si>
  <si>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</si>
  <si>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</si>
  <si>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</si>
  <si>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</si>
  <si>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</si>
  <si>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</si>
  <si>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</si>
  <si>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</si>
  <si>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</si>
  <si>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</si>
  <si>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</si>
  <si>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</si>
  <si>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</si>
  <si>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</si>
  <si>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</si>
  <si>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</si>
  <si>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</si>
  <si>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</si>
  <si>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</si>
  <si>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</si>
  <si>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</si>
  <si>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</si>
  <si>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</si>
  <si>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</si>
  <si>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</si>
  <si>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</si>
  <si>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</si>
  <si>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</si>
  <si>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</si>
  <si>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</si>
  <si>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</si>
  <si>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</si>
  <si>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</si>
  <si>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</si>
  <si>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</si>
  <si>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</si>
  <si>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</si>
  <si>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</si>
  <si>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</si>
  <si>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</si>
  <si>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</si>
  <si>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</si>
  <si>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</si>
  <si>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</si>
  <si>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</si>
  <si>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</si>
  <si>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</si>
  <si>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</si>
  <si>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</si>
  <si>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</si>
  <si>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</si>
  <si>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</si>
  <si>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</si>
  <si>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</si>
  <si>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</si>
  <si>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</si>
  <si>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</si>
  <si>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</si>
  <si>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</si>
  <si>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</si>
  <si>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</si>
  <si>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</si>
  <si>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</si>
  <si>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</si>
  <si>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</si>
  <si>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</si>
  <si>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</si>
  <si>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</si>
  <si>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</si>
  <si>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</si>
  <si>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</si>
  <si>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</si>
  <si>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</si>
  <si>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</si>
  <si>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</si>
  <si>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</si>
  <si>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</si>
  <si>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</si>
  <si>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</si>
  <si>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</si>
  <si>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</si>
  <si>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</si>
  <si>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</si>
  <si>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</si>
  <si>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</si>
  <si>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</si>
  <si>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</si>
  <si>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</si>
  <si>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</si>
  <si>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</si>
  <si>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</si>
  <si>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</si>
  <si>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</si>
  <si>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</si>
  <si>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</si>
  <si>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</si>
  <si>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</si>
  <si>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</si>
  <si>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</si>
  <si>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</si>
  <si>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</si>
  <si>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</si>
  <si>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</si>
  <si>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</si>
  <si>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</si>
  <si>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</si>
  <si>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</si>
  <si>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</si>
  <si>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</si>
  <si>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</si>
  <si>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</si>
  <si>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</si>
  <si>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</si>
  <si>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</si>
  <si>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</si>
  <si>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</si>
  <si>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</si>
  <si>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</si>
  <si>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</si>
  <si>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</si>
  <si>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</si>
  <si>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</si>
  <si>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</si>
  <si>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</si>
  <si>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</si>
  <si>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</si>
  <si>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</si>
  <si>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</si>
  <si>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</si>
  <si>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</si>
  <si>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</si>
  <si>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</si>
  <si>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</si>
  <si>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</si>
  <si>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</si>
  <si>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</si>
  <si>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</si>
  <si>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</si>
  <si>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</si>
  <si>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</si>
  <si>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</si>
  <si>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</si>
  <si>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</si>
  <si>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</si>
  <si>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</si>
  <si>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</si>
  <si>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</si>
  <si>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</si>
  <si>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</si>
  <si>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</si>
  <si>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</si>
  <si>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</si>
  <si>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</si>
  <si>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</si>
  <si>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</si>
  <si>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</si>
  <si>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</si>
  <si>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</si>
  <si>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</si>
  <si>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</si>
  <si>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</si>
  <si>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</si>
  <si>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</si>
  <si>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</si>
  <si>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</si>
  <si>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</si>
  <si>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</si>
  <si>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</si>
  <si>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</si>
  <si>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</si>
  <si>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</si>
  <si>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</si>
  <si>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</si>
  <si>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</si>
  <si>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</si>
  <si>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</si>
  <si>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</si>
  <si>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</si>
  <si>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</si>
  <si>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</si>
  <si>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</si>
  <si>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</si>
  <si>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</si>
  <si>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</si>
  <si>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</si>
  <si>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</si>
  <si>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</si>
  <si>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</si>
  <si>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</si>
  <si>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</si>
  <si>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</si>
  <si>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</si>
  <si>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</si>
  <si>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</si>
  <si>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</si>
  <si>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</si>
  <si>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</si>
  <si>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</si>
  <si>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</si>
  <si>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</si>
  <si>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</si>
  <si>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</si>
  <si>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</si>
  <si>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</si>
  <si>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</si>
  <si>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13040</t>
  </si>
  <si>
    <t>TURNHOUT</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</si>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</sst>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CFFF3507-52E5-483E-AEE2-6798E66C55B1}"/>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3674F356-4388-4037-BE3B-05B58C01A98B}"/>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294107.72379287716</c:v>
                </c:pt>
                <c:pt idx="1">
                  <c:v>189308.90017491925</c:v>
                </c:pt>
                <c:pt idx="2">
                  <c:v>0</c:v>
                </c:pt>
                <c:pt idx="3">
                  <c:v>8327.6402340459299</c:v>
                </c:pt>
                <c:pt idx="4">
                  <c:v>338347.16666910908</c:v>
                </c:pt>
                <c:pt idx="5">
                  <c:v>259739.33287669549</c:v>
                </c:pt>
                <c:pt idx="6">
                  <c:v>4815.923819234722</c:v>
                </c:pt>
                <c:pt idx="7">
                  <c:v>8259.5418360553522</c:v>
                </c:pt>
                <c:pt idx="8">
                  <c:v>2328.2750000000001</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294107.72379287716</c:v>
                </c:pt>
                <c:pt idx="1">
                  <c:v>189308.90017491925</c:v>
                </c:pt>
                <c:pt idx="2">
                  <c:v>0</c:v>
                </c:pt>
                <c:pt idx="3">
                  <c:v>8327.6402340459299</c:v>
                </c:pt>
                <c:pt idx="4">
                  <c:v>338347.16666910908</c:v>
                </c:pt>
                <c:pt idx="5">
                  <c:v>259739.33287669549</c:v>
                </c:pt>
                <c:pt idx="6">
                  <c:v>4815.923819234722</c:v>
                </c:pt>
                <c:pt idx="7">
                  <c:v>8259.5418360553522</c:v>
                </c:pt>
                <c:pt idx="8">
                  <c:v>2328.2750000000001</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55019.547179590918</c:v>
                </c:pt>
                <c:pt idx="1">
                  <c:v>34863.016038360358</c:v>
                </c:pt>
                <c:pt idx="2">
                  <c:v>0</c:v>
                </c:pt>
                <c:pt idx="3">
                  <c:v>1996.4199024378843</c:v>
                </c:pt>
                <c:pt idx="4">
                  <c:v>64708.260999872386</c:v>
                </c:pt>
                <c:pt idx="5">
                  <c:v>61087.122095500141</c:v>
                </c:pt>
                <c:pt idx="6">
                  <c:v>1139.5575605756212</c:v>
                </c:pt>
                <c:pt idx="7">
                  <c:v>1568.0850587662474</c:v>
                </c:pt>
                <c:pt idx="8">
                  <c:v>374.98037452463598</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55019.547179590918</c:v>
                </c:pt>
                <c:pt idx="1">
                  <c:v>34863.016038360358</c:v>
                </c:pt>
                <c:pt idx="2">
                  <c:v>0</c:v>
                </c:pt>
                <c:pt idx="3">
                  <c:v>1996.4199024378843</c:v>
                </c:pt>
                <c:pt idx="4">
                  <c:v>64708.260999872386</c:v>
                </c:pt>
                <c:pt idx="5">
                  <c:v>61087.122095500141</c:v>
                </c:pt>
                <c:pt idx="6">
                  <c:v>1139.5575605756212</c:v>
                </c:pt>
                <c:pt idx="7">
                  <c:v>1568.0850587662474</c:v>
                </c:pt>
                <c:pt idx="8">
                  <c:v>374.98037452463598</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13040</v>
      </c>
      <c r="B6" s="336"/>
      <c r="C6" s="337"/>
    </row>
    <row r="7" spans="1:7" s="334" customFormat="1" ht="15.75" customHeight="1">
      <c r="A7" s="338" t="str">
        <f>txtMunicipality</f>
        <v>TURNHOUT</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4778.9390334716982</v>
      </c>
      <c r="D9" s="531">
        <f t="shared" ref="D9:R9" si="0">SUM(D10:D11)</f>
        <v>0</v>
      </c>
      <c r="E9" s="531">
        <f t="shared" si="0"/>
        <v>5808.8778025836536</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10587.816836055352</v>
      </c>
      <c r="T9" s="66"/>
    </row>
    <row r="10" spans="1:20" s="382" customFormat="1">
      <c r="A10" s="870" t="s">
        <v>197</v>
      </c>
      <c r="B10" s="639"/>
      <c r="C10" s="531">
        <f>'Eigen gebouwen'!B6</f>
        <v>2450.6640334716981</v>
      </c>
      <c r="D10" s="531">
        <f>'Eigen gebouwen'!C6</f>
        <v>0</v>
      </c>
      <c r="E10" s="531">
        <f>'Eigen gebouwen'!D6</f>
        <v>5808.8778025836536</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8259.5418360553522</v>
      </c>
      <c r="T10" s="66"/>
    </row>
    <row r="11" spans="1:20" s="382" customFormat="1">
      <c r="A11" s="870" t="s">
        <v>410</v>
      </c>
      <c r="B11" s="639"/>
      <c r="C11" s="531">
        <f>'Eigen openbare verlichting'!B6</f>
        <v>2328.2750000000001</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2328.2750000000001</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86752.286779919887</v>
      </c>
      <c r="D13" s="868">
        <f t="shared" ref="D13:P13" si="1">SUM(D14:D15)</f>
        <v>242.30520897059225</v>
      </c>
      <c r="E13" s="868">
        <f t="shared" si="1"/>
        <v>90352.298240461358</v>
      </c>
      <c r="F13" s="868">
        <f t="shared" si="1"/>
        <v>125.44609898489065</v>
      </c>
      <c r="G13" s="868">
        <f t="shared" si="1"/>
        <v>9553.1849849263072</v>
      </c>
      <c r="H13" s="868">
        <f t="shared" si="1"/>
        <v>0</v>
      </c>
      <c r="I13" s="868">
        <f t="shared" si="1"/>
        <v>1.2369095753935855</v>
      </c>
      <c r="J13" s="868">
        <f t="shared" si="1"/>
        <v>0</v>
      </c>
      <c r="K13" s="868">
        <f t="shared" si="1"/>
        <v>5.8934705861404549E-2</v>
      </c>
      <c r="L13" s="868">
        <f t="shared" si="1"/>
        <v>0</v>
      </c>
      <c r="M13" s="868">
        <f t="shared" si="1"/>
        <v>0</v>
      </c>
      <c r="N13" s="868">
        <f t="shared" si="1"/>
        <v>0</v>
      </c>
      <c r="O13" s="868">
        <f t="shared" si="1"/>
        <v>0</v>
      </c>
      <c r="P13" s="868">
        <f t="shared" si="1"/>
        <v>2282.0830173749873</v>
      </c>
      <c r="Q13" s="868">
        <f t="shared" ref="Q13" si="2">SUM(Q14:Q15)</f>
        <v>0</v>
      </c>
      <c r="R13" s="869">
        <f t="shared" ref="R13" si="3">SUM(R14:R15)</f>
        <v>0</v>
      </c>
      <c r="S13" s="562">
        <f t="shared" ref="S13" si="4">SUM(C13:R13)</f>
        <v>189308.90017491925</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86752.286779919887</v>
      </c>
      <c r="D15" s="531">
        <f>tertiair!C17</f>
        <v>242.30520897059225</v>
      </c>
      <c r="E15" s="531">
        <f>tertiair!D17</f>
        <v>90352.298240461358</v>
      </c>
      <c r="F15" s="531">
        <f>tertiair!E17</f>
        <v>125.44609898489065</v>
      </c>
      <c r="G15" s="531">
        <f>tertiair!F17</f>
        <v>9553.1849849263072</v>
      </c>
      <c r="H15" s="531" t="str">
        <f>tertiair!G17</f>
        <v>NE</v>
      </c>
      <c r="I15" s="531">
        <f>tertiair!H17</f>
        <v>1.2369095753935855</v>
      </c>
      <c r="J15" s="531" t="str">
        <f>tertiair!I17</f>
        <v>NE</v>
      </c>
      <c r="K15" s="531">
        <f>tertiair!J17</f>
        <v>5.8934705861404549E-2</v>
      </c>
      <c r="L15" s="531" t="str">
        <f>tertiair!K17</f>
        <v>NE</v>
      </c>
      <c r="M15" s="531" t="str">
        <f>tertiair!L17</f>
        <v>IE</v>
      </c>
      <c r="N15" s="531" t="str">
        <f>tertiair!M17</f>
        <v>IE</v>
      </c>
      <c r="O15" s="531" t="str">
        <f>tertiair!N17</f>
        <v>IE</v>
      </c>
      <c r="P15" s="531">
        <f>tertiair!O17</f>
        <v>2282.0830173749873</v>
      </c>
      <c r="Q15" s="531" t="str">
        <f>tertiair!P17</f>
        <v>NE</v>
      </c>
      <c r="R15" s="869" t="str">
        <f>tertiair!Q17</f>
        <v>NE</v>
      </c>
      <c r="S15" s="562">
        <f>SUM(C15:R15)</f>
        <v>189308.90017491925</v>
      </c>
      <c r="T15" s="66"/>
    </row>
    <row r="16" spans="1:20" s="382" customFormat="1">
      <c r="A16" s="634" t="s">
        <v>644</v>
      </c>
      <c r="B16" s="639"/>
      <c r="C16" s="531">
        <f>huishoudens!B9</f>
        <v>54384.766256593037</v>
      </c>
      <c r="D16" s="531">
        <f>huishoudens!C9</f>
        <v>64.719180005177549</v>
      </c>
      <c r="E16" s="531">
        <f>huishoudens!D9</f>
        <v>187851.09186324346</v>
      </c>
      <c r="F16" s="531">
        <f>huishoudens!E9</f>
        <v>1799.4582760846931</v>
      </c>
      <c r="G16" s="531">
        <f>huishoudens!F9</f>
        <v>29240.020315447749</v>
      </c>
      <c r="H16" s="531" t="str">
        <f>huishoudens!G9</f>
        <v>NE</v>
      </c>
      <c r="I16" s="531" t="str">
        <f>huishoudens!H9</f>
        <v>NE</v>
      </c>
      <c r="J16" s="531" t="str">
        <f>huishoudens!I9</f>
        <v xml:space="preserve">NE </v>
      </c>
      <c r="K16" s="531">
        <f>huishoudens!J9</f>
        <v>234.39883070921803</v>
      </c>
      <c r="L16" s="531" t="str">
        <f>huishoudens!K9</f>
        <v>NE</v>
      </c>
      <c r="M16" s="531">
        <f>huishoudens!L9</f>
        <v>0</v>
      </c>
      <c r="N16" s="531">
        <f>huishoudens!M9</f>
        <v>0</v>
      </c>
      <c r="O16" s="531" t="str">
        <f>huishoudens!N9</f>
        <v>NE</v>
      </c>
      <c r="P16" s="531">
        <f>huishoudens!O9</f>
        <v>20533.269070793831</v>
      </c>
      <c r="Q16" s="531" t="str">
        <f>huishoudens!P9</f>
        <v>NE</v>
      </c>
      <c r="R16" s="869" t="str">
        <f>huishoudens!Q9</f>
        <v>NE</v>
      </c>
      <c r="S16" s="562">
        <f>SUM(C16:R16)</f>
        <v>294107.72379287716</v>
      </c>
      <c r="T16" s="66"/>
    </row>
    <row r="17" spans="1:20" s="382" customFormat="1">
      <c r="A17" s="634" t="s">
        <v>495</v>
      </c>
      <c r="B17" s="643" t="s">
        <v>493</v>
      </c>
      <c r="C17" s="531">
        <f>industrie!B19</f>
        <v>148128.73561322971</v>
      </c>
      <c r="D17" s="531">
        <f>industrie!C19</f>
        <v>2300.9756770031408</v>
      </c>
      <c r="E17" s="531">
        <f>industrie!D19</f>
        <v>126674.4636567767</v>
      </c>
      <c r="F17" s="531">
        <f>industrie!E19</f>
        <v>5347.1070437402595</v>
      </c>
      <c r="G17" s="531">
        <f>industrie!F19</f>
        <v>50427.316317615318</v>
      </c>
      <c r="H17" s="531" t="str">
        <f>industrie!G19</f>
        <v>NE</v>
      </c>
      <c r="I17" s="531">
        <f>industrie!H19</f>
        <v>0</v>
      </c>
      <c r="J17" s="531" t="str">
        <f>industrie!I19</f>
        <v>NE</v>
      </c>
      <c r="K17" s="531">
        <f>industrie!J19</f>
        <v>31.535155854928213</v>
      </c>
      <c r="L17" s="531" t="str">
        <f>industrie!K19</f>
        <v>NE</v>
      </c>
      <c r="M17" s="531" t="str">
        <f>industrie!L19</f>
        <v>IE</v>
      </c>
      <c r="N17" s="531" t="str">
        <f>industrie!M19</f>
        <v>IE</v>
      </c>
      <c r="O17" s="531" t="str">
        <f>industrie!N19</f>
        <v>IE</v>
      </c>
      <c r="P17" s="531">
        <f>industrie!O19</f>
        <v>5437.0332048889768</v>
      </c>
      <c r="Q17" s="531" t="str">
        <f>industrie!P19</f>
        <v>NE</v>
      </c>
      <c r="R17" s="869" t="str">
        <f>industrie!Q19</f>
        <v>NE</v>
      </c>
      <c r="S17" s="562">
        <f>SUM(C17:R17)</f>
        <v>338347.16666910908</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294044.72768321435</v>
      </c>
      <c r="D20" s="564">
        <f>SUM(D9,D13,D16,D17,D18,D19)</f>
        <v>2608.0000659789107</v>
      </c>
      <c r="E20" s="564">
        <f t="shared" ref="E20:R20" si="5">SUM(E9,E13,E16,E17,E18,E19)</f>
        <v>410686.7315630652</v>
      </c>
      <c r="F20" s="564">
        <f t="shared" si="5"/>
        <v>7272.0114188098432</v>
      </c>
      <c r="G20" s="564">
        <f t="shared" si="5"/>
        <v>89220.521617989376</v>
      </c>
      <c r="H20" s="564">
        <f t="shared" si="5"/>
        <v>0</v>
      </c>
      <c r="I20" s="564">
        <f t="shared" si="5"/>
        <v>1.2369095753935855</v>
      </c>
      <c r="J20" s="564">
        <f t="shared" si="5"/>
        <v>0</v>
      </c>
      <c r="K20" s="564">
        <f t="shared" si="5"/>
        <v>265.99292127000768</v>
      </c>
      <c r="L20" s="564">
        <f t="shared" si="5"/>
        <v>0</v>
      </c>
      <c r="M20" s="564">
        <f t="shared" si="5"/>
        <v>0</v>
      </c>
      <c r="N20" s="564">
        <f t="shared" si="5"/>
        <v>0</v>
      </c>
      <c r="O20" s="564">
        <f t="shared" si="5"/>
        <v>0</v>
      </c>
      <c r="P20" s="564">
        <f t="shared" si="5"/>
        <v>28252.385293057792</v>
      </c>
      <c r="Q20" s="564">
        <f t="shared" si="5"/>
        <v>0</v>
      </c>
      <c r="R20" s="564">
        <f t="shared" si="5"/>
        <v>0</v>
      </c>
      <c r="S20" s="564">
        <f>SUM(C20:R20)</f>
        <v>832351.60747296095</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v>
      </c>
      <c r="G22" s="531">
        <f t="shared" si="6"/>
        <v>0</v>
      </c>
      <c r="H22" s="531">
        <f t="shared" si="6"/>
        <v>0</v>
      </c>
      <c r="I22" s="531">
        <f t="shared" si="6"/>
        <v>0</v>
      </c>
      <c r="J22" s="531">
        <f t="shared" si="6"/>
        <v>0</v>
      </c>
      <c r="K22" s="531">
        <f t="shared" si="6"/>
        <v>0</v>
      </c>
      <c r="L22" s="531">
        <f t="shared" si="6"/>
        <v>0</v>
      </c>
      <c r="M22" s="531">
        <f t="shared" si="6"/>
        <v>0</v>
      </c>
      <c r="N22" s="531">
        <f t="shared" si="6"/>
        <v>0</v>
      </c>
      <c r="O22" s="531">
        <f t="shared" si="6"/>
        <v>0</v>
      </c>
      <c r="P22" s="531">
        <f t="shared" si="6"/>
        <v>0</v>
      </c>
      <c r="Q22" s="531">
        <f t="shared" si="6"/>
        <v>0</v>
      </c>
      <c r="R22" s="869">
        <f t="shared" si="6"/>
        <v>0</v>
      </c>
      <c r="S22" s="950">
        <f>SUM(C22:R22)</f>
        <v>0</v>
      </c>
      <c r="T22" s="66"/>
    </row>
    <row r="23" spans="1:20" s="382" customFormat="1">
      <c r="A23" s="870" t="s">
        <v>645</v>
      </c>
      <c r="B23" s="639"/>
      <c r="C23" s="531">
        <f>'Eigen vloot'!B27</f>
        <v>0</v>
      </c>
      <c r="D23" s="531" t="str">
        <f>'Eigen vloot'!C27</f>
        <v>NO</v>
      </c>
      <c r="E23" s="531">
        <f>'Eigen vloot'!D27</f>
        <v>0</v>
      </c>
      <c r="F23" s="531">
        <f>'Eigen vloot'!E27</f>
        <v>0</v>
      </c>
      <c r="G23" s="531" t="str">
        <f>'Eigen vloot'!F27</f>
        <v>NO</v>
      </c>
      <c r="H23" s="531">
        <f>'Eigen vloot'!G27</f>
        <v>0</v>
      </c>
      <c r="I23" s="531">
        <f>'Eigen vloot'!H27</f>
        <v>0</v>
      </c>
      <c r="J23" s="531" t="str">
        <f>'Eigen vloot'!I27</f>
        <v>NO</v>
      </c>
      <c r="K23" s="531" t="str">
        <f>'Eigen vloot'!J27</f>
        <v>NO</v>
      </c>
      <c r="L23" s="531" t="str">
        <f>'Eigen vloot'!K27</f>
        <v>NO</v>
      </c>
      <c r="M23" s="531" t="str">
        <f>'Eigen vloot'!M27</f>
        <v>NO</v>
      </c>
      <c r="N23" s="531">
        <f>'Eigen vloot'!N27</f>
        <v>0</v>
      </c>
      <c r="O23" s="531" t="str">
        <f>'Eigen vloot'!O27</f>
        <v>NO</v>
      </c>
      <c r="P23" s="531" t="str">
        <f>'Eigen vloot'!P27</f>
        <v>NO</v>
      </c>
      <c r="Q23" s="531" t="str">
        <f>'Eigen vloot'!Q27</f>
        <v>NO</v>
      </c>
      <c r="R23" s="869">
        <f>'Eigen vloot'!R27</f>
        <v>0</v>
      </c>
      <c r="S23" s="562">
        <f>SUM(C23:R23)</f>
        <v>0</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113.91053152347332</v>
      </c>
      <c r="D25" s="531">
        <f t="shared" ref="D25:R25" si="7">SUM(D26:D29)</f>
        <v>0</v>
      </c>
      <c r="E25" s="531">
        <f t="shared" si="7"/>
        <v>0</v>
      </c>
      <c r="F25" s="531">
        <f t="shared" si="7"/>
        <v>0</v>
      </c>
      <c r="G25" s="531">
        <f t="shared" si="7"/>
        <v>0</v>
      </c>
      <c r="H25" s="531">
        <f t="shared" si="7"/>
        <v>4199.2947481230794</v>
      </c>
      <c r="I25" s="531">
        <f t="shared" si="7"/>
        <v>0</v>
      </c>
      <c r="J25" s="531">
        <f t="shared" si="7"/>
        <v>0</v>
      </c>
      <c r="K25" s="531">
        <f t="shared" si="7"/>
        <v>0</v>
      </c>
      <c r="L25" s="531">
        <f t="shared" si="7"/>
        <v>0</v>
      </c>
      <c r="M25" s="531">
        <f t="shared" si="7"/>
        <v>0</v>
      </c>
      <c r="N25" s="531">
        <f t="shared" si="7"/>
        <v>0</v>
      </c>
      <c r="O25" s="531">
        <f t="shared" si="7"/>
        <v>502.71853958816928</v>
      </c>
      <c r="P25" s="531">
        <f t="shared" si="7"/>
        <v>0</v>
      </c>
      <c r="Q25" s="531">
        <f t="shared" si="7"/>
        <v>0</v>
      </c>
      <c r="R25" s="869">
        <f t="shared" si="7"/>
        <v>0</v>
      </c>
      <c r="S25" s="562">
        <f>SUM(C25:R25)</f>
        <v>4815.923819234722</v>
      </c>
      <c r="T25" s="66"/>
    </row>
    <row r="26" spans="1:20" s="382" customFormat="1">
      <c r="A26" s="870" t="s">
        <v>645</v>
      </c>
      <c r="B26" s="867"/>
      <c r="C26" s="868">
        <f>transport!B51*10^9/3600</f>
        <v>113.91053152347332</v>
      </c>
      <c r="D26" s="868">
        <f>transport!C51*10^9/3600</f>
        <v>0</v>
      </c>
      <c r="E26" s="868">
        <f>transport!D51*10^9/3600</f>
        <v>0</v>
      </c>
      <c r="F26" s="868">
        <f>transport!E51*10^9/3600</f>
        <v>0</v>
      </c>
      <c r="G26" s="868">
        <f>transport!F51*10^9/3600</f>
        <v>0</v>
      </c>
      <c r="H26" s="868">
        <f>transport!G51*10^9/3600</f>
        <v>4199.2947481230794</v>
      </c>
      <c r="I26" s="868">
        <f>transport!H51*10^9/3600</f>
        <v>0</v>
      </c>
      <c r="J26" s="868">
        <f>transport!I51*10^9/3600</f>
        <v>0</v>
      </c>
      <c r="K26" s="868">
        <f>transport!J51*10^9/3600</f>
        <v>0</v>
      </c>
      <c r="L26" s="868">
        <f>transport!K51*10^9/3600</f>
        <v>0</v>
      </c>
      <c r="M26" s="868">
        <f>transport!L51*10^9/3600</f>
        <v>0</v>
      </c>
      <c r="N26" s="868">
        <f>transport!M51*10^9/3600</f>
        <v>0</v>
      </c>
      <c r="O26" s="868">
        <f>transport!N51*10^9/3600</f>
        <v>502.71853958816928</v>
      </c>
      <c r="P26" s="868">
        <f>transport!O51*10^9/3600</f>
        <v>0</v>
      </c>
      <c r="Q26" s="868">
        <f>transport!P51*10^9/3600</f>
        <v>0</v>
      </c>
      <c r="R26" s="868">
        <f>transport!Q51*10^9/3600</f>
        <v>0</v>
      </c>
      <c r="S26" s="562">
        <f>SUM(C26:R26)</f>
        <v>4815.923819234722</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3628.1279156291071</v>
      </c>
      <c r="D30" s="868">
        <f t="shared" ref="D30:R30" si="9">SUM(D31:D35)</f>
        <v>0</v>
      </c>
      <c r="E30" s="868">
        <f t="shared" si="9"/>
        <v>839.1934316795905</v>
      </c>
      <c r="F30" s="868">
        <f t="shared" si="9"/>
        <v>407.66431797820377</v>
      </c>
      <c r="G30" s="868">
        <f t="shared" si="9"/>
        <v>0</v>
      </c>
      <c r="H30" s="868">
        <f t="shared" si="9"/>
        <v>168026.18128498839</v>
      </c>
      <c r="I30" s="868">
        <f t="shared" si="9"/>
        <v>61758.018507585373</v>
      </c>
      <c r="J30" s="868">
        <f t="shared" si="9"/>
        <v>0</v>
      </c>
      <c r="K30" s="868">
        <f t="shared" si="9"/>
        <v>0</v>
      </c>
      <c r="L30" s="868">
        <f t="shared" si="9"/>
        <v>0</v>
      </c>
      <c r="M30" s="868">
        <f t="shared" si="9"/>
        <v>0</v>
      </c>
      <c r="N30" s="868">
        <f t="shared" si="9"/>
        <v>0</v>
      </c>
      <c r="O30" s="868">
        <f t="shared" si="9"/>
        <v>25080.147418834851</v>
      </c>
      <c r="P30" s="868">
        <f t="shared" si="9"/>
        <v>0</v>
      </c>
      <c r="Q30" s="868">
        <f t="shared" si="9"/>
        <v>0</v>
      </c>
      <c r="R30" s="869">
        <f t="shared" si="9"/>
        <v>0</v>
      </c>
      <c r="S30" s="562">
        <f>SUM(C30:R30)</f>
        <v>259739.33287669549</v>
      </c>
      <c r="T30" s="66"/>
    </row>
    <row r="31" spans="1:20" s="382" customFormat="1">
      <c r="A31" s="870" t="s">
        <v>645</v>
      </c>
      <c r="B31" s="639"/>
      <c r="C31" s="531">
        <f>transport!B14</f>
        <v>3628.1279156291071</v>
      </c>
      <c r="D31" s="531" t="str">
        <f>transport!C14</f>
        <v>NO</v>
      </c>
      <c r="E31" s="531">
        <f>transport!D14</f>
        <v>839.1934316795905</v>
      </c>
      <c r="F31" s="531">
        <f>transport!E14</f>
        <v>407.66431797820377</v>
      </c>
      <c r="G31" s="531" t="str">
        <f>transport!F14</f>
        <v>NO</v>
      </c>
      <c r="H31" s="531">
        <f>transport!G14</f>
        <v>168026.18128498839</v>
      </c>
      <c r="I31" s="531">
        <f>transport!H14</f>
        <v>61758.018507585373</v>
      </c>
      <c r="J31" s="531" t="str">
        <f>transport!I14</f>
        <v>NO</v>
      </c>
      <c r="K31" s="531" t="str">
        <f>transport!J14</f>
        <v>NO</v>
      </c>
      <c r="L31" s="531" t="str">
        <f>transport!K14</f>
        <v>NO</v>
      </c>
      <c r="M31" s="531" t="str">
        <f>transport!L14</f>
        <v>NO</v>
      </c>
      <c r="N31" s="531" t="str">
        <f>transport!M14</f>
        <v>NO</v>
      </c>
      <c r="O31" s="531">
        <f>transport!N14</f>
        <v>25080.147418834851</v>
      </c>
      <c r="P31" s="531" t="str">
        <f>transport!O14</f>
        <v>NO</v>
      </c>
      <c r="Q31" s="531" t="str">
        <f>transport!P14</f>
        <v>NO</v>
      </c>
      <c r="R31" s="869" t="str">
        <f>transport!Q14</f>
        <v>NO</v>
      </c>
      <c r="S31" s="562">
        <f>SUM(C31:R31)</f>
        <v>259739.33287669549</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3742.0384471525804</v>
      </c>
      <c r="D37" s="637">
        <f t="shared" ref="D37:R37" si="10">SUM(D22,D25,D30,D36)</f>
        <v>0</v>
      </c>
      <c r="E37" s="637">
        <f t="shared" si="10"/>
        <v>839.1934316795905</v>
      </c>
      <c r="F37" s="637">
        <f t="shared" si="10"/>
        <v>407.66431797820377</v>
      </c>
      <c r="G37" s="637">
        <f t="shared" si="10"/>
        <v>0</v>
      </c>
      <c r="H37" s="637">
        <f t="shared" si="10"/>
        <v>172225.47603311145</v>
      </c>
      <c r="I37" s="637">
        <f t="shared" si="10"/>
        <v>61758.018507585373</v>
      </c>
      <c r="J37" s="637">
        <f t="shared" si="10"/>
        <v>0</v>
      </c>
      <c r="K37" s="637">
        <f t="shared" si="10"/>
        <v>0</v>
      </c>
      <c r="L37" s="637">
        <f t="shared" si="10"/>
        <v>0</v>
      </c>
      <c r="M37" s="637">
        <f t="shared" si="10"/>
        <v>0</v>
      </c>
      <c r="N37" s="637">
        <f t="shared" si="10"/>
        <v>0</v>
      </c>
      <c r="O37" s="637">
        <f t="shared" si="10"/>
        <v>25582.865958423019</v>
      </c>
      <c r="P37" s="637">
        <f t="shared" si="10"/>
        <v>0</v>
      </c>
      <c r="Q37" s="637">
        <f t="shared" si="10"/>
        <v>0</v>
      </c>
      <c r="R37" s="637">
        <f t="shared" si="10"/>
        <v>0</v>
      </c>
      <c r="S37" s="637">
        <f>SUM(C37:R37)</f>
        <v>264555.25669593021</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1426.0798700969483</v>
      </c>
      <c r="D39" s="531">
        <f>+landbouw!C9</f>
        <v>0</v>
      </c>
      <c r="E39" s="531">
        <f>+landbouw!D9</f>
        <v>1362.8511787800001</v>
      </c>
      <c r="F39" s="531">
        <f>+landbouw!E9</f>
        <v>52.522336103573416</v>
      </c>
      <c r="G39" s="531">
        <f>+landbouw!F9</f>
        <v>5317.0812783195406</v>
      </c>
      <c r="H39" s="531" t="str">
        <f>+landbouw!G9</f>
        <v>NE</v>
      </c>
      <c r="I39" s="531" t="str">
        <f>+landbouw!H9</f>
        <v>NE</v>
      </c>
      <c r="J39" s="531" t="str">
        <f>+landbouw!I9</f>
        <v>NE</v>
      </c>
      <c r="K39" s="531">
        <f>+landbouw!J9</f>
        <v>169.10557074586711</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8327.6402340459299</v>
      </c>
      <c r="T39" s="66"/>
    </row>
    <row r="40" spans="1:20" s="382" customFormat="1" ht="15" thickBot="1">
      <c r="A40" s="654" t="s">
        <v>537</v>
      </c>
      <c r="B40" s="748"/>
      <c r="C40" s="749">
        <f>IF(Onbekend_ele_kWh="---",0,Onbekend_ele_kWh)/1000+IF(REST_rest_ele_kWh="---",0,REST_rest_ele_kWh)/1000</f>
        <v>2389.1150499999999</v>
      </c>
      <c r="D40" s="749" t="s">
        <v>637</v>
      </c>
      <c r="E40" s="749">
        <f>IF(onbekend_gas_kWh="---",0,onbekend_gas_kWh)/1000+IF(REST_rest_gas_kWh="---",0,REST_rest_gas_kWh)/1000</f>
        <v>10642.446470000001</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13031.561520000001</v>
      </c>
      <c r="T40" s="66"/>
    </row>
    <row r="41" spans="1:20" s="382" customFormat="1" ht="15.75" thickBot="1">
      <c r="A41" s="537" t="s">
        <v>538</v>
      </c>
      <c r="B41" s="642"/>
      <c r="C41" s="637">
        <f>SUM(C39:C40)</f>
        <v>3815.1949200969484</v>
      </c>
      <c r="D41" s="637">
        <f t="shared" ref="D41:R41" si="11">SUM(D39:D40)</f>
        <v>0</v>
      </c>
      <c r="E41" s="637">
        <f t="shared" si="11"/>
        <v>12005.297648780001</v>
      </c>
      <c r="F41" s="637">
        <f t="shared" si="11"/>
        <v>52.522336103573416</v>
      </c>
      <c r="G41" s="637">
        <f t="shared" si="11"/>
        <v>5317.0812783195406</v>
      </c>
      <c r="H41" s="637">
        <f t="shared" si="11"/>
        <v>0</v>
      </c>
      <c r="I41" s="637">
        <f t="shared" si="11"/>
        <v>0</v>
      </c>
      <c r="J41" s="637">
        <f t="shared" si="11"/>
        <v>0</v>
      </c>
      <c r="K41" s="637">
        <f t="shared" si="11"/>
        <v>169.10557074586711</v>
      </c>
      <c r="L41" s="637">
        <f t="shared" si="11"/>
        <v>0</v>
      </c>
      <c r="M41" s="637">
        <f t="shared" si="11"/>
        <v>0</v>
      </c>
      <c r="N41" s="637">
        <f t="shared" si="11"/>
        <v>0</v>
      </c>
      <c r="O41" s="637">
        <f t="shared" si="11"/>
        <v>0</v>
      </c>
      <c r="P41" s="637">
        <f t="shared" si="11"/>
        <v>0</v>
      </c>
      <c r="Q41" s="637">
        <f t="shared" si="11"/>
        <v>0</v>
      </c>
      <c r="R41" s="637">
        <f t="shared" si="11"/>
        <v>0</v>
      </c>
      <c r="S41" s="637">
        <f>SUM(C41:R41)</f>
        <v>21359.201754045927</v>
      </c>
      <c r="T41" s="66"/>
    </row>
    <row r="42" spans="1:20" s="382" customFormat="1" ht="17.25" thickTop="1" thickBot="1">
      <c r="A42" s="538" t="s">
        <v>96</v>
      </c>
      <c r="B42" s="630"/>
      <c r="C42" s="539">
        <f t="shared" ref="C42:S42" si="12">C37+C20+C41</f>
        <v>301601.9610504639</v>
      </c>
      <c r="D42" s="539">
        <f t="shared" si="12"/>
        <v>2608.0000659789107</v>
      </c>
      <c r="E42" s="539">
        <f t="shared" si="12"/>
        <v>423531.22264352476</v>
      </c>
      <c r="F42" s="539">
        <f t="shared" si="12"/>
        <v>7732.1980728916205</v>
      </c>
      <c r="G42" s="539">
        <f t="shared" si="12"/>
        <v>94537.602896308919</v>
      </c>
      <c r="H42" s="539">
        <f t="shared" si="12"/>
        <v>172225.47603311145</v>
      </c>
      <c r="I42" s="539">
        <f t="shared" si="12"/>
        <v>61759.25541716077</v>
      </c>
      <c r="J42" s="539">
        <f t="shared" si="12"/>
        <v>0</v>
      </c>
      <c r="K42" s="539">
        <f t="shared" si="12"/>
        <v>435.0984920158748</v>
      </c>
      <c r="L42" s="539">
        <f t="shared" si="12"/>
        <v>0</v>
      </c>
      <c r="M42" s="539">
        <f t="shared" si="12"/>
        <v>0</v>
      </c>
      <c r="N42" s="539">
        <f t="shared" si="12"/>
        <v>0</v>
      </c>
      <c r="O42" s="539">
        <f t="shared" si="12"/>
        <v>25582.865958423019</v>
      </c>
      <c r="P42" s="539">
        <f t="shared" si="12"/>
        <v>28252.385293057792</v>
      </c>
      <c r="Q42" s="539">
        <f t="shared" si="12"/>
        <v>0</v>
      </c>
      <c r="R42" s="539">
        <f t="shared" si="12"/>
        <v>0</v>
      </c>
      <c r="S42" s="539">
        <f t="shared" si="12"/>
        <v>1118266.0659229371</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769.67211716898532</v>
      </c>
      <c r="D55" s="531">
        <f t="shared" ref="D55:R55" si="13">SUM(D56:D58)</f>
        <v>0</v>
      </c>
      <c r="E55" s="531">
        <f t="shared" si="13"/>
        <v>1173.3933161218981</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1943.0654332908834</v>
      </c>
    </row>
    <row r="56" spans="1:19">
      <c r="A56" s="899" t="s">
        <v>197</v>
      </c>
      <c r="B56" s="652"/>
      <c r="C56" s="531">
        <f>'Eigen gebouwen'!B10</f>
        <v>394.69174264434929</v>
      </c>
      <c r="D56" s="531">
        <f>'Eigen gebouwen'!C10</f>
        <v>0</v>
      </c>
      <c r="E56" s="531">
        <f>'Eigen gebouwen'!D10</f>
        <v>1173.3933161218981</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1568.0850587662474</v>
      </c>
    </row>
    <row r="57" spans="1:19">
      <c r="A57" s="900" t="s">
        <v>410</v>
      </c>
      <c r="B57" s="652"/>
      <c r="C57" s="531">
        <f>'Eigen openbare verlichting'!B10</f>
        <v>374.98037452463598</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374.98037452463598</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13971.891201684932</v>
      </c>
      <c r="D59" s="868">
        <f t="shared" ref="D59:R59" si="15">SUM(D60:D61)</f>
        <v>60.455083287186135</v>
      </c>
      <c r="E59" s="868">
        <f t="shared" si="15"/>
        <v>18251.164244573196</v>
      </c>
      <c r="F59" s="868">
        <f t="shared" si="15"/>
        <v>28.476264469570179</v>
      </c>
      <c r="G59" s="868">
        <f t="shared" si="15"/>
        <v>2550.7003909753244</v>
      </c>
      <c r="H59" s="868">
        <f t="shared" si="15"/>
        <v>0</v>
      </c>
      <c r="I59" s="868">
        <f t="shared" si="15"/>
        <v>0.3079904842730028</v>
      </c>
      <c r="J59" s="868">
        <f t="shared" si="15"/>
        <v>0</v>
      </c>
      <c r="K59" s="868">
        <f t="shared" si="15"/>
        <v>2.0862885874937211E-2</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34863.016038360358</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13971.891201684932</v>
      </c>
      <c r="D61" s="531">
        <f>tertiair!C21</f>
        <v>60.455083287186135</v>
      </c>
      <c r="E61" s="531">
        <f>tertiair!D21</f>
        <v>18251.164244573196</v>
      </c>
      <c r="F61" s="531">
        <f>tertiair!E21</f>
        <v>28.476264469570179</v>
      </c>
      <c r="G61" s="531">
        <f>tertiair!F21</f>
        <v>2550.7003909753244</v>
      </c>
      <c r="H61" s="531" t="str">
        <f>tertiair!G21</f>
        <v>NE</v>
      </c>
      <c r="I61" s="531">
        <f>tertiair!H21</f>
        <v>0.3079904842730028</v>
      </c>
      <c r="J61" s="531" t="str">
        <f>tertiair!I21</f>
        <v>NE</v>
      </c>
      <c r="K61" s="531">
        <f>tertiair!J21</f>
        <v>2.0862885874937211E-2</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34863.016038360358</v>
      </c>
    </row>
    <row r="62" spans="1:19" ht="14.45" customHeight="1">
      <c r="A62" s="647" t="s">
        <v>644</v>
      </c>
      <c r="B62" s="652"/>
      <c r="C62" s="531">
        <f>huishoudens!B13</f>
        <v>8758.9395665598095</v>
      </c>
      <c r="D62" s="531">
        <f>huishoudens!C13</f>
        <v>16.147417689094169</v>
      </c>
      <c r="E62" s="531">
        <f>huishoudens!D13</f>
        <v>37945.920556375182</v>
      </c>
      <c r="F62" s="531">
        <f>huishoudens!E13</f>
        <v>408.47702867122536</v>
      </c>
      <c r="G62" s="531">
        <f>huishoudens!F13</f>
        <v>7807.0854242245496</v>
      </c>
      <c r="H62" s="531" t="str">
        <f>huishoudens!G13</f>
        <v>NE</v>
      </c>
      <c r="I62" s="531" t="str">
        <f>huishoudens!H13</f>
        <v>NE</v>
      </c>
      <c r="J62" s="531" t="str">
        <f>huishoudens!I13</f>
        <v>NE</v>
      </c>
      <c r="K62" s="531">
        <f>huishoudens!J13</f>
        <v>82.977186071063173</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55019.547179590918</v>
      </c>
    </row>
    <row r="63" spans="1:19">
      <c r="A63" s="647" t="s">
        <v>496</v>
      </c>
      <c r="B63" s="660" t="s">
        <v>493</v>
      </c>
      <c r="C63" s="531">
        <f>industrie!B23</f>
        <v>23856.876338967544</v>
      </c>
      <c r="D63" s="531">
        <f>industrie!C23</f>
        <v>574.09280133097411</v>
      </c>
      <c r="E63" s="531">
        <f>industrie!D23</f>
        <v>25588.241658668896</v>
      </c>
      <c r="F63" s="531">
        <f>industrie!E23</f>
        <v>1213.7932989290389</v>
      </c>
      <c r="G63" s="531">
        <f>industrie!F23</f>
        <v>13464.09345680329</v>
      </c>
      <c r="H63" s="531" t="str">
        <f>industrie!G23</f>
        <v>NE</v>
      </c>
      <c r="I63" s="531">
        <f>industrie!H23</f>
        <v>0</v>
      </c>
      <c r="J63" s="531" t="str">
        <f>industrie!I23</f>
        <v>NE</v>
      </c>
      <c r="K63" s="531">
        <f>industrie!J23</f>
        <v>11.163445172644586</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64708.260999872386</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47357.379224381271</v>
      </c>
      <c r="D66" s="564">
        <f t="shared" ref="D66:E66" si="17">SUM(D55,D59,D62,D63,D64,D65)</f>
        <v>650.69530230725445</v>
      </c>
      <c r="E66" s="564">
        <f t="shared" si="17"/>
        <v>82958.71977573917</v>
      </c>
      <c r="F66" s="564">
        <f t="shared" ref="F66" si="18">SUM(F55,F59,F62,F63,F64,F65)</f>
        <v>1650.7465920698344</v>
      </c>
      <c r="G66" s="564">
        <f t="shared" ref="G66" si="19">SUM(G55,G59,G62,G63,G64,G65)</f>
        <v>23821.879272003163</v>
      </c>
      <c r="H66" s="564">
        <f t="shared" ref="H66" si="20">SUM(H55,H59,H62,H63,H64,H65)</f>
        <v>0</v>
      </c>
      <c r="I66" s="564">
        <f t="shared" ref="I66" si="21">SUM(I55,I59,I62,I63,I64,I65)</f>
        <v>0.3079904842730028</v>
      </c>
      <c r="J66" s="564">
        <f t="shared" ref="J66" si="22">SUM(J55,J59,J62,J63,J64,J65)</f>
        <v>0</v>
      </c>
      <c r="K66" s="564">
        <f t="shared" ref="K66" si="23">SUM(K55,K59,K62,K63,K64,K65)</f>
        <v>94.161494129582692</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156533.88965111453</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v>
      </c>
      <c r="G68" s="531">
        <f t="shared" si="31"/>
        <v>0</v>
      </c>
      <c r="H68" s="531">
        <f t="shared" si="31"/>
        <v>0</v>
      </c>
      <c r="I68" s="531">
        <f t="shared" si="31"/>
        <v>0</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0</v>
      </c>
    </row>
    <row r="69" spans="1:19">
      <c r="A69" s="900" t="s">
        <v>645</v>
      </c>
      <c r="B69" s="652"/>
      <c r="C69" s="531">
        <f>'Eigen vloot'!B31</f>
        <v>0</v>
      </c>
      <c r="D69" s="531" t="str">
        <f>'Eigen vloot'!C31</f>
        <v>NO</v>
      </c>
      <c r="E69" s="531">
        <f>'Eigen vloot'!D31</f>
        <v>0</v>
      </c>
      <c r="F69" s="531">
        <f>'Eigen vloot'!E31</f>
        <v>0</v>
      </c>
      <c r="G69" s="531" t="str">
        <f>'Eigen vloot'!F31</f>
        <v>NO</v>
      </c>
      <c r="H69" s="531">
        <f>'Eigen vloot'!G31</f>
        <v>0</v>
      </c>
      <c r="I69" s="531">
        <f>'Eigen vloot'!H31</f>
        <v>0</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0</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18.345862826759031</v>
      </c>
      <c r="D71" s="531">
        <f t="shared" ref="D71:R71" si="32">SUM(D72:D75)</f>
        <v>0</v>
      </c>
      <c r="E71" s="531">
        <f t="shared" si="32"/>
        <v>0</v>
      </c>
      <c r="F71" s="531">
        <f t="shared" si="32"/>
        <v>0</v>
      </c>
      <c r="G71" s="531">
        <f t="shared" si="32"/>
        <v>0</v>
      </c>
      <c r="H71" s="531">
        <f t="shared" si="32"/>
        <v>1121.2116977488622</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1139.5575605756212</v>
      </c>
    </row>
    <row r="72" spans="1:19">
      <c r="A72" s="904" t="s">
        <v>645</v>
      </c>
      <c r="B72" s="903"/>
      <c r="C72" s="876">
        <f>transport!B51*transport!B56*10^9/3600</f>
        <v>18.345862826759031</v>
      </c>
      <c r="D72" s="876">
        <f>transport!C51*transport!C56*10^9/3600</f>
        <v>0</v>
      </c>
      <c r="E72" s="876">
        <f>transport!D51*transport!D56*10^9/3600</f>
        <v>0</v>
      </c>
      <c r="F72" s="876">
        <f>transport!E51*transport!E56*10^9/3600</f>
        <v>0</v>
      </c>
      <c r="G72" s="876">
        <f>transport!F51*transport!F56*10^9/3600</f>
        <v>0</v>
      </c>
      <c r="H72" s="876">
        <f>transport!G51*transport!G56*10^9/3600</f>
        <v>1121.2116977488622</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1139.5575605756212</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584.32821063915958</v>
      </c>
      <c r="D76" s="876">
        <f t="shared" ref="D76:R76" si="34">SUM(D77:D81)</f>
        <v>0</v>
      </c>
      <c r="E76" s="876">
        <f t="shared" si="34"/>
        <v>169.51707319927729</v>
      </c>
      <c r="F76" s="876">
        <f t="shared" si="34"/>
        <v>92.539800181052257</v>
      </c>
      <c r="G76" s="876">
        <f t="shared" si="34"/>
        <v>0</v>
      </c>
      <c r="H76" s="876">
        <f t="shared" si="34"/>
        <v>44862.990403091899</v>
      </c>
      <c r="I76" s="876">
        <f t="shared" si="34"/>
        <v>15377.746608388758</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61087.122095500141</v>
      </c>
    </row>
    <row r="77" spans="1:19">
      <c r="A77" s="905" t="s">
        <v>645</v>
      </c>
      <c r="B77" s="658"/>
      <c r="C77" s="536">
        <f>transport!B18</f>
        <v>584.32821063915958</v>
      </c>
      <c r="D77" s="536" t="str">
        <f>transport!C18</f>
        <v>NO</v>
      </c>
      <c r="E77" s="536">
        <f>transport!D18</f>
        <v>169.51707319927729</v>
      </c>
      <c r="F77" s="536">
        <f>transport!E18</f>
        <v>92.539800181052257</v>
      </c>
      <c r="G77" s="536" t="str">
        <f>transport!F18</f>
        <v>NO</v>
      </c>
      <c r="H77" s="536">
        <f>transport!G18</f>
        <v>44862.990403091899</v>
      </c>
      <c r="I77" s="536">
        <f>transport!H18</f>
        <v>15377.746608388758</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61087.122095500141</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602.67407346591858</v>
      </c>
      <c r="D83" s="564">
        <f t="shared" ref="D83:R83" si="35">SUM(D68,D71,D76,D82)</f>
        <v>0</v>
      </c>
      <c r="E83" s="564">
        <f t="shared" si="35"/>
        <v>169.51707319927729</v>
      </c>
      <c r="F83" s="564">
        <f t="shared" si="35"/>
        <v>92.539800181052257</v>
      </c>
      <c r="G83" s="564">
        <f t="shared" si="35"/>
        <v>0</v>
      </c>
      <c r="H83" s="564">
        <f t="shared" si="35"/>
        <v>45984.202100840761</v>
      </c>
      <c r="I83" s="564">
        <f t="shared" si="35"/>
        <v>15377.746608388758</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62226.679656075765</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229.67732067345904</v>
      </c>
      <c r="D85" s="536">
        <f>+landbouw!C13</f>
        <v>0</v>
      </c>
      <c r="E85" s="536">
        <f>+landbouw!D13</f>
        <v>275.29593811356006</v>
      </c>
      <c r="F85" s="536">
        <f>+landbouw!E13</f>
        <v>11.922570295511166</v>
      </c>
      <c r="G85" s="536">
        <f>+landbouw!F13</f>
        <v>1419.6607013113173</v>
      </c>
      <c r="H85" s="536" t="str">
        <f>+landbouw!G13</f>
        <v>NE</v>
      </c>
      <c r="I85" s="536" t="str">
        <f>+landbouw!H13</f>
        <v>NE</v>
      </c>
      <c r="J85" s="536" t="str">
        <f>+landbouw!I13</f>
        <v>NE</v>
      </c>
      <c r="K85" s="536">
        <f>+landbouw!J13</f>
        <v>59.863372044036957</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1996.4199024378843</v>
      </c>
    </row>
    <row r="86" spans="1:20" ht="15" thickBot="1">
      <c r="A86" s="650" t="s">
        <v>537</v>
      </c>
      <c r="B86" s="658"/>
      <c r="C86" s="536">
        <f>C40*'EF ele_warmte'!B13</f>
        <v>384.77896993759083</v>
      </c>
      <c r="D86" s="536" t="s">
        <v>637</v>
      </c>
      <c r="E86" s="536">
        <f>E40*EF_CO2_aardgas</f>
        <v>2149.7741869400002</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2534.5531568775909</v>
      </c>
    </row>
    <row r="87" spans="1:20" ht="15.75" thickBot="1">
      <c r="A87" s="648" t="s">
        <v>538</v>
      </c>
      <c r="B87" s="659"/>
      <c r="C87" s="564">
        <f>SUM(C85:C86)</f>
        <v>614.45629061104989</v>
      </c>
      <c r="D87" s="564">
        <f t="shared" ref="D87:R87" si="36">SUM(D85:D86)</f>
        <v>0</v>
      </c>
      <c r="E87" s="564">
        <f t="shared" si="36"/>
        <v>2425.0701250535603</v>
      </c>
      <c r="F87" s="564">
        <f t="shared" si="36"/>
        <v>11.922570295511166</v>
      </c>
      <c r="G87" s="564">
        <f t="shared" si="36"/>
        <v>1419.6607013113173</v>
      </c>
      <c r="H87" s="564">
        <f t="shared" si="36"/>
        <v>0</v>
      </c>
      <c r="I87" s="564">
        <f t="shared" si="36"/>
        <v>0</v>
      </c>
      <c r="J87" s="564">
        <f t="shared" si="36"/>
        <v>0</v>
      </c>
      <c r="K87" s="564">
        <f t="shared" si="36"/>
        <v>59.863372044036957</v>
      </c>
      <c r="L87" s="564">
        <f t="shared" si="36"/>
        <v>0</v>
      </c>
      <c r="M87" s="564">
        <f t="shared" si="36"/>
        <v>0</v>
      </c>
      <c r="N87" s="564">
        <f t="shared" si="36"/>
        <v>0</v>
      </c>
      <c r="O87" s="564">
        <f t="shared" si="36"/>
        <v>0</v>
      </c>
      <c r="P87" s="564">
        <f t="shared" si="36"/>
        <v>0</v>
      </c>
      <c r="Q87" s="564">
        <f t="shared" si="36"/>
        <v>0</v>
      </c>
      <c r="R87" s="565">
        <f t="shared" si="36"/>
        <v>0</v>
      </c>
      <c r="S87" s="566">
        <f>SUM(S85:S86)</f>
        <v>4530.9730593154754</v>
      </c>
    </row>
    <row r="88" spans="1:20" ht="16.5" thickBot="1">
      <c r="A88" s="661" t="s">
        <v>96</v>
      </c>
      <c r="B88" s="662"/>
      <c r="C88" s="569">
        <f t="shared" ref="C88:S88" si="37">C66+C83+C87</f>
        <v>48574.509588458241</v>
      </c>
      <c r="D88" s="569">
        <f t="shared" si="37"/>
        <v>650.69530230725445</v>
      </c>
      <c r="E88" s="569">
        <f t="shared" si="37"/>
        <v>85553.306973992017</v>
      </c>
      <c r="F88" s="569">
        <f t="shared" si="37"/>
        <v>1755.2089625463977</v>
      </c>
      <c r="G88" s="569">
        <f t="shared" si="37"/>
        <v>25241.53997331448</v>
      </c>
      <c r="H88" s="569">
        <f t="shared" si="37"/>
        <v>45984.202100840761</v>
      </c>
      <c r="I88" s="569">
        <f t="shared" si="37"/>
        <v>15378.05459887303</v>
      </c>
      <c r="J88" s="569">
        <f t="shared" si="37"/>
        <v>0</v>
      </c>
      <c r="K88" s="569">
        <f t="shared" si="37"/>
        <v>154.02486617361964</v>
      </c>
      <c r="L88" s="569">
        <f t="shared" si="37"/>
        <v>0</v>
      </c>
      <c r="M88" s="569">
        <f t="shared" si="37"/>
        <v>0</v>
      </c>
      <c r="N88" s="569">
        <f t="shared" si="37"/>
        <v>0</v>
      </c>
      <c r="O88" s="569">
        <f t="shared" si="37"/>
        <v>0</v>
      </c>
      <c r="P88" s="569">
        <f t="shared" si="37"/>
        <v>0</v>
      </c>
      <c r="Q88" s="569">
        <f t="shared" si="37"/>
        <v>0</v>
      </c>
      <c r="R88" s="569">
        <f t="shared" si="37"/>
        <v>0</v>
      </c>
      <c r="S88" s="569">
        <f t="shared" si="37"/>
        <v>223291.54236650578</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0.16105501906975592</v>
      </c>
      <c r="D90" s="613">
        <f t="shared" si="38"/>
        <v>0.24949972616776622</v>
      </c>
      <c r="E90" s="758">
        <f t="shared" si="38"/>
        <v>0.20200000000000004</v>
      </c>
      <c r="F90" s="613">
        <f t="shared" si="38"/>
        <v>0.22699999999999998</v>
      </c>
      <c r="G90" s="613">
        <f t="shared" si="38"/>
        <v>0.26700000000000002</v>
      </c>
      <c r="H90" s="613">
        <f t="shared" si="38"/>
        <v>0.26700000000000002</v>
      </c>
      <c r="I90" s="613">
        <f t="shared" si="38"/>
        <v>0.24899999999999997</v>
      </c>
      <c r="J90" s="613">
        <f t="shared" si="38"/>
        <v>0</v>
      </c>
      <c r="K90" s="613">
        <f t="shared" si="38"/>
        <v>0.35399999999999993</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51921.805789429578</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30169.866279823618</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30.363151571927638</v>
      </c>
      <c r="C103" s="582">
        <f>'lokale energieproductie'!B8*IFERROR(SUM(D103:F103,I103)/SUM(D103:F103,I103:L103),0)</f>
        <v>2170.911458625646</v>
      </c>
      <c r="D103" s="754">
        <f>'lokale energieproductie'!C8</f>
        <v>2718.898081506688</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38.027490356365831</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549.21741246435101</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82122.035220825128</v>
      </c>
      <c r="C105" s="587">
        <f>SUM(C99:C104)</f>
        <v>2170.911458625646</v>
      </c>
      <c r="D105" s="588">
        <f t="shared" ref="D105:N105" si="39">SUM(D103:D104)</f>
        <v>2718.898081506688</v>
      </c>
      <c r="E105" s="588">
        <f t="shared" si="39"/>
        <v>0</v>
      </c>
      <c r="F105" s="588">
        <f t="shared" si="39"/>
        <v>0</v>
      </c>
      <c r="G105" s="588">
        <f t="shared" si="39"/>
        <v>0</v>
      </c>
      <c r="H105" s="588">
        <f t="shared" si="39"/>
        <v>0</v>
      </c>
      <c r="I105" s="588">
        <f t="shared" si="39"/>
        <v>0</v>
      </c>
      <c r="J105" s="588">
        <f t="shared" si="39"/>
        <v>0</v>
      </c>
      <c r="K105" s="588">
        <f t="shared" si="39"/>
        <v>0</v>
      </c>
      <c r="L105" s="588">
        <f t="shared" si="39"/>
        <v>38.027490356365831</v>
      </c>
      <c r="M105" s="588">
        <f t="shared" si="39"/>
        <v>0</v>
      </c>
      <c r="N105" s="588">
        <f t="shared" si="39"/>
        <v>0</v>
      </c>
      <c r="O105" s="589">
        <f>SUM(O103:O104)</f>
        <v>549.21741246435101</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35.973295170023135</v>
      </c>
      <c r="C114" s="600">
        <f>'lokale energieproductie'!B17*IFERROR(SUM(D114:F114,I114)/SUM(D114:F114,I114:L114),0)</f>
        <v>2572.0267708088868</v>
      </c>
      <c r="D114" s="610">
        <f>'lokale energieproductie'!C17</f>
        <v>3221.2638728081902</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45.053759716745674</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650.69530230725445</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35.973295170023135</v>
      </c>
      <c r="C117" s="587">
        <f>SUM(C114:C116)</f>
        <v>2572.0267708088868</v>
      </c>
      <c r="D117" s="587">
        <f t="shared" ref="D117:N117" si="40">SUM(D114:D116)</f>
        <v>3221.2638728081902</v>
      </c>
      <c r="E117" s="587">
        <f t="shared" si="40"/>
        <v>0</v>
      </c>
      <c r="F117" s="587">
        <f t="shared" si="40"/>
        <v>0</v>
      </c>
      <c r="G117" s="587">
        <f t="shared" si="40"/>
        <v>0</v>
      </c>
      <c r="H117" s="587">
        <f t="shared" si="40"/>
        <v>0</v>
      </c>
      <c r="I117" s="587">
        <f t="shared" si="40"/>
        <v>0</v>
      </c>
      <c r="J117" s="587">
        <f t="shared" si="40"/>
        <v>0</v>
      </c>
      <c r="K117" s="587">
        <f t="shared" si="40"/>
        <v>0</v>
      </c>
      <c r="L117" s="587">
        <f t="shared" si="40"/>
        <v>45.053759716745674</v>
      </c>
      <c r="M117" s="587">
        <f t="shared" si="40"/>
        <v>0</v>
      </c>
      <c r="N117" s="587">
        <f t="shared" si="40"/>
        <v>0</v>
      </c>
      <c r="O117" s="587">
        <f>SUM(O114:O116)</f>
        <v>650.69530230725445</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54384.766256593037</v>
      </c>
      <c r="C4" s="955">
        <f>huishoudens!C9</f>
        <v>64.719180005177549</v>
      </c>
      <c r="D4" s="955">
        <f>huishoudens!D9</f>
        <v>187851.09186324346</v>
      </c>
      <c r="E4" s="955">
        <f>huishoudens!E9</f>
        <v>1799.4582760846931</v>
      </c>
      <c r="F4" s="955">
        <f>huishoudens!F9</f>
        <v>29240.020315447749</v>
      </c>
      <c r="G4" s="955" t="str">
        <f>huishoudens!G9</f>
        <v>NE</v>
      </c>
      <c r="H4" s="955" t="str">
        <f>huishoudens!H9</f>
        <v>NE</v>
      </c>
      <c r="I4" s="955" t="str">
        <f>huishoudens!I9</f>
        <v xml:space="preserve">NE </v>
      </c>
      <c r="J4" s="955">
        <f>huishoudens!J9</f>
        <v>234.39883070921803</v>
      </c>
      <c r="K4" s="955" t="str">
        <f>huishoudens!K9</f>
        <v>NE</v>
      </c>
      <c r="L4" s="955">
        <f>huishoudens!L9</f>
        <v>0</v>
      </c>
      <c r="M4" s="955">
        <f>huishoudens!M9</f>
        <v>0</v>
      </c>
      <c r="N4" s="955" t="str">
        <f>huishoudens!N9</f>
        <v>NE</v>
      </c>
      <c r="O4" s="955">
        <f>huishoudens!O9</f>
        <v>20533.269070793831</v>
      </c>
      <c r="P4" s="955" t="str">
        <f>huishoudens!P9</f>
        <v>NE</v>
      </c>
      <c r="Q4" s="956" t="str">
        <f>huishoudens!Q9</f>
        <v>NE</v>
      </c>
      <c r="R4" s="957">
        <f>SUM(B4:Q4)</f>
        <v>294107.72379287716</v>
      </c>
    </row>
    <row r="5" spans="1:18">
      <c r="A5" s="385" t="s">
        <v>136</v>
      </c>
      <c r="B5" s="955">
        <f>tertiair!B17</f>
        <v>86752.286779919887</v>
      </c>
      <c r="C5" s="955">
        <f>tertiair!C17</f>
        <v>242.30520897059225</v>
      </c>
      <c r="D5" s="955">
        <f>tertiair!D17</f>
        <v>90352.298240461358</v>
      </c>
      <c r="E5" s="955">
        <f>tertiair!E17</f>
        <v>125.44609898489065</v>
      </c>
      <c r="F5" s="955">
        <f>tertiair!F17</f>
        <v>9553.1849849263072</v>
      </c>
      <c r="G5" s="955" t="str">
        <f>tertiair!G17</f>
        <v>NE</v>
      </c>
      <c r="H5" s="955">
        <f>tertiair!H17</f>
        <v>1.2369095753935855</v>
      </c>
      <c r="I5" s="955" t="str">
        <f>tertiair!I17</f>
        <v>NE</v>
      </c>
      <c r="J5" s="955">
        <f>tertiair!J17</f>
        <v>5.8934705861404549E-2</v>
      </c>
      <c r="K5" s="955" t="str">
        <f>tertiair!K17</f>
        <v>NE</v>
      </c>
      <c r="L5" s="955" t="str">
        <f>tertiair!L17</f>
        <v>IE</v>
      </c>
      <c r="M5" s="955" t="str">
        <f>tertiair!M17</f>
        <v>IE</v>
      </c>
      <c r="N5" s="955" t="str">
        <f>tertiair!N17</f>
        <v>IE</v>
      </c>
      <c r="O5" s="955">
        <f>tertiair!O17</f>
        <v>2282.0830173749873</v>
      </c>
      <c r="P5" s="955" t="str">
        <f>tertiair!P17</f>
        <v>NE</v>
      </c>
      <c r="Q5" s="956" t="str">
        <f>tertiair!Q17</f>
        <v>NE</v>
      </c>
      <c r="R5" s="958">
        <f t="shared" ref="R5:R14" si="0">SUM(B5:Q5)</f>
        <v>189308.90017491925</v>
      </c>
    </row>
    <row r="6" spans="1:18">
      <c r="A6" s="385" t="s">
        <v>174</v>
      </c>
      <c r="B6" s="955">
        <f>'openbare verlichting'!B8</f>
        <v>0</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0</v>
      </c>
    </row>
    <row r="7" spans="1:18">
      <c r="A7" s="385" t="s">
        <v>92</v>
      </c>
      <c r="B7" s="955">
        <f>landbouw!B9</f>
        <v>1426.0798700969483</v>
      </c>
      <c r="C7" s="955">
        <f>landbouw!C9</f>
        <v>0</v>
      </c>
      <c r="D7" s="955">
        <f>landbouw!D9</f>
        <v>1362.8511787800001</v>
      </c>
      <c r="E7" s="955">
        <f>landbouw!E9</f>
        <v>52.522336103573416</v>
      </c>
      <c r="F7" s="955">
        <f>landbouw!F9</f>
        <v>5317.0812783195406</v>
      </c>
      <c r="G7" s="955" t="str">
        <f>landbouw!G9</f>
        <v>NE</v>
      </c>
      <c r="H7" s="955" t="str">
        <f>landbouw!H9</f>
        <v>NE</v>
      </c>
      <c r="I7" s="955" t="str">
        <f>landbouw!I9</f>
        <v>NE</v>
      </c>
      <c r="J7" s="955">
        <f>landbouw!J9</f>
        <v>169.10557074586711</v>
      </c>
      <c r="K7" s="955" t="str">
        <f>landbouw!K9</f>
        <v>NE</v>
      </c>
      <c r="L7" s="955" t="str">
        <f>landbouw!L9</f>
        <v>IE</v>
      </c>
      <c r="M7" s="955" t="str">
        <f>landbouw!M9</f>
        <v>IE</v>
      </c>
      <c r="N7" s="955" t="str">
        <f>landbouw!N9</f>
        <v>IE</v>
      </c>
      <c r="O7" s="955">
        <f>landbouw!O9</f>
        <v>0</v>
      </c>
      <c r="P7" s="955" t="str">
        <f>landbouw!P9</f>
        <v>NE</v>
      </c>
      <c r="Q7" s="956" t="str">
        <f>landbouw!Q9</f>
        <v>NE</v>
      </c>
      <c r="R7" s="958">
        <f t="shared" si="0"/>
        <v>8327.6402340459299</v>
      </c>
    </row>
    <row r="8" spans="1:18">
      <c r="A8" s="385" t="s">
        <v>492</v>
      </c>
      <c r="B8" s="955">
        <f>industrie!B19</f>
        <v>148128.73561322971</v>
      </c>
      <c r="C8" s="955">
        <f>industrie!C19</f>
        <v>2300.9756770031408</v>
      </c>
      <c r="D8" s="955">
        <f>industrie!D19</f>
        <v>126674.4636567767</v>
      </c>
      <c r="E8" s="955">
        <f>industrie!E19</f>
        <v>5347.1070437402595</v>
      </c>
      <c r="F8" s="955">
        <f>industrie!F19</f>
        <v>50427.316317615318</v>
      </c>
      <c r="G8" s="955" t="str">
        <f>industrie!G19</f>
        <v>NE</v>
      </c>
      <c r="H8" s="955">
        <f>industrie!H19</f>
        <v>0</v>
      </c>
      <c r="I8" s="955" t="str">
        <f>industrie!I19</f>
        <v>NE</v>
      </c>
      <c r="J8" s="955">
        <f>industrie!J19</f>
        <v>31.535155854928213</v>
      </c>
      <c r="K8" s="955" t="str">
        <f>industrie!K19</f>
        <v>NE</v>
      </c>
      <c r="L8" s="955" t="str">
        <f>industrie!L19</f>
        <v>IE</v>
      </c>
      <c r="M8" s="955" t="str">
        <f>industrie!M19</f>
        <v>IE</v>
      </c>
      <c r="N8" s="955" t="str">
        <f>industrie!N19</f>
        <v>IE</v>
      </c>
      <c r="O8" s="955">
        <f>industrie!O19</f>
        <v>5437.0332048889768</v>
      </c>
      <c r="P8" s="955" t="str">
        <f>industrie!P19</f>
        <v>NE</v>
      </c>
      <c r="Q8" s="956" t="str">
        <f>industrie!Q19</f>
        <v>NE</v>
      </c>
      <c r="R8" s="958">
        <f t="shared" si="0"/>
        <v>338347.16666910908</v>
      </c>
    </row>
    <row r="9" spans="1:18" s="389" customFormat="1">
      <c r="A9" s="388" t="s">
        <v>457</v>
      </c>
      <c r="B9" s="959">
        <f>transport!B14</f>
        <v>3628.1279156291071</v>
      </c>
      <c r="C9" s="959" t="str">
        <f>transport!C14</f>
        <v>NO</v>
      </c>
      <c r="D9" s="959">
        <f>transport!D14</f>
        <v>839.1934316795905</v>
      </c>
      <c r="E9" s="959">
        <f>transport!E14</f>
        <v>407.66431797820377</v>
      </c>
      <c r="F9" s="959" t="str">
        <f>transport!F14</f>
        <v>NO</v>
      </c>
      <c r="G9" s="959">
        <f>transport!G14</f>
        <v>168026.18128498839</v>
      </c>
      <c r="H9" s="959">
        <f>transport!H14</f>
        <v>61758.018507585373</v>
      </c>
      <c r="I9" s="959" t="str">
        <f>transport!I14</f>
        <v>NO</v>
      </c>
      <c r="J9" s="959" t="str">
        <f>transport!J14</f>
        <v>NO</v>
      </c>
      <c r="K9" s="959" t="str">
        <f>transport!K14</f>
        <v>NO</v>
      </c>
      <c r="L9" s="959" t="str">
        <f>transport!L14</f>
        <v>NO</v>
      </c>
      <c r="M9" s="959" t="str">
        <f>transport!M14</f>
        <v>NO</v>
      </c>
      <c r="N9" s="959">
        <f>transport!N14</f>
        <v>25080.147418834851</v>
      </c>
      <c r="O9" s="959" t="str">
        <f>transport!O14</f>
        <v>NO</v>
      </c>
      <c r="P9" s="959" t="str">
        <f>transport!P14</f>
        <v>NO</v>
      </c>
      <c r="Q9" s="959" t="str">
        <f>transport!Q14</f>
        <v>NO</v>
      </c>
      <c r="R9" s="960">
        <f>SUM(B9:Q9)</f>
        <v>259739.33287669549</v>
      </c>
    </row>
    <row r="10" spans="1:18">
      <c r="A10" s="385" t="s">
        <v>447</v>
      </c>
      <c r="B10" s="955">
        <f>transport!B54</f>
        <v>113.91053152347332</v>
      </c>
      <c r="C10" s="955" t="str">
        <f>transport!C54</f>
        <v>NO</v>
      </c>
      <c r="D10" s="955" t="str">
        <f>transport!D54</f>
        <v>NO</v>
      </c>
      <c r="E10" s="955" t="str">
        <f>transport!E54</f>
        <v>NO</v>
      </c>
      <c r="F10" s="955" t="str">
        <f>transport!F54</f>
        <v>NO</v>
      </c>
      <c r="G10" s="955">
        <f>transport!G54</f>
        <v>4199.2947481230794</v>
      </c>
      <c r="H10" s="955" t="str">
        <f>transport!H54</f>
        <v>NO</v>
      </c>
      <c r="I10" s="955" t="str">
        <f>transport!I54</f>
        <v>NO</v>
      </c>
      <c r="J10" s="955" t="str">
        <f>transport!J54</f>
        <v>NO</v>
      </c>
      <c r="K10" s="955" t="str">
        <f>transport!K54</f>
        <v>NO</v>
      </c>
      <c r="L10" s="955" t="str">
        <f>transport!L54</f>
        <v>NO</v>
      </c>
      <c r="M10" s="955" t="str">
        <f>transport!M54</f>
        <v>NO</v>
      </c>
      <c r="N10" s="955">
        <f>transport!N54</f>
        <v>502.71853958816928</v>
      </c>
      <c r="O10" s="955" t="str">
        <f>transport!O54</f>
        <v>NO</v>
      </c>
      <c r="P10" s="955" t="str">
        <f>transport!P54</f>
        <v>NO</v>
      </c>
      <c r="Q10" s="956" t="str">
        <f>transport!Q54</f>
        <v xml:space="preserve">NO </v>
      </c>
      <c r="R10" s="958">
        <f t="shared" si="0"/>
        <v>4815.923819234722</v>
      </c>
    </row>
    <row r="11" spans="1:18">
      <c r="A11" s="385" t="s">
        <v>448</v>
      </c>
      <c r="B11" s="955">
        <f>'Eigen gebouwen'!B6</f>
        <v>2450.6640334716981</v>
      </c>
      <c r="C11" s="955">
        <f>'Eigen gebouwen'!C6</f>
        <v>0</v>
      </c>
      <c r="D11" s="955">
        <f>'Eigen gebouwen'!D6</f>
        <v>5808.8778025836536</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8259.5418360553522</v>
      </c>
    </row>
    <row r="12" spans="1:18">
      <c r="A12" s="385" t="s">
        <v>449</v>
      </c>
      <c r="B12" s="955">
        <f>'Eigen openbare verlichting'!B6</f>
        <v>2328.2750000000001</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2328.2750000000001</v>
      </c>
    </row>
    <row r="13" spans="1:18">
      <c r="A13" s="385" t="s">
        <v>450</v>
      </c>
      <c r="B13" s="955">
        <f>'Eigen vloot'!B27</f>
        <v>0</v>
      </c>
      <c r="C13" s="955" t="str">
        <f>'Eigen vloot'!C27</f>
        <v>NO</v>
      </c>
      <c r="D13" s="955">
        <f>'Eigen vloot'!D27</f>
        <v>0</v>
      </c>
      <c r="E13" s="955">
        <f>'Eigen vloot'!E27</f>
        <v>0</v>
      </c>
      <c r="F13" s="955" t="str">
        <f>'Eigen vloot'!F27</f>
        <v>NO</v>
      </c>
      <c r="G13" s="955">
        <f>'Eigen vloot'!G27</f>
        <v>0</v>
      </c>
      <c r="H13" s="955">
        <f>'Eigen vloot'!H27</f>
        <v>0</v>
      </c>
      <c r="I13" s="955" t="str">
        <f>'Eigen vloot'!I27</f>
        <v>NO</v>
      </c>
      <c r="J13" s="955" t="str">
        <f>'Eigen vloot'!J27</f>
        <v>NO</v>
      </c>
      <c r="K13" s="955" t="str">
        <f>'Eigen vloot'!K27</f>
        <v>NO</v>
      </c>
      <c r="L13" s="955" t="str">
        <f>'Eigen vloot'!L27</f>
        <v>NO</v>
      </c>
      <c r="M13" s="955" t="str">
        <f>'Eigen vloot'!M27</f>
        <v>NO</v>
      </c>
      <c r="N13" s="955">
        <f>'Eigen vloot'!N27</f>
        <v>0</v>
      </c>
      <c r="O13" s="955" t="str">
        <f>'Eigen vloot'!O27</f>
        <v>NO</v>
      </c>
      <c r="P13" s="955" t="str">
        <f>'Eigen vloot'!P27</f>
        <v>NO</v>
      </c>
      <c r="Q13" s="955" t="str">
        <f>'Eigen vloot'!Q27</f>
        <v>NO</v>
      </c>
      <c r="R13" s="958">
        <f t="shared" si="0"/>
        <v>0</v>
      </c>
    </row>
    <row r="14" spans="1:18">
      <c r="A14" s="390" t="s">
        <v>553</v>
      </c>
      <c r="B14" s="961">
        <f>'SECAP template'!C40</f>
        <v>2389.1150499999999</v>
      </c>
      <c r="C14" s="961" t="str">
        <f>'SECAP template'!D40</f>
        <v>NE</v>
      </c>
      <c r="D14" s="961">
        <f>'SECAP template'!E40</f>
        <v>10642.446470000001</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13031.561520000001</v>
      </c>
    </row>
    <row r="15" spans="1:18" s="393" customFormat="1">
      <c r="A15" s="391" t="s">
        <v>451</v>
      </c>
      <c r="B15" s="962">
        <f>SUM(B4:B14)</f>
        <v>301601.96105046396</v>
      </c>
      <c r="C15" s="962">
        <f t="shared" ref="C15:R15" si="1">SUM(C4:C14)</f>
        <v>2608.0000659789107</v>
      </c>
      <c r="D15" s="962">
        <f t="shared" si="1"/>
        <v>423531.22264352482</v>
      </c>
      <c r="E15" s="962">
        <f t="shared" si="1"/>
        <v>7732.1980728916205</v>
      </c>
      <c r="F15" s="962">
        <f t="shared" si="1"/>
        <v>94537.602896308919</v>
      </c>
      <c r="G15" s="962">
        <f t="shared" si="1"/>
        <v>172225.47603311145</v>
      </c>
      <c r="H15" s="962">
        <f t="shared" si="1"/>
        <v>61759.25541716077</v>
      </c>
      <c r="I15" s="962">
        <f t="shared" si="1"/>
        <v>0</v>
      </c>
      <c r="J15" s="962">
        <f t="shared" si="1"/>
        <v>435.0984920158748</v>
      </c>
      <c r="K15" s="962">
        <f t="shared" si="1"/>
        <v>0</v>
      </c>
      <c r="L15" s="962">
        <f t="shared" si="1"/>
        <v>0</v>
      </c>
      <c r="M15" s="962">
        <f t="shared" si="1"/>
        <v>0</v>
      </c>
      <c r="N15" s="962">
        <f t="shared" si="1"/>
        <v>25582.865958423019</v>
      </c>
      <c r="O15" s="962">
        <f t="shared" si="1"/>
        <v>28252.385293057792</v>
      </c>
      <c r="P15" s="962">
        <f t="shared" si="1"/>
        <v>0</v>
      </c>
      <c r="Q15" s="962">
        <f t="shared" si="1"/>
        <v>0</v>
      </c>
      <c r="R15" s="962">
        <f t="shared" si="1"/>
        <v>1118266.0659229371</v>
      </c>
    </row>
    <row r="17" spans="1:18">
      <c r="A17" s="394" t="s">
        <v>452</v>
      </c>
      <c r="B17" s="617">
        <f>huishoudens!B11</f>
        <v>0.16105501906975592</v>
      </c>
      <c r="C17" s="617">
        <f>huishoudens!C11</f>
        <v>0.24949972616776622</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8758.9395665598095</v>
      </c>
      <c r="C22" s="955">
        <f t="shared" ref="C22:C32" si="2">IFERROR(C4*$C$17,C4)</f>
        <v>16.147417689094169</v>
      </c>
      <c r="D22" s="955">
        <f t="shared" ref="D22:D32" si="3">IFERROR(D4*$D$17,D4)</f>
        <v>37945.920556375182</v>
      </c>
      <c r="E22" s="955">
        <f t="shared" ref="E22:E32" si="4">IFERROR(E4*$E$17,E4)</f>
        <v>408.47702867122536</v>
      </c>
      <c r="F22" s="955">
        <f t="shared" ref="F22:F32" si="5">IFERROR(F4*$F$17,F4)</f>
        <v>7807.0854242245496</v>
      </c>
      <c r="G22" s="955" t="str">
        <f t="shared" ref="G22:G32" si="6">IFERROR(G4*$G$17,G4)</f>
        <v>NE</v>
      </c>
      <c r="H22" s="955" t="str">
        <f t="shared" ref="H22:H32" si="7">IFERROR(H4*$H$17,H4)</f>
        <v>NE</v>
      </c>
      <c r="I22" s="955" t="str">
        <f t="shared" ref="I22:I32" si="8">IFERROR(I4*$I$17,I4)</f>
        <v xml:space="preserve">NE </v>
      </c>
      <c r="J22" s="955">
        <f t="shared" ref="J22:J32" si="9">IFERROR(J4*$J$17,J4)</f>
        <v>82.977186071063173</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55019.547179590918</v>
      </c>
    </row>
    <row r="23" spans="1:18">
      <c r="A23" s="385" t="s">
        <v>136</v>
      </c>
      <c r="B23" s="955">
        <f t="shared" ref="B23:B32" si="17">B5*$B$17</f>
        <v>13971.891201684932</v>
      </c>
      <c r="C23" s="955">
        <f t="shared" si="2"/>
        <v>60.455083287186135</v>
      </c>
      <c r="D23" s="955">
        <f t="shared" si="3"/>
        <v>18251.164244573196</v>
      </c>
      <c r="E23" s="955">
        <f t="shared" si="4"/>
        <v>28.476264469570179</v>
      </c>
      <c r="F23" s="955">
        <f t="shared" si="5"/>
        <v>2550.7003909753244</v>
      </c>
      <c r="G23" s="955" t="str">
        <f t="shared" si="6"/>
        <v>NE</v>
      </c>
      <c r="H23" s="955">
        <f t="shared" si="7"/>
        <v>0.3079904842730028</v>
      </c>
      <c r="I23" s="955" t="str">
        <f t="shared" si="8"/>
        <v>NE</v>
      </c>
      <c r="J23" s="955">
        <f t="shared" si="9"/>
        <v>2.0862885874937211E-2</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34863.016038360358</v>
      </c>
    </row>
    <row r="24" spans="1:18">
      <c r="A24" s="385" t="s">
        <v>174</v>
      </c>
      <c r="B24" s="955">
        <f t="shared" si="17"/>
        <v>0</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229.67732067345904</v>
      </c>
      <c r="C25" s="955">
        <f t="shared" si="2"/>
        <v>0</v>
      </c>
      <c r="D25" s="955">
        <f t="shared" si="3"/>
        <v>275.29593811356006</v>
      </c>
      <c r="E25" s="955">
        <f t="shared" si="4"/>
        <v>11.922570295511166</v>
      </c>
      <c r="F25" s="955">
        <f t="shared" si="5"/>
        <v>1419.6607013113173</v>
      </c>
      <c r="G25" s="955" t="str">
        <f t="shared" si="6"/>
        <v>NE</v>
      </c>
      <c r="H25" s="955" t="str">
        <f t="shared" si="7"/>
        <v>NE</v>
      </c>
      <c r="I25" s="955" t="str">
        <f t="shared" si="8"/>
        <v>NE</v>
      </c>
      <c r="J25" s="955">
        <f t="shared" si="9"/>
        <v>59.863372044036957</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1996.4199024378843</v>
      </c>
    </row>
    <row r="26" spans="1:18">
      <c r="A26" s="385" t="s">
        <v>492</v>
      </c>
      <c r="B26" s="955">
        <f t="shared" si="17"/>
        <v>23856.876338967544</v>
      </c>
      <c r="C26" s="955">
        <f t="shared" si="2"/>
        <v>574.09280133097411</v>
      </c>
      <c r="D26" s="955">
        <f t="shared" si="3"/>
        <v>25588.241658668896</v>
      </c>
      <c r="E26" s="955">
        <f t="shared" si="4"/>
        <v>1213.7932989290389</v>
      </c>
      <c r="F26" s="955">
        <f t="shared" si="5"/>
        <v>13464.09345680329</v>
      </c>
      <c r="G26" s="955" t="str">
        <f t="shared" si="6"/>
        <v>NE</v>
      </c>
      <c r="H26" s="955">
        <f t="shared" si="7"/>
        <v>0</v>
      </c>
      <c r="I26" s="955" t="str">
        <f t="shared" si="8"/>
        <v>NE</v>
      </c>
      <c r="J26" s="955">
        <f t="shared" si="9"/>
        <v>11.163445172644586</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64708.260999872386</v>
      </c>
    </row>
    <row r="27" spans="1:18" s="389" customFormat="1">
      <c r="A27" s="388" t="s">
        <v>457</v>
      </c>
      <c r="B27" s="963">
        <f t="shared" si="17"/>
        <v>584.32821063915958</v>
      </c>
      <c r="C27" s="955" t="str">
        <f t="shared" si="2"/>
        <v>NO</v>
      </c>
      <c r="D27" s="955">
        <f t="shared" si="3"/>
        <v>169.51707319927729</v>
      </c>
      <c r="E27" s="955">
        <f t="shared" si="4"/>
        <v>92.539800181052257</v>
      </c>
      <c r="F27" s="955" t="str">
        <f t="shared" si="5"/>
        <v>NO</v>
      </c>
      <c r="G27" s="955">
        <f t="shared" si="6"/>
        <v>44862.990403091899</v>
      </c>
      <c r="H27" s="955">
        <f t="shared" si="7"/>
        <v>15377.746608388758</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61087.122095500141</v>
      </c>
    </row>
    <row r="28" spans="1:18" ht="16.5" customHeight="1">
      <c r="A28" s="385" t="s">
        <v>447</v>
      </c>
      <c r="B28" s="955">
        <f t="shared" si="17"/>
        <v>18.345862826759028</v>
      </c>
      <c r="C28" s="955" t="str">
        <f t="shared" si="2"/>
        <v>NO</v>
      </c>
      <c r="D28" s="955" t="str">
        <f t="shared" si="3"/>
        <v>NO</v>
      </c>
      <c r="E28" s="955" t="str">
        <f t="shared" si="4"/>
        <v>NO</v>
      </c>
      <c r="F28" s="955" t="str">
        <f t="shared" si="5"/>
        <v>NO</v>
      </c>
      <c r="G28" s="955">
        <f t="shared" si="6"/>
        <v>1121.2116977488622</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1139.5575605756212</v>
      </c>
    </row>
    <row r="29" spans="1:18">
      <c r="A29" s="385" t="s">
        <v>448</v>
      </c>
      <c r="B29" s="955">
        <f t="shared" si="17"/>
        <v>394.69174264434929</v>
      </c>
      <c r="C29" s="955">
        <f t="shared" si="2"/>
        <v>0</v>
      </c>
      <c r="D29" s="955">
        <f t="shared" si="3"/>
        <v>1173.3933161218981</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1568.0850587662474</v>
      </c>
    </row>
    <row r="30" spans="1:18">
      <c r="A30" s="385" t="s">
        <v>449</v>
      </c>
      <c r="B30" s="955">
        <f t="shared" si="17"/>
        <v>374.98037452463598</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374.98037452463598</v>
      </c>
    </row>
    <row r="31" spans="1:18">
      <c r="A31" s="385" t="s">
        <v>450</v>
      </c>
      <c r="B31" s="955">
        <f t="shared" si="17"/>
        <v>0</v>
      </c>
      <c r="C31" s="955" t="str">
        <f t="shared" si="2"/>
        <v>NO</v>
      </c>
      <c r="D31" s="955">
        <f t="shared" si="3"/>
        <v>0</v>
      </c>
      <c r="E31" s="955">
        <f t="shared" si="4"/>
        <v>0</v>
      </c>
      <c r="F31" s="955" t="str">
        <f t="shared" si="5"/>
        <v>NO</v>
      </c>
      <c r="G31" s="955">
        <f t="shared" si="6"/>
        <v>0</v>
      </c>
      <c r="H31" s="955">
        <f t="shared" si="7"/>
        <v>0</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0</v>
      </c>
    </row>
    <row r="32" spans="1:18">
      <c r="A32" s="385" t="s">
        <v>553</v>
      </c>
      <c r="B32" s="955">
        <f t="shared" si="17"/>
        <v>384.77896993759083</v>
      </c>
      <c r="C32" s="955" t="str">
        <f t="shared" si="2"/>
        <v>NE</v>
      </c>
      <c r="D32" s="955">
        <f t="shared" si="3"/>
        <v>2149.7741869400002</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2534.5531568775909</v>
      </c>
    </row>
    <row r="33" spans="1:18" s="393" customFormat="1">
      <c r="A33" s="391" t="s">
        <v>451</v>
      </c>
      <c r="B33" s="962">
        <f>SUM(B22:B32)</f>
        <v>48574.509588458241</v>
      </c>
      <c r="C33" s="962">
        <f t="shared" ref="C33:R33" si="22">SUM(C22:C32)</f>
        <v>650.69530230725445</v>
      </c>
      <c r="D33" s="962">
        <f t="shared" si="22"/>
        <v>85553.306973992017</v>
      </c>
      <c r="E33" s="962">
        <f t="shared" si="22"/>
        <v>1755.2089625463977</v>
      </c>
      <c r="F33" s="962">
        <f t="shared" si="22"/>
        <v>25241.53997331448</v>
      </c>
      <c r="G33" s="962">
        <f t="shared" si="22"/>
        <v>45984.202100840761</v>
      </c>
      <c r="H33" s="962">
        <f t="shared" si="22"/>
        <v>15378.05459887303</v>
      </c>
      <c r="I33" s="962">
        <f t="shared" si="22"/>
        <v>0</v>
      </c>
      <c r="J33" s="962">
        <f t="shared" si="22"/>
        <v>154.02486617361967</v>
      </c>
      <c r="K33" s="392">
        <f t="shared" si="22"/>
        <v>0</v>
      </c>
      <c r="L33" s="392">
        <f t="shared" si="22"/>
        <v>0</v>
      </c>
      <c r="M33" s="392">
        <f t="shared" si="22"/>
        <v>0</v>
      </c>
      <c r="N33" s="392">
        <f t="shared" si="22"/>
        <v>0</v>
      </c>
      <c r="O33" s="392">
        <f t="shared" si="22"/>
        <v>0</v>
      </c>
      <c r="P33" s="392">
        <f t="shared" si="22"/>
        <v>0</v>
      </c>
      <c r="Q33" s="392">
        <f t="shared" si="22"/>
        <v>0</v>
      </c>
      <c r="R33" s="392">
        <f t="shared" si="22"/>
        <v>223291.54236650578</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51921.805789429578</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30169.866279823618</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30.363151571927638</v>
      </c>
      <c r="C8" s="791">
        <f>'SECAP template'!C103</f>
        <v>2170.911458625646</v>
      </c>
      <c r="D8" s="791">
        <f>'SECAP template'!D103</f>
        <v>2718.898081506688</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38.027490356365831</v>
      </c>
      <c r="M8" s="791">
        <f>'SECAP template'!M103</f>
        <v>0</v>
      </c>
      <c r="N8" s="791">
        <f>'SECAP template'!N103</f>
        <v>0</v>
      </c>
      <c r="O8" s="792">
        <f>'SECAP template'!O103</f>
        <v>549.21741246435101</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82122.035220825128</v>
      </c>
      <c r="C10" s="793">
        <f>SUM(C4:C9)</f>
        <v>2170.911458625646</v>
      </c>
      <c r="D10" s="793">
        <f t="shared" ref="D10:H10" si="0">SUM(D8:D9)</f>
        <v>2718.898081506688</v>
      </c>
      <c r="E10" s="793">
        <f t="shared" si="0"/>
        <v>0</v>
      </c>
      <c r="F10" s="793">
        <f t="shared" si="0"/>
        <v>0</v>
      </c>
      <c r="G10" s="793">
        <f t="shared" si="0"/>
        <v>0</v>
      </c>
      <c r="H10" s="793">
        <f t="shared" si="0"/>
        <v>0</v>
      </c>
      <c r="I10" s="793">
        <f t="shared" ref="I10:O10" si="1">SUM(I8:I9)</f>
        <v>0</v>
      </c>
      <c r="J10" s="793">
        <f t="shared" si="1"/>
        <v>0</v>
      </c>
      <c r="K10" s="793">
        <f t="shared" si="1"/>
        <v>0</v>
      </c>
      <c r="L10" s="793">
        <f t="shared" si="1"/>
        <v>38.027490356365831</v>
      </c>
      <c r="M10" s="793">
        <f t="shared" si="1"/>
        <v>0</v>
      </c>
      <c r="N10" s="793">
        <f t="shared" si="1"/>
        <v>0</v>
      </c>
      <c r="O10" s="793">
        <f t="shared" si="1"/>
        <v>549.21741246435101</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0.16105501906975592</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35.973295170023135</v>
      </c>
      <c r="C17" s="794">
        <f>'SECAP template'!C114</f>
        <v>2572.0267708088868</v>
      </c>
      <c r="D17" s="792">
        <f>'SECAP template'!D114</f>
        <v>3221.2638728081902</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45.053759716745674</v>
      </c>
      <c r="M17" s="792">
        <f>'SECAP template'!M114</f>
        <v>0</v>
      </c>
      <c r="N17" s="792">
        <f>'SECAP template'!N114</f>
        <v>0</v>
      </c>
      <c r="O17" s="792">
        <f>'SECAP template'!O114</f>
        <v>650.69530230725445</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35.973295170023135</v>
      </c>
      <c r="C20" s="793">
        <f>SUM(C17:C19)</f>
        <v>2572.0267708088868</v>
      </c>
      <c r="D20" s="793">
        <f t="shared" ref="D20:H20" si="2">SUM(D17:D19)</f>
        <v>3221.2638728081902</v>
      </c>
      <c r="E20" s="793">
        <f t="shared" si="2"/>
        <v>0</v>
      </c>
      <c r="F20" s="793">
        <f t="shared" si="2"/>
        <v>0</v>
      </c>
      <c r="G20" s="793">
        <f t="shared" si="2"/>
        <v>0</v>
      </c>
      <c r="H20" s="793">
        <f t="shared" si="2"/>
        <v>0</v>
      </c>
      <c r="I20" s="793">
        <f t="shared" ref="I20:O20" si="3">SUM(I17:I19)</f>
        <v>0</v>
      </c>
      <c r="J20" s="793">
        <f t="shared" si="3"/>
        <v>0</v>
      </c>
      <c r="K20" s="793">
        <f t="shared" si="3"/>
        <v>0</v>
      </c>
      <c r="L20" s="793">
        <f t="shared" si="3"/>
        <v>45.053759716745674</v>
      </c>
      <c r="M20" s="793">
        <f t="shared" si="3"/>
        <v>0</v>
      </c>
      <c r="N20" s="793">
        <f t="shared" si="3"/>
        <v>0</v>
      </c>
      <c r="O20" s="793">
        <f t="shared" si="3"/>
        <v>650.69530230725445</v>
      </c>
    </row>
    <row r="21" spans="1:15">
      <c r="B21" s="705"/>
    </row>
    <row r="22" spans="1:15">
      <c r="A22" s="394" t="s">
        <v>572</v>
      </c>
      <c r="B22" s="617" t="s">
        <v>570</v>
      </c>
      <c r="C22" s="617">
        <f>'EF ele_warmte'!B23</f>
        <v>0.24949972616776622</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v>
      </c>
      <c r="F4" s="403"/>
      <c r="G4" s="396">
        <f>MWh_eigenvloot_diesel</f>
        <v>0</v>
      </c>
      <c r="H4" s="396">
        <f>MWh_eigenvloot_benzine</f>
        <v>0</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v>
      </c>
      <c r="F26" s="399" t="s">
        <v>667</v>
      </c>
      <c r="G26" s="399">
        <f t="shared" si="0"/>
        <v>0</v>
      </c>
      <c r="H26" s="399">
        <f t="shared" si="0"/>
        <v>0</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v>
      </c>
      <c r="F27" s="399" t="s">
        <v>667</v>
      </c>
      <c r="G27" s="399">
        <f>(1-transport!C35)*'Eigen vloot'!G26</f>
        <v>0</v>
      </c>
      <c r="H27" s="399">
        <f>(1-transport!C42)*'Eigen vloot'!H26</f>
        <v>0</v>
      </c>
      <c r="I27" s="399" t="s">
        <v>667</v>
      </c>
      <c r="J27" s="399" t="s">
        <v>667</v>
      </c>
      <c r="K27" s="399" t="s">
        <v>667</v>
      </c>
      <c r="L27" s="913" t="s">
        <v>667</v>
      </c>
      <c r="M27" s="399" t="s">
        <v>667</v>
      </c>
      <c r="N27" s="529">
        <f>G26*transport!C35+'Eigen vloot'!H26*transport!C42</f>
        <v>0</v>
      </c>
      <c r="O27" s="399" t="s">
        <v>667</v>
      </c>
      <c r="P27" s="399" t="s">
        <v>667</v>
      </c>
      <c r="Q27" s="399" t="s">
        <v>667</v>
      </c>
    </row>
    <row r="29" spans="1:17">
      <c r="A29" s="401" t="s">
        <v>477</v>
      </c>
      <c r="B29" s="405">
        <f>'EF ele_warmte'!B13</f>
        <v>0.16105501906975592</v>
      </c>
      <c r="C29" s="405">
        <f>'EF ele_warmte'!B23</f>
        <v>0.24949972616776622</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v>
      </c>
      <c r="F31" s="530" t="s">
        <v>667</v>
      </c>
      <c r="G31" s="530">
        <f>G27*G29</f>
        <v>0</v>
      </c>
      <c r="H31" s="530">
        <f>H27*H29</f>
        <v>0</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20691</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2241.4299999999994</v>
      </c>
      <c r="C14" s="286"/>
      <c r="D14" s="286"/>
      <c r="E14" s="286"/>
      <c r="F14" s="286"/>
      <c r="G14" s="286"/>
    </row>
    <row r="15" spans="1:7">
      <c r="A15" s="979" t="s">
        <v>164</v>
      </c>
      <c r="B15" s="980">
        <v>4403</v>
      </c>
      <c r="C15" s="286"/>
      <c r="D15" s="286"/>
      <c r="E15" s="286"/>
      <c r="F15" s="286"/>
      <c r="G15" s="286"/>
    </row>
    <row r="16" spans="1:7">
      <c r="A16" s="979" t="s">
        <v>6</v>
      </c>
      <c r="B16" s="980">
        <v>1109</v>
      </c>
      <c r="C16" s="286"/>
      <c r="D16" s="286"/>
      <c r="E16" s="286"/>
      <c r="F16" s="286"/>
      <c r="G16" s="286"/>
    </row>
    <row r="17" spans="1:7">
      <c r="A17" s="979" t="s">
        <v>7</v>
      </c>
      <c r="B17" s="980">
        <v>56</v>
      </c>
      <c r="C17" s="286"/>
      <c r="D17" s="286"/>
      <c r="E17" s="286"/>
      <c r="F17" s="286"/>
      <c r="G17" s="286"/>
    </row>
    <row r="18" spans="1:7">
      <c r="A18" s="979" t="s">
        <v>8</v>
      </c>
      <c r="B18" s="980">
        <v>542</v>
      </c>
      <c r="C18" s="286"/>
      <c r="D18" s="286"/>
      <c r="E18" s="286"/>
      <c r="F18" s="286"/>
      <c r="G18" s="286"/>
    </row>
    <row r="19" spans="1:7">
      <c r="A19" s="979" t="s">
        <v>9</v>
      </c>
      <c r="B19" s="980">
        <v>649</v>
      </c>
      <c r="C19" s="286"/>
      <c r="D19" s="286"/>
      <c r="E19" s="286"/>
      <c r="F19" s="286"/>
      <c r="G19" s="286"/>
    </row>
    <row r="20" spans="1:7">
      <c r="A20" s="979" t="s">
        <v>10</v>
      </c>
      <c r="B20" s="980">
        <v>326</v>
      </c>
      <c r="C20" s="286"/>
      <c r="D20" s="286"/>
      <c r="E20" s="286"/>
      <c r="F20" s="286"/>
      <c r="G20" s="286"/>
    </row>
    <row r="21" spans="1:7">
      <c r="A21" s="979" t="s">
        <v>11</v>
      </c>
      <c r="B21" s="980">
        <v>767</v>
      </c>
      <c r="C21" s="286"/>
      <c r="D21" s="286"/>
      <c r="E21" s="286"/>
      <c r="F21" s="286"/>
      <c r="G21" s="286"/>
    </row>
    <row r="22" spans="1:7">
      <c r="A22" s="979" t="s">
        <v>12</v>
      </c>
      <c r="B22" s="980">
        <v>2160</v>
      </c>
      <c r="C22" s="286"/>
      <c r="D22" s="286"/>
      <c r="E22" s="286"/>
      <c r="F22" s="286"/>
      <c r="G22" s="286"/>
    </row>
    <row r="23" spans="1:7">
      <c r="A23" s="979" t="s">
        <v>13</v>
      </c>
      <c r="B23" s="980">
        <v>90</v>
      </c>
      <c r="C23" s="286"/>
      <c r="D23" s="286"/>
      <c r="E23" s="286"/>
      <c r="F23" s="286"/>
      <c r="G23" s="286"/>
    </row>
    <row r="24" spans="1:7">
      <c r="A24" s="979" t="s">
        <v>14</v>
      </c>
      <c r="B24" s="980">
        <v>2</v>
      </c>
      <c r="C24" s="286"/>
      <c r="D24" s="286"/>
      <c r="E24" s="286"/>
      <c r="F24" s="286"/>
      <c r="G24" s="286"/>
    </row>
    <row r="25" spans="1:7">
      <c r="A25" s="979" t="s">
        <v>15</v>
      </c>
      <c r="B25" s="980">
        <v>192</v>
      </c>
      <c r="C25" s="286"/>
      <c r="D25" s="286"/>
      <c r="E25" s="286"/>
      <c r="F25" s="286"/>
      <c r="G25" s="286"/>
    </row>
    <row r="26" spans="1:7">
      <c r="A26" s="979" t="s">
        <v>16</v>
      </c>
      <c r="B26" s="980">
        <v>47</v>
      </c>
      <c r="C26" s="286"/>
      <c r="D26" s="286"/>
      <c r="E26" s="286"/>
      <c r="F26" s="286"/>
      <c r="G26" s="286"/>
    </row>
    <row r="27" spans="1:7">
      <c r="A27" s="979" t="s">
        <v>17</v>
      </c>
      <c r="B27" s="980">
        <v>0</v>
      </c>
      <c r="C27" s="286"/>
      <c r="D27" s="286"/>
      <c r="E27" s="286"/>
      <c r="F27" s="286"/>
      <c r="G27" s="286"/>
    </row>
    <row r="28" spans="1:7">
      <c r="A28" s="983" t="s">
        <v>18</v>
      </c>
      <c r="B28" s="1240">
        <v>420642</v>
      </c>
      <c r="C28" s="286"/>
      <c r="D28" s="286"/>
      <c r="E28" s="286"/>
      <c r="F28" s="286"/>
      <c r="G28" s="286"/>
    </row>
    <row r="29" spans="1:7">
      <c r="A29" s="983" t="s">
        <v>534</v>
      </c>
      <c r="B29" s="1240">
        <v>254</v>
      </c>
      <c r="C29" s="286"/>
      <c r="D29" s="286"/>
      <c r="E29" s="286"/>
      <c r="F29" s="286"/>
      <c r="G29" s="286"/>
    </row>
    <row r="30" spans="1:7">
      <c r="A30" s="981" t="s">
        <v>535</v>
      </c>
      <c r="B30" s="982">
        <v>105</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14</v>
      </c>
      <c r="F36" s="980">
        <v>695953.74</v>
      </c>
      <c r="G36" s="286"/>
    </row>
    <row r="37" spans="1:7">
      <c r="A37" s="979" t="s">
        <v>24</v>
      </c>
      <c r="B37" s="979" t="s">
        <v>27</v>
      </c>
      <c r="C37" s="980">
        <v>0</v>
      </c>
      <c r="D37" s="980">
        <v>0</v>
      </c>
      <c r="E37" s="980">
        <v>0</v>
      </c>
      <c r="F37" s="980">
        <v>0</v>
      </c>
      <c r="G37" s="286"/>
    </row>
    <row r="38" spans="1:7">
      <c r="A38" s="979" t="s">
        <v>24</v>
      </c>
      <c r="B38" s="979" t="s">
        <v>28</v>
      </c>
      <c r="C38" s="980">
        <v>2</v>
      </c>
      <c r="D38" s="980">
        <v>233775.56</v>
      </c>
      <c r="E38" s="980">
        <v>1</v>
      </c>
      <c r="F38" s="980">
        <v>9633.43</v>
      </c>
      <c r="G38" s="286"/>
    </row>
    <row r="39" spans="1:7">
      <c r="A39" s="979" t="s">
        <v>29</v>
      </c>
      <c r="B39" s="979" t="s">
        <v>30</v>
      </c>
      <c r="C39" s="980">
        <v>18715</v>
      </c>
      <c r="D39" s="980">
        <v>208143008.30924875</v>
      </c>
      <c r="E39" s="980">
        <v>21211</v>
      </c>
      <c r="F39" s="980">
        <v>50146750.46102538</v>
      </c>
      <c r="G39" s="286"/>
    </row>
    <row r="40" spans="1:7">
      <c r="A40" s="979" t="s">
        <v>29</v>
      </c>
      <c r="B40" s="979" t="s">
        <v>28</v>
      </c>
      <c r="C40" s="980">
        <v>0</v>
      </c>
      <c r="D40" s="980">
        <v>0</v>
      </c>
      <c r="E40" s="980">
        <v>0</v>
      </c>
      <c r="F40" s="980">
        <v>0</v>
      </c>
      <c r="G40" s="286"/>
    </row>
    <row r="41" spans="1:7">
      <c r="A41" s="979" t="s">
        <v>31</v>
      </c>
      <c r="B41" s="979" t="s">
        <v>32</v>
      </c>
      <c r="C41" s="980">
        <v>192</v>
      </c>
      <c r="D41" s="980">
        <v>33908041</v>
      </c>
      <c r="E41" s="980">
        <v>347</v>
      </c>
      <c r="F41" s="980">
        <v>45393694.200000003</v>
      </c>
      <c r="G41" s="286"/>
    </row>
    <row r="42" spans="1:7">
      <c r="A42" s="979" t="s">
        <v>31</v>
      </c>
      <c r="B42" s="979" t="s">
        <v>33</v>
      </c>
      <c r="C42" s="980">
        <v>9</v>
      </c>
      <c r="D42" s="980">
        <v>14836288.060000001</v>
      </c>
      <c r="E42" s="980">
        <v>6</v>
      </c>
      <c r="F42" s="980">
        <v>18269758.870000001</v>
      </c>
      <c r="G42" s="286"/>
    </row>
    <row r="43" spans="1:7">
      <c r="A43" s="979" t="s">
        <v>31</v>
      </c>
      <c r="B43" s="979" t="s">
        <v>34</v>
      </c>
      <c r="C43" s="980">
        <v>0</v>
      </c>
      <c r="D43" s="980">
        <v>0</v>
      </c>
      <c r="E43" s="980">
        <v>0</v>
      </c>
      <c r="F43" s="980">
        <v>0</v>
      </c>
      <c r="G43" s="286"/>
    </row>
    <row r="44" spans="1:7">
      <c r="A44" s="979" t="s">
        <v>31</v>
      </c>
      <c r="B44" s="979" t="s">
        <v>35</v>
      </c>
      <c r="C44" s="980">
        <v>26</v>
      </c>
      <c r="D44" s="980">
        <v>17377503.48</v>
      </c>
      <c r="E44" s="980">
        <v>34</v>
      </c>
      <c r="F44" s="980">
        <v>25628314.609999999</v>
      </c>
      <c r="G44" s="286"/>
    </row>
    <row r="45" spans="1:7">
      <c r="A45" s="979" t="s">
        <v>31</v>
      </c>
      <c r="B45" s="979" t="s">
        <v>36</v>
      </c>
      <c r="C45" s="980">
        <v>3</v>
      </c>
      <c r="D45" s="980">
        <v>71413.95</v>
      </c>
      <c r="E45" s="980">
        <v>4</v>
      </c>
      <c r="F45" s="980">
        <v>474883.99</v>
      </c>
      <c r="G45" s="286"/>
    </row>
    <row r="46" spans="1:7">
      <c r="A46" s="979" t="s">
        <v>31</v>
      </c>
      <c r="B46" s="979" t="s">
        <v>37</v>
      </c>
      <c r="C46" s="980">
        <v>0</v>
      </c>
      <c r="D46" s="980">
        <v>0</v>
      </c>
      <c r="E46" s="980">
        <v>0</v>
      </c>
      <c r="F46" s="980">
        <v>0</v>
      </c>
      <c r="G46" s="286"/>
    </row>
    <row r="47" spans="1:7">
      <c r="A47" s="979" t="s">
        <v>31</v>
      </c>
      <c r="B47" s="979" t="s">
        <v>38</v>
      </c>
      <c r="C47" s="980">
        <v>13</v>
      </c>
      <c r="D47" s="980">
        <v>24103691.690000001</v>
      </c>
      <c r="E47" s="980">
        <v>17</v>
      </c>
      <c r="F47" s="980">
        <v>26267863.129999999</v>
      </c>
      <c r="G47" s="286"/>
    </row>
    <row r="48" spans="1:7">
      <c r="A48" s="979" t="s">
        <v>31</v>
      </c>
      <c r="B48" s="979" t="s">
        <v>28</v>
      </c>
      <c r="C48" s="980">
        <v>1</v>
      </c>
      <c r="D48" s="980">
        <v>4926636.97</v>
      </c>
      <c r="E48" s="980">
        <v>4</v>
      </c>
      <c r="F48" s="980">
        <v>3859296.93</v>
      </c>
      <c r="G48" s="286"/>
    </row>
    <row r="49" spans="1:7">
      <c r="A49" s="979" t="s">
        <v>31</v>
      </c>
      <c r="B49" s="979" t="s">
        <v>39</v>
      </c>
      <c r="C49" s="980">
        <v>5</v>
      </c>
      <c r="D49" s="980">
        <v>259469.82</v>
      </c>
      <c r="E49" s="980">
        <v>6</v>
      </c>
      <c r="F49" s="980">
        <v>137676.13</v>
      </c>
      <c r="G49" s="286"/>
    </row>
    <row r="50" spans="1:7">
      <c r="A50" s="979" t="s">
        <v>31</v>
      </c>
      <c r="B50" s="979" t="s">
        <v>40</v>
      </c>
      <c r="C50" s="980">
        <v>31</v>
      </c>
      <c r="D50" s="980">
        <v>50796958.100000001</v>
      </c>
      <c r="E50" s="980">
        <v>45</v>
      </c>
      <c r="F50" s="980">
        <v>25876939.879999999</v>
      </c>
      <c r="G50" s="286"/>
    </row>
    <row r="51" spans="1:7">
      <c r="A51" s="979" t="s">
        <v>41</v>
      </c>
      <c r="B51" s="979" t="s">
        <v>42</v>
      </c>
      <c r="C51" s="980">
        <v>21</v>
      </c>
      <c r="D51" s="980">
        <v>1509248.26</v>
      </c>
      <c r="E51" s="980">
        <v>75</v>
      </c>
      <c r="F51" s="980">
        <v>1341940.9000000001</v>
      </c>
      <c r="G51" s="286"/>
    </row>
    <row r="52" spans="1:7">
      <c r="A52" s="979" t="s">
        <v>41</v>
      </c>
      <c r="B52" s="979" t="s">
        <v>28</v>
      </c>
      <c r="C52" s="980">
        <v>0</v>
      </c>
      <c r="D52" s="980">
        <v>0</v>
      </c>
      <c r="E52" s="980">
        <v>0</v>
      </c>
      <c r="F52" s="980">
        <v>0</v>
      </c>
      <c r="G52" s="286"/>
    </row>
    <row r="53" spans="1:7">
      <c r="A53" s="979" t="s">
        <v>43</v>
      </c>
      <c r="B53" s="979" t="s">
        <v>44</v>
      </c>
      <c r="C53" s="980">
        <v>459</v>
      </c>
      <c r="D53" s="980">
        <v>10642446.470000001</v>
      </c>
      <c r="E53" s="980">
        <v>931</v>
      </c>
      <c r="F53" s="980">
        <v>2389115.0499999998</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2328275</v>
      </c>
      <c r="G55" s="286"/>
    </row>
    <row r="56" spans="1:7">
      <c r="A56" s="979" t="s">
        <v>47</v>
      </c>
      <c r="B56" s="979" t="s">
        <v>28</v>
      </c>
      <c r="C56" s="980">
        <v>0</v>
      </c>
      <c r="D56" s="980">
        <v>0</v>
      </c>
      <c r="E56" s="980">
        <v>0</v>
      </c>
      <c r="F56" s="980">
        <v>0</v>
      </c>
      <c r="G56" s="286"/>
    </row>
    <row r="57" spans="1:7">
      <c r="A57" s="979" t="s">
        <v>48</v>
      </c>
      <c r="B57" s="979" t="s">
        <v>49</v>
      </c>
      <c r="C57" s="980">
        <v>158</v>
      </c>
      <c r="D57" s="980">
        <v>7956993.5499999998</v>
      </c>
      <c r="E57" s="980">
        <v>214</v>
      </c>
      <c r="F57" s="980">
        <v>6295220.8099999996</v>
      </c>
      <c r="G57" s="286"/>
    </row>
    <row r="58" spans="1:7">
      <c r="A58" s="979" t="s">
        <v>48</v>
      </c>
      <c r="B58" s="979" t="s">
        <v>50</v>
      </c>
      <c r="C58" s="980">
        <v>139</v>
      </c>
      <c r="D58" s="980">
        <v>21425581.789999999</v>
      </c>
      <c r="E58" s="980">
        <v>173</v>
      </c>
      <c r="F58" s="980">
        <v>16595313.57</v>
      </c>
      <c r="G58" s="286"/>
    </row>
    <row r="59" spans="1:7">
      <c r="A59" s="979" t="s">
        <v>48</v>
      </c>
      <c r="B59" s="979" t="s">
        <v>51</v>
      </c>
      <c r="C59" s="980">
        <v>418</v>
      </c>
      <c r="D59" s="980">
        <v>21115104.559999999</v>
      </c>
      <c r="E59" s="980">
        <v>605</v>
      </c>
      <c r="F59" s="980">
        <v>27205444.069999997</v>
      </c>
      <c r="G59" s="286"/>
    </row>
    <row r="60" spans="1:7">
      <c r="A60" s="979" t="s">
        <v>48</v>
      </c>
      <c r="B60" s="979" t="s">
        <v>52</v>
      </c>
      <c r="C60" s="980">
        <v>188</v>
      </c>
      <c r="D60" s="980">
        <v>6258226.6200000001</v>
      </c>
      <c r="E60" s="980">
        <v>232</v>
      </c>
      <c r="F60" s="980">
        <v>6604628.9000000004</v>
      </c>
      <c r="G60" s="286"/>
    </row>
    <row r="61" spans="1:7">
      <c r="A61" s="979" t="s">
        <v>48</v>
      </c>
      <c r="B61" s="979" t="s">
        <v>53</v>
      </c>
      <c r="C61" s="980">
        <v>636</v>
      </c>
      <c r="D61" s="980">
        <v>34930713.500751272</v>
      </c>
      <c r="E61" s="980">
        <v>1432</v>
      </c>
      <c r="F61" s="980">
        <v>27923401.368974622</v>
      </c>
      <c r="G61" s="286"/>
    </row>
    <row r="62" spans="1:7">
      <c r="A62" s="979" t="s">
        <v>48</v>
      </c>
      <c r="B62" s="979" t="s">
        <v>54</v>
      </c>
      <c r="C62" s="980">
        <v>89</v>
      </c>
      <c r="D62" s="980">
        <v>15271203.060000001</v>
      </c>
      <c r="E62" s="980">
        <v>81</v>
      </c>
      <c r="F62" s="980">
        <v>3522915.83</v>
      </c>
      <c r="G62" s="286"/>
    </row>
    <row r="63" spans="1:7">
      <c r="A63" s="979" t="s">
        <v>48</v>
      </c>
      <c r="B63" s="979" t="s">
        <v>28</v>
      </c>
      <c r="C63" s="980">
        <v>0</v>
      </c>
      <c r="D63" s="980">
        <v>0</v>
      </c>
      <c r="E63" s="980">
        <v>1</v>
      </c>
      <c r="F63" s="980">
        <v>15732.18</v>
      </c>
      <c r="G63" s="286"/>
    </row>
    <row r="64" spans="1:7">
      <c r="A64" s="979" t="s">
        <v>55</v>
      </c>
      <c r="B64" s="979" t="s">
        <v>56</v>
      </c>
      <c r="C64" s="980">
        <v>0</v>
      </c>
      <c r="D64" s="980">
        <v>0</v>
      </c>
      <c r="E64" s="980">
        <v>0</v>
      </c>
      <c r="F64" s="980">
        <v>0</v>
      </c>
      <c r="G64" s="286"/>
    </row>
    <row r="65" spans="1:7">
      <c r="A65" s="979" t="s">
        <v>55</v>
      </c>
      <c r="B65" s="979" t="s">
        <v>28</v>
      </c>
      <c r="C65" s="980">
        <v>2</v>
      </c>
      <c r="D65" s="980">
        <v>97600.09</v>
      </c>
      <c r="E65" s="980">
        <v>4</v>
      </c>
      <c r="F65" s="980">
        <v>25454.489999999998</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14</v>
      </c>
      <c r="D68" s="982">
        <v>732637.57</v>
      </c>
      <c r="E68" s="982">
        <v>30</v>
      </c>
      <c r="F68" s="982">
        <v>1275143.01</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155295238</v>
      </c>
      <c r="E73" s="384"/>
      <c r="F73" s="286"/>
      <c r="G73" s="286"/>
    </row>
    <row r="74" spans="1:7">
      <c r="A74" s="979" t="s">
        <v>63</v>
      </c>
      <c r="B74" s="979" t="s">
        <v>505</v>
      </c>
      <c r="C74" s="1250" t="s">
        <v>507</v>
      </c>
      <c r="D74" s="1251">
        <v>14803566.659863565</v>
      </c>
      <c r="E74" s="384"/>
      <c r="F74" s="286"/>
      <c r="G74" s="286"/>
    </row>
    <row r="75" spans="1:7">
      <c r="A75" s="979" t="s">
        <v>64</v>
      </c>
      <c r="B75" s="979" t="s">
        <v>504</v>
      </c>
      <c r="C75" s="1250" t="s">
        <v>508</v>
      </c>
      <c r="D75" s="1251">
        <v>30011023</v>
      </c>
      <c r="E75" s="384"/>
      <c r="F75" s="286"/>
      <c r="G75" s="286"/>
    </row>
    <row r="76" spans="1:7">
      <c r="A76" s="979" t="s">
        <v>64</v>
      </c>
      <c r="B76" s="979" t="s">
        <v>505</v>
      </c>
      <c r="C76" s="1250" t="s">
        <v>509</v>
      </c>
      <c r="D76" s="1251">
        <v>603458.65986356465</v>
      </c>
      <c r="E76" s="384"/>
      <c r="F76" s="286"/>
      <c r="G76" s="286"/>
    </row>
    <row r="77" spans="1:7">
      <c r="A77" s="979" t="s">
        <v>65</v>
      </c>
      <c r="B77" s="979" t="s">
        <v>504</v>
      </c>
      <c r="C77" s="1250" t="s">
        <v>510</v>
      </c>
      <c r="D77" s="1251">
        <v>65426194</v>
      </c>
      <c r="E77" s="384"/>
      <c r="F77" s="286"/>
      <c r="G77" s="286"/>
    </row>
    <row r="78" spans="1:7">
      <c r="A78" s="981" t="s">
        <v>65</v>
      </c>
      <c r="B78" s="981" t="s">
        <v>505</v>
      </c>
      <c r="C78" s="981" t="s">
        <v>511</v>
      </c>
      <c r="D78" s="1252">
        <v>17602639</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1344084.6802728707</v>
      </c>
      <c r="C83" s="384"/>
      <c r="D83" s="365">
        <v>0.1230162567997259</v>
      </c>
      <c r="E83" s="365">
        <v>4.8358678172078333E-3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51921.805789429578</v>
      </c>
      <c r="C90" s="286" t="s">
        <v>629</v>
      </c>
      <c r="D90" s="286"/>
      <c r="E90" s="286"/>
      <c r="F90" s="286"/>
      <c r="G90" s="286"/>
    </row>
    <row r="91" spans="1:7">
      <c r="A91" s="979" t="s">
        <v>67</v>
      </c>
      <c r="B91" s="980">
        <v>14004.560559028077</v>
      </c>
      <c r="C91" s="286" t="s">
        <v>629</v>
      </c>
      <c r="D91" s="286"/>
      <c r="E91" s="286"/>
      <c r="F91" s="286"/>
      <c r="G91" s="286"/>
    </row>
    <row r="92" spans="1:7">
      <c r="A92" s="981" t="s">
        <v>68</v>
      </c>
      <c r="B92" s="986">
        <v>16165.305720795543</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2450664.0334716979</v>
      </c>
      <c r="C97" s="286"/>
      <c r="D97" s="286"/>
      <c r="E97" s="286"/>
      <c r="F97" s="286"/>
      <c r="G97" s="286"/>
    </row>
    <row r="98" spans="1:7">
      <c r="A98" s="286" t="s">
        <v>176</v>
      </c>
      <c r="B98" s="980">
        <v>0</v>
      </c>
      <c r="C98" s="286"/>
      <c r="D98" s="286"/>
      <c r="E98" s="286"/>
      <c r="F98" s="286"/>
      <c r="G98" s="286"/>
    </row>
    <row r="99" spans="1:7">
      <c r="A99" s="286" t="s">
        <v>179</v>
      </c>
      <c r="B99" s="980">
        <v>6432865.7835920854</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2328275</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0</v>
      </c>
      <c r="C114" s="286"/>
      <c r="D114" s="286"/>
      <c r="E114" s="286"/>
      <c r="F114" s="286"/>
      <c r="G114" s="286"/>
    </row>
    <row r="115" spans="1:7">
      <c r="A115" s="286" t="s">
        <v>728</v>
      </c>
      <c r="B115" s="980">
        <v>0</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4204.7341855649911</v>
      </c>
      <c r="C121" s="286"/>
      <c r="D121" s="286"/>
      <c r="E121" s="286"/>
      <c r="F121" s="286"/>
      <c r="G121" s="286"/>
    </row>
    <row r="122" spans="1:7">
      <c r="A122" s="286" t="s">
        <v>731</v>
      </c>
      <c r="B122" s="980">
        <v>228.3728730703474</v>
      </c>
      <c r="C122" s="286"/>
      <c r="D122" s="286"/>
      <c r="E122" s="286"/>
      <c r="F122" s="286"/>
      <c r="G122" s="286"/>
    </row>
    <row r="123" spans="1:7">
      <c r="A123" s="286" t="s">
        <v>3</v>
      </c>
      <c r="B123" s="980">
        <v>84.138970096948228</v>
      </c>
      <c r="C123" s="286"/>
      <c r="D123" s="286"/>
      <c r="E123" s="286"/>
      <c r="F123" s="286"/>
      <c r="G123" s="286"/>
    </row>
    <row r="124" spans="1:7">
      <c r="A124" s="981" t="s">
        <v>732</v>
      </c>
      <c r="B124" s="986">
        <v>864.2360843813924</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301601.9610504639</v>
      </c>
      <c r="C3" s="43" t="s">
        <v>150</v>
      </c>
      <c r="D3" s="43"/>
      <c r="E3" s="151"/>
      <c r="F3" s="43"/>
      <c r="G3" s="43"/>
      <c r="H3" s="43"/>
      <c r="I3" s="43"/>
      <c r="J3" s="43"/>
      <c r="K3" s="95"/>
    </row>
    <row r="4" spans="1:11">
      <c r="A4" s="304" t="s">
        <v>151</v>
      </c>
      <c r="B4" s="49">
        <f>IF(ISERROR('SECAP template'!B105+'SECAP template'!C105),0,'SECAP template'!B105+'SECAP template'!C105)</f>
        <v>84292.946679450775</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549.21741246435101</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0.16105501906975592</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650.69530230725445</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2608.0000659789107</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0.24949972616776622</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2450.6640334716981</v>
      </c>
      <c r="C4" s="30">
        <f>kWh_eigengeb_warmtekoude/1000</f>
        <v>0</v>
      </c>
      <c r="D4" s="30">
        <f>kWh_eigengeb_aardgas/1000*0.903</f>
        <v>5808.8778025836536</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2450.6640334716981</v>
      </c>
      <c r="C6" s="21">
        <f>SUM(C4:C4)</f>
        <v>0</v>
      </c>
      <c r="D6" s="21">
        <f>SUM(D4:D4)</f>
        <v>5808.8778025836536</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0.16105501906975592</v>
      </c>
      <c r="C8" s="917">
        <f>'EF ele_warmte'!B23</f>
        <v>0.24949972616776622</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394.69174264434929</v>
      </c>
      <c r="C10" s="23">
        <f>C6*C8</f>
        <v>0</v>
      </c>
      <c r="D10" s="23">
        <f>D6*D8</f>
        <v>1173.3933161218981</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2328.2750000000001</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2328.2750000000001</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0.16105501906975592</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374.98037452463598</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2328.2750000000001</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-2328.2750000000001</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0</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0.16105501906975592</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0</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50146.750461025382</v>
      </c>
      <c r="C5" s="17">
        <f>IF(ISERROR('Eigen informatie GS &amp; warmtenet'!B61),0,'Eigen informatie GS &amp; warmtenet'!B61)</f>
        <v>0</v>
      </c>
      <c r="D5" s="30">
        <f>(SUM(HH_hh_gas_kWh,HH_rest_gas_kWh)/1000)*0.903</f>
        <v>187953.13650325162</v>
      </c>
      <c r="E5" s="17">
        <f>B33*B42</f>
        <v>1799.4582760846931</v>
      </c>
      <c r="F5" s="17">
        <f>B37*B46</f>
        <v>29240.020315447749</v>
      </c>
      <c r="G5" s="18" t="s">
        <v>637</v>
      </c>
      <c r="H5" s="17" t="s">
        <v>637</v>
      </c>
      <c r="I5" s="17" t="s">
        <v>637</v>
      </c>
      <c r="J5" s="17">
        <f>B36*B45+C36*C45</f>
        <v>234.39883070921803</v>
      </c>
      <c r="K5" s="17" t="s">
        <v>637</v>
      </c>
      <c r="L5" s="884" t="s">
        <v>637</v>
      </c>
      <c r="M5" s="17" t="s">
        <v>637</v>
      </c>
      <c r="N5" s="17" t="s">
        <v>670</v>
      </c>
      <c r="O5" s="17">
        <f>B35*B44+C35*C44</f>
        <v>20533.269070793831</v>
      </c>
      <c r="P5" s="17" t="s">
        <v>637</v>
      </c>
      <c r="Q5" s="17" t="s">
        <v>637</v>
      </c>
    </row>
    <row r="6" spans="1:17" s="810" customFormat="1">
      <c r="A6" s="16" t="s">
        <v>633</v>
      </c>
      <c r="B6" s="17">
        <f>'lokale energieproductie'!N32</f>
        <v>33.281610002662532</v>
      </c>
      <c r="C6" s="17">
        <f>'lokale energieproductie'!O32</f>
        <v>64.719180005177549</v>
      </c>
      <c r="D6" s="17">
        <f>('lokale energieproductie'!P32)*(-1)</f>
        <v>-102.04464000816358</v>
      </c>
      <c r="E6" s="17">
        <f>('lokale energieproductie'!X32)*(-1)</f>
        <v>0</v>
      </c>
      <c r="F6" s="17">
        <f>('lokale energieproductie'!S32)*(-1)</f>
        <v>0</v>
      </c>
      <c r="G6" s="17"/>
      <c r="H6" s="17"/>
      <c r="I6" s="17"/>
      <c r="J6" s="17"/>
      <c r="K6" s="17"/>
      <c r="L6" s="17">
        <f>('lokale energieproductie'!Q32)*(-1)</f>
        <v>0</v>
      </c>
      <c r="M6" s="17">
        <f>('lokale energieproductie'!U32+'lokale energieproductie'!T32)*(-1)</f>
        <v>0</v>
      </c>
      <c r="N6" s="17"/>
      <c r="O6" s="17">
        <f>('lokale energieproductie'!R32+'lokale energieproductie'!V32)*(-1)</f>
        <v>0</v>
      </c>
      <c r="P6" s="17"/>
      <c r="Q6" s="17"/>
    </row>
    <row r="7" spans="1:17">
      <c r="A7" s="16" t="s">
        <v>484</v>
      </c>
      <c r="B7" s="17">
        <f>MWh_eigenverbruikPV_residentieel</f>
        <v>4204.7341855649911</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54384.766256593037</v>
      </c>
      <c r="C9" s="21">
        <f>MAX((C5+C6+C7),0)</f>
        <v>64.719180005177549</v>
      </c>
      <c r="D9" s="21">
        <f t="shared" ref="D9:O9" si="0">MAX((D5+D6+D7),0)</f>
        <v>187851.09186324346</v>
      </c>
      <c r="E9" s="21">
        <f t="shared" si="0"/>
        <v>1799.4582760846931</v>
      </c>
      <c r="F9" s="21">
        <f t="shared" si="0"/>
        <v>29240.020315447749</v>
      </c>
      <c r="G9" s="21" t="s">
        <v>637</v>
      </c>
      <c r="H9" s="21" t="s">
        <v>637</v>
      </c>
      <c r="I9" s="21" t="s">
        <v>670</v>
      </c>
      <c r="J9" s="21">
        <f t="shared" si="0"/>
        <v>234.39883070921803</v>
      </c>
      <c r="K9" s="21" t="s">
        <v>637</v>
      </c>
      <c r="L9" s="21">
        <f>MAX((L6),0)</f>
        <v>0</v>
      </c>
      <c r="M9" s="21">
        <f>MAX((M6),0)</f>
        <v>0</v>
      </c>
      <c r="N9" s="21" t="s">
        <v>637</v>
      </c>
      <c r="O9" s="21">
        <f t="shared" si="0"/>
        <v>20533.269070793831</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0.16105501906975592</v>
      </c>
      <c r="C11" s="25">
        <f>'EF ele_warmte'!B23</f>
        <v>0.24949972616776622</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8758.9395665598095</v>
      </c>
      <c r="C13" s="23">
        <f>C11*C9</f>
        <v>16.147417689094169</v>
      </c>
      <c r="D13" s="23">
        <f>D9*D11</f>
        <v>37945.920556375182</v>
      </c>
      <c r="E13" s="23">
        <f>E11*E9</f>
        <v>408.47702867122536</v>
      </c>
      <c r="F13" s="23">
        <f>F11*F9</f>
        <v>7807.0854242245496</v>
      </c>
      <c r="G13" s="23" t="s">
        <v>637</v>
      </c>
      <c r="H13" s="23" t="s">
        <v>637</v>
      </c>
      <c r="I13" s="23" t="s">
        <v>637</v>
      </c>
      <c r="J13" s="23">
        <f>J11*J9</f>
        <v>82.977186071063173</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20691</v>
      </c>
      <c r="C27" s="36"/>
      <c r="D27" s="208"/>
      <c r="E27" s="1168"/>
      <c r="L27" s="812"/>
    </row>
    <row r="28" spans="1:12" s="15" customFormat="1" hidden="1">
      <c r="A28" s="210" t="s">
        <v>722</v>
      </c>
      <c r="B28" s="37">
        <f>SUM(HH_hh_gas_aantal,HH_rest_gas_aantal)</f>
        <v>18715</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17779.25</v>
      </c>
      <c r="C32" s="34" t="s">
        <v>91</v>
      </c>
      <c r="D32" s="167"/>
      <c r="E32" s="1168"/>
    </row>
    <row r="33" spans="1:6" hidden="1">
      <c r="A33" s="164" t="s">
        <v>70</v>
      </c>
      <c r="B33" s="33">
        <f>IF((B22*($B$27-($B$28-0.05*$B$28)))&lt;0,0,(B22*($B$27-($B$28-0.05*$B$28))))</f>
        <v>46.955131861388665</v>
      </c>
      <c r="C33" s="34" t="s">
        <v>91</v>
      </c>
      <c r="D33" s="167"/>
      <c r="E33" s="1168"/>
    </row>
    <row r="34" spans="1:6" hidden="1">
      <c r="A34" s="164" t="s">
        <v>71</v>
      </c>
      <c r="B34" s="33">
        <f>IF((B23*($B$27-($B$28-0.05*$B$28)))&lt;0,0,B23*($B$27-($B$28-0.05*$B$28)))</f>
        <v>762.4583457695893</v>
      </c>
      <c r="C34" s="34" t="s">
        <v>91</v>
      </c>
      <c r="D34" s="167"/>
      <c r="E34" s="1168"/>
    </row>
    <row r="35" spans="1:6" hidden="1">
      <c r="A35" s="164" t="s">
        <v>72</v>
      </c>
      <c r="B35" s="33">
        <f>IF((B25*($B$27-($B$28-0.05*$B$28)))&lt;0,0,B25*($B$27-($B$28-0.05*$B$28)))</f>
        <v>333.38955673141982</v>
      </c>
      <c r="C35" s="33">
        <f>B27*C25</f>
        <v>3476.0879999999993</v>
      </c>
      <c r="D35" s="213"/>
      <c r="E35" s="1168"/>
    </row>
    <row r="36" spans="1:6" hidden="1">
      <c r="A36" s="164" t="s">
        <v>73</v>
      </c>
      <c r="B36" s="33">
        <f>IF((B20*($B$27-($B$28-0.05*$B$28)))&lt;0,0,B20*($B$27-($B$28-0.05*$B$28)))</f>
        <v>20.411283876047349</v>
      </c>
      <c r="C36" s="33">
        <f>B36/2</f>
        <v>10.205641938023675</v>
      </c>
      <c r="D36" s="213"/>
      <c r="E36" s="1168"/>
    </row>
    <row r="37" spans="1:6" hidden="1">
      <c r="A37" s="164" t="s">
        <v>74</v>
      </c>
      <c r="B37" s="33">
        <f>IF((B19*($B$27-($B$28-0.05*$B$28)))&lt;0,0,B19*($B$27-($B$28-0.05*$B$28)))</f>
        <v>1542.9663521107684</v>
      </c>
      <c r="C37" s="34" t="s">
        <v>91</v>
      </c>
      <c r="D37" s="167"/>
      <c r="E37" s="1168"/>
    </row>
    <row r="38" spans="1:6" hidden="1">
      <c r="A38" s="164" t="s">
        <v>75</v>
      </c>
      <c r="B38" s="33">
        <f>IF((B24*($B$27-($B$28-0.05*$B$28)))&lt;0,0,B24*($B$27-($B$28-0.05*$B$28)))</f>
        <v>191.88969057835396</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88162.656728974631</v>
      </c>
      <c r="C5" s="17">
        <f>IF(ISERROR('Eigen informatie GS &amp; warmtenet'!B62),0,'Eigen informatie GS &amp; warmtenet'!B62)</f>
        <v>0</v>
      </c>
      <c r="D5" s="30">
        <f>SUM(D6:D12)</f>
        <v>96582.914241918406</v>
      </c>
      <c r="E5" s="17">
        <f>SUM(E6:E12)</f>
        <v>125.44609898489065</v>
      </c>
      <c r="F5" s="17">
        <f>SUM(F6:F12)</f>
        <v>9553.1849849263072</v>
      </c>
      <c r="G5" s="17" t="s">
        <v>637</v>
      </c>
      <c r="H5" s="17">
        <f t="shared" ref="H5" si="0">SUM(H6:H12)</f>
        <v>1.2369095753935855</v>
      </c>
      <c r="I5" s="17" t="s">
        <v>637</v>
      </c>
      <c r="J5" s="17">
        <f>SUM(J6:J12)</f>
        <v>5.8934705861404549E-2</v>
      </c>
      <c r="K5" s="17" t="s">
        <v>637</v>
      </c>
      <c r="L5" s="884" t="s">
        <v>668</v>
      </c>
      <c r="M5" s="17" t="s">
        <v>668</v>
      </c>
      <c r="N5" s="17" t="s">
        <v>668</v>
      </c>
      <c r="O5" s="17">
        <f>SUM(O6:O12)</f>
        <v>2365.1642674480991</v>
      </c>
      <c r="P5" s="17" t="s">
        <v>637</v>
      </c>
      <c r="Q5" s="17" t="s">
        <v>637</v>
      </c>
      <c r="S5" s="32"/>
    </row>
    <row r="6" spans="1:19">
      <c r="A6" s="32" t="s">
        <v>53</v>
      </c>
      <c r="B6" s="37">
        <f>B27</f>
        <v>27923.401368974621</v>
      </c>
      <c r="C6" s="33"/>
      <c r="D6" s="37">
        <f>IF(ISERROR(TER_kantoor_gas_kWh/1000),0,TER_kantoor_gas_kWh/1000)*0.903</f>
        <v>31542.434291178397</v>
      </c>
      <c r="E6" s="33">
        <f>$C$27*'E Balans VL '!I12/100/3.6*1000000</f>
        <v>2.0759254575423336E-3</v>
      </c>
      <c r="F6" s="33">
        <f>$C$27*('E Balans VL '!L12+'E Balans VL '!N12)/100/3.6*1000000</f>
        <v>2306.5114474280763</v>
      </c>
      <c r="G6" s="33"/>
      <c r="H6" s="33">
        <f>$C$27*('E Balans VL '!J12)/100/3.6*1000000</f>
        <v>0</v>
      </c>
      <c r="I6" s="33"/>
      <c r="J6" s="33">
        <f>$C$27*('E Balans VL '!D12+'E Balans VL '!E12)/100/3.6*1000000</f>
        <v>0</v>
      </c>
      <c r="K6" s="33"/>
      <c r="L6" s="33"/>
      <c r="M6" s="33"/>
      <c r="N6" s="33"/>
      <c r="O6" s="33">
        <f>$C$27*'E Balans VL '!Y12/100/3.6*1000000</f>
        <v>34.272529833441212</v>
      </c>
      <c r="P6" s="33"/>
      <c r="Q6" s="33"/>
      <c r="S6" s="32"/>
    </row>
    <row r="7" spans="1:19">
      <c r="A7" s="32" t="s">
        <v>52</v>
      </c>
      <c r="B7" s="37">
        <f t="shared" ref="B7:B12" si="1">B28</f>
        <v>6604.6289000000006</v>
      </c>
      <c r="C7" s="33"/>
      <c r="D7" s="37">
        <f>IF(ISERROR(TER_horeca_gas_kWh/1000),0,TER_horeca_gas_kWh/1000)*0.903</f>
        <v>5651.1786378600009</v>
      </c>
      <c r="E7" s="33">
        <f>$C$28*'E Balans VL '!I9/100/3.6*1000000</f>
        <v>0</v>
      </c>
      <c r="F7" s="33">
        <f>$C$28*('E Balans VL '!L9+'E Balans VL '!N9)/100/3.6*1000000</f>
        <v>813.59741674917404</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27205.444069999998</v>
      </c>
      <c r="C8" s="33"/>
      <c r="D8" s="37">
        <f>IF(ISERROR(TER_handel_gas_kWh/1000),0,TER_handel_gas_kWh/1000)*0.903</f>
        <v>19066.939417680001</v>
      </c>
      <c r="E8" s="33">
        <f>$C$29*'E Balans VL '!I13/100/3.6*1000000</f>
        <v>0.74683452885806556</v>
      </c>
      <c r="F8" s="33">
        <f>$C$29*('E Balans VL '!L13+'E Balans VL '!N13)/100/3.6*1000000</f>
        <v>2065.3294499243166</v>
      </c>
      <c r="G8" s="33"/>
      <c r="H8" s="33">
        <f>$C$29*('E Balans VL '!J13)/100/3.6*1000000</f>
        <v>0</v>
      </c>
      <c r="I8" s="33"/>
      <c r="J8" s="33">
        <f>$C$29*('E Balans VL '!D13+'E Balans VL '!E13)/100/3.6*1000000</f>
        <v>0</v>
      </c>
      <c r="K8" s="33"/>
      <c r="L8" s="33"/>
      <c r="M8" s="33"/>
      <c r="N8" s="33"/>
      <c r="O8" s="33">
        <f>$C$29*'E Balans VL '!Y13/100/3.6*1000000</f>
        <v>18.51315278437712</v>
      </c>
      <c r="P8" s="33"/>
      <c r="Q8" s="33"/>
      <c r="S8" s="32"/>
    </row>
    <row r="9" spans="1:19">
      <c r="A9" s="32" t="s">
        <v>50</v>
      </c>
      <c r="B9" s="37">
        <f t="shared" si="1"/>
        <v>16595.313570000002</v>
      </c>
      <c r="C9" s="33"/>
      <c r="D9" s="37">
        <f>IF(ISERROR(TER_gezond_gas_kWh/1000),0,TER_gezond_gas_kWh/1000)*0.903</f>
        <v>19347.30035637</v>
      </c>
      <c r="E9" s="33">
        <f>$C$30*'E Balans VL '!I10/100/3.6*1000000</f>
        <v>0</v>
      </c>
      <c r="F9" s="33">
        <f>$C$30*('E Balans VL '!L10+'E Balans VL '!N10)/100/3.6*1000000</f>
        <v>291.46104501172272</v>
      </c>
      <c r="G9" s="33"/>
      <c r="H9" s="33">
        <f>$C$30*('E Balans VL '!J10)/100/3.6*1000000</f>
        <v>0</v>
      </c>
      <c r="I9" s="33"/>
      <c r="J9" s="33">
        <f>$C$30*('E Balans VL '!D10+'E Balans VL '!E10)/100/3.6*1000000</f>
        <v>0</v>
      </c>
      <c r="K9" s="33"/>
      <c r="L9" s="33"/>
      <c r="M9" s="33"/>
      <c r="N9" s="33"/>
      <c r="O9" s="33">
        <f>$C$30*'E Balans VL '!Y10/100/3.6*1000000</f>
        <v>80.858339021018381</v>
      </c>
      <c r="P9" s="33"/>
      <c r="Q9" s="33"/>
      <c r="S9" s="32"/>
    </row>
    <row r="10" spans="1:19">
      <c r="A10" s="32" t="s">
        <v>49</v>
      </c>
      <c r="B10" s="37">
        <f t="shared" si="1"/>
        <v>6295.2208099999998</v>
      </c>
      <c r="C10" s="33"/>
      <c r="D10" s="37">
        <f>IF(ISERROR(TER_ander_gas_kWh/1000),0,TER_ander_gas_kWh/1000)*0.903</f>
        <v>7185.1651756500005</v>
      </c>
      <c r="E10" s="33">
        <f>$C$31*'E Balans VL '!I14/100/3.6*1000000</f>
        <v>124.62440039138342</v>
      </c>
      <c r="F10" s="33">
        <f>$C$31*('E Balans VL '!L14+'E Balans VL '!N14)/100/3.6*1000000</f>
        <v>3814.9661157901742</v>
      </c>
      <c r="G10" s="33"/>
      <c r="H10" s="33">
        <f>$C$31*('E Balans VL '!J14)/100/3.6*1000000</f>
        <v>1.2361886849970884</v>
      </c>
      <c r="I10" s="33"/>
      <c r="J10" s="33">
        <f>$C$31*('E Balans VL '!D14+'E Balans VL '!E14)/100/3.6*1000000</f>
        <v>5.8900357785909747E-2</v>
      </c>
      <c r="K10" s="33"/>
      <c r="L10" s="33"/>
      <c r="M10" s="33"/>
      <c r="N10" s="33"/>
      <c r="O10" s="33">
        <f>$C$31*'E Balans VL '!Y14/100/3.6*1000000</f>
        <v>2226.9563825573409</v>
      </c>
      <c r="P10" s="33"/>
      <c r="Q10" s="33"/>
      <c r="S10" s="32"/>
    </row>
    <row r="11" spans="1:19">
      <c r="A11" s="32" t="s">
        <v>54</v>
      </c>
      <c r="B11" s="37">
        <f t="shared" si="1"/>
        <v>3522.9158299999999</v>
      </c>
      <c r="C11" s="33"/>
      <c r="D11" s="37">
        <f>IF(ISERROR(TER_onderwijs_gas_kWh/1000),0,TER_onderwijs_gas_kWh/1000)*0.903</f>
        <v>13789.89636318</v>
      </c>
      <c r="E11" s="33">
        <f>$C$32*'E Balans VL '!I11/100/3.6*1000000</f>
        <v>0</v>
      </c>
      <c r="F11" s="33">
        <f>$C$32*('E Balans VL '!L11+'E Balans VL '!N11)/100/3.6*1000000</f>
        <v>258.17984274468012</v>
      </c>
      <c r="G11" s="33"/>
      <c r="H11" s="33">
        <f>$C$32*('E Balans VL '!J11)/100/3.6*1000000</f>
        <v>0</v>
      </c>
      <c r="I11" s="33"/>
      <c r="J11" s="33">
        <f>$C$32*('E Balans VL '!D11+'E Balans VL '!E11)/100/3.6*1000000</f>
        <v>0</v>
      </c>
      <c r="K11" s="33"/>
      <c r="L11" s="33"/>
      <c r="M11" s="33"/>
      <c r="N11" s="33"/>
      <c r="O11" s="33">
        <f>$C$32*'E Balans VL '!Y11/100/3.6*1000000</f>
        <v>3.2489573719410165</v>
      </c>
      <c r="P11" s="33"/>
      <c r="Q11" s="33"/>
      <c r="S11" s="32"/>
    </row>
    <row r="12" spans="1:19">
      <c r="A12" s="32" t="s">
        <v>229</v>
      </c>
      <c r="B12" s="37">
        <f t="shared" si="1"/>
        <v>15.73218</v>
      </c>
      <c r="C12" s="33"/>
      <c r="D12" s="37">
        <f>IF(ISERROR(TER_rest_gas_kWh/1000),0,TER_rest_gas_kWh/1000)*0.903</f>
        <v>0</v>
      </c>
      <c r="E12" s="33">
        <f>$C$33*'E Balans VL '!I8/100/3.6*1000000</f>
        <v>7.2788139191626758E-2</v>
      </c>
      <c r="F12" s="33">
        <f>$C$33*('E Balans VL '!L8+'E Balans VL '!N8)/100/3.6*1000000</f>
        <v>3.1396672781642607</v>
      </c>
      <c r="G12" s="33"/>
      <c r="H12" s="33">
        <f>$C$33*('E Balans VL '!J8)/100/3.6*1000000</f>
        <v>7.2089039649692239E-4</v>
      </c>
      <c r="I12" s="33"/>
      <c r="J12" s="33">
        <f>$C$33*('E Balans VL '!D8+'E Balans VL '!E8)/100/3.6*1000000</f>
        <v>3.4348075494798019E-5</v>
      </c>
      <c r="K12" s="33"/>
      <c r="L12" s="33"/>
      <c r="M12" s="33"/>
      <c r="N12" s="33"/>
      <c r="O12" s="33">
        <f>$C$33*'E Balans VL '!Y8/100/3.6*1000000</f>
        <v>1.3149058799804529</v>
      </c>
      <c r="P12" s="33"/>
      <c r="Q12" s="33"/>
      <c r="S12" s="32"/>
    </row>
    <row r="13" spans="1:19">
      <c r="A13" s="16" t="s">
        <v>625</v>
      </c>
      <c r="B13" s="17">
        <f>'lokale energieproductie'!N34</f>
        <v>176.05800003555609</v>
      </c>
      <c r="C13" s="17">
        <f>'lokale energieproductie'!O34</f>
        <v>242.30520897059225</v>
      </c>
      <c r="D13" s="920">
        <f>('lokale energieproductie'!P34)*(-1)</f>
        <v>-421.73819887340431</v>
      </c>
      <c r="E13" s="920">
        <f>('lokale energieproductie'!X34)*(-1)</f>
        <v>0</v>
      </c>
      <c r="F13" s="920">
        <f>('lokale energieproductie'!S34)*(-1)</f>
        <v>0</v>
      </c>
      <c r="G13" s="224"/>
      <c r="H13" s="223"/>
      <c r="I13" s="223"/>
      <c r="J13" s="223"/>
      <c r="K13" s="223"/>
      <c r="L13" s="920"/>
      <c r="M13" s="920"/>
      <c r="N13" s="223"/>
      <c r="O13" s="920">
        <f>('lokale energieproductie'!R34+'lokale energieproductie'!V34+'lokale energieproductie'!Q34+'lokale energieproductie'!U34+'lokale energieproductie'!T34)*(-1)</f>
        <v>-83.081250073111505</v>
      </c>
      <c r="P13" s="223"/>
      <c r="Q13" s="223"/>
      <c r="S13" s="32"/>
    </row>
    <row r="14" spans="1:19" s="812" customFormat="1">
      <c r="A14" s="16" t="s">
        <v>484</v>
      </c>
      <c r="B14" s="1008">
        <f>MWh_eigenverbruikPV_tertiair</f>
        <v>864.2360843813924</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-2450.6640334716981</v>
      </c>
      <c r="C15" s="17">
        <f>('Eigen gebouwen'!C4)*(-1)</f>
        <v>0</v>
      </c>
      <c r="D15" s="17">
        <f>('Eigen gebouwen'!D4)*(-1)</f>
        <v>-5808.8778025836536</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86752.286779919887</v>
      </c>
      <c r="C17" s="21">
        <f t="shared" ref="C17:O17" si="2">MAX((C5+C13+C15),0)</f>
        <v>242.30520897059225</v>
      </c>
      <c r="D17" s="21">
        <f t="shared" si="2"/>
        <v>90352.298240461358</v>
      </c>
      <c r="E17" s="21">
        <f t="shared" si="2"/>
        <v>125.44609898489065</v>
      </c>
      <c r="F17" s="21">
        <f>MAX((F5+F13+F15),0)</f>
        <v>9553.1849849263072</v>
      </c>
      <c r="G17" s="21" t="s">
        <v>637</v>
      </c>
      <c r="H17" s="21">
        <f t="shared" ref="H17" si="3">MAX((H5+H13+H15),0)</f>
        <v>1.2369095753935855</v>
      </c>
      <c r="I17" s="21" t="s">
        <v>637</v>
      </c>
      <c r="J17" s="21">
        <f t="shared" si="2"/>
        <v>5.8934705861404549E-2</v>
      </c>
      <c r="K17" s="21" t="s">
        <v>637</v>
      </c>
      <c r="L17" s="21" t="s">
        <v>668</v>
      </c>
      <c r="M17" s="21" t="s">
        <v>668</v>
      </c>
      <c r="N17" s="21" t="s">
        <v>668</v>
      </c>
      <c r="O17" s="21">
        <f t="shared" si="2"/>
        <v>2282.0830173749873</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0.16105501906975592</v>
      </c>
      <c r="C19" s="25">
        <f>'EF ele_warmte'!B23</f>
        <v>0.24949972616776622</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13971.891201684932</v>
      </c>
      <c r="C21" s="23">
        <f t="shared" ref="C21:O21" si="4">C17*C19</f>
        <v>60.455083287186135</v>
      </c>
      <c r="D21" s="23">
        <f t="shared" si="4"/>
        <v>18251.164244573196</v>
      </c>
      <c r="E21" s="23">
        <f t="shared" si="4"/>
        <v>28.476264469570179</v>
      </c>
      <c r="F21" s="23">
        <f t="shared" si="4"/>
        <v>2550.7003909753244</v>
      </c>
      <c r="G21" s="23" t="s">
        <v>637</v>
      </c>
      <c r="H21" s="23">
        <f t="shared" si="4"/>
        <v>0.3079904842730028</v>
      </c>
      <c r="I21" s="23" t="s">
        <v>637</v>
      </c>
      <c r="J21" s="23">
        <f t="shared" si="4"/>
        <v>2.0862885874937211E-2</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27923.401368974621</v>
      </c>
      <c r="C27" s="39">
        <f>IF(ISERROR(B27*3.6/1000000/'E Balans VL '!Z12*100),0,B27*3.6/1000000/'E Balans VL '!Z12*100)</f>
        <v>0.85058281314474193</v>
      </c>
      <c r="D27" s="216" t="s">
        <v>734</v>
      </c>
      <c r="F27" s="6"/>
    </row>
    <row r="28" spans="1:19">
      <c r="A28" s="211" t="s">
        <v>52</v>
      </c>
      <c r="B28" s="33">
        <f>IF(ISERROR(TER_horeca_ele_kWh/1000),0,TER_horeca_ele_kWh/1000)</f>
        <v>6604.6289000000006</v>
      </c>
      <c r="C28" s="39">
        <f>IF(ISERROR(B28*3.6/1000000/'E Balans VL '!Z9*100),0,B28*3.6/1000000/'E Balans VL '!Z9*100)</f>
        <v>0.78669080473599373</v>
      </c>
      <c r="D28" s="216" t="s">
        <v>734</v>
      </c>
      <c r="F28" s="6"/>
    </row>
    <row r="29" spans="1:19">
      <c r="A29" s="164" t="s">
        <v>51</v>
      </c>
      <c r="B29" s="33">
        <f>IF(ISERROR(TER_handel_ele_kWh/1000),0,TER_handel_ele_kWh/1000)</f>
        <v>27205.444069999998</v>
      </c>
      <c r="C29" s="39">
        <f>IF(ISERROR(B29*3.6/1000000/'E Balans VL '!Z13*100),0,B29*3.6/1000000/'E Balans VL '!Z13*100)</f>
        <v>0.93491509053575017</v>
      </c>
      <c r="D29" s="216" t="s">
        <v>734</v>
      </c>
      <c r="F29" s="6"/>
    </row>
    <row r="30" spans="1:19">
      <c r="A30" s="211" t="s">
        <v>50</v>
      </c>
      <c r="B30" s="33">
        <f>IF(ISERROR(TER_gezond_ele_kWh/1000),0,TER_gezond_ele_kWh/1000)</f>
        <v>16595.313570000002</v>
      </c>
      <c r="C30" s="39">
        <f>IF(ISERROR(B30*3.6/1000000/'E Balans VL '!Z10*100),0,B30*3.6/1000000/'E Balans VL '!Z10*100)</f>
        <v>1.5926619143226617</v>
      </c>
      <c r="D30" s="216" t="s">
        <v>734</v>
      </c>
      <c r="F30" s="6"/>
    </row>
    <row r="31" spans="1:19">
      <c r="A31" s="211" t="s">
        <v>49</v>
      </c>
      <c r="B31" s="33">
        <f>IF(ISERROR(TER_ander_ele_kWh/1000),0,TER_ander_ele_kWh/1000)</f>
        <v>6295.2208099999998</v>
      </c>
      <c r="C31" s="39">
        <f>IF(ISERROR(B31*3.6/1000000/'E Balans VL '!Z14*100),0,B31*3.6/1000000/'E Balans VL '!Z14*100)</f>
        <v>0.24123013427676346</v>
      </c>
      <c r="D31" s="216" t="s">
        <v>734</v>
      </c>
      <c r="F31" s="6"/>
    </row>
    <row r="32" spans="1:19">
      <c r="A32" s="211" t="s">
        <v>54</v>
      </c>
      <c r="B32" s="33">
        <f>IF(ISERROR(TER_onderwijs_ele_kWh/1000),0,TER_onderwijs_ele_kWh/1000)</f>
        <v>3522.9158299999999</v>
      </c>
      <c r="C32" s="39">
        <f>IF(ISERROR(B32*3.6/1000000/'E Balans VL '!Z11*100),0,B32*3.6/1000000/'E Balans VL '!Z11*100)</f>
        <v>0.70540489055464073</v>
      </c>
      <c r="D32" s="216" t="s">
        <v>734</v>
      </c>
    </row>
    <row r="33" spans="1:4">
      <c r="A33" s="211" t="s">
        <v>229</v>
      </c>
      <c r="B33" s="33">
        <f>IF(ISERROR(TER_rest_ele_kWh/1000),0,TER_rest_ele_kWh/1000)</f>
        <v>15.73218</v>
      </c>
      <c r="C33" s="39">
        <f>IF(ISERROR(B33*3.6/1000000/'E Balans VL '!Z8*100),0,B33*3.6/1000000/'E Balans VL '!Z8*100)</f>
        <v>1.4067471192408742E-4</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145908.42774000001</v>
      </c>
      <c r="C5" s="17">
        <f>IF(ISERROR('Eigen informatie GS &amp; warmtenet'!B63),0,'Eigen informatie GS &amp; warmtenet'!B63)</f>
        <v>0</v>
      </c>
      <c r="D5" s="30">
        <f>SUM(D6:D15)</f>
        <v>132090.84277221002</v>
      </c>
      <c r="E5" s="17">
        <f>SUM(E6:E15)</f>
        <v>5347.1070437402595</v>
      </c>
      <c r="F5" s="17">
        <f>SUM(F6:F15)</f>
        <v>50427.316317615318</v>
      </c>
      <c r="G5" s="17" t="s">
        <v>637</v>
      </c>
      <c r="H5" s="17">
        <f t="shared" ref="H5" si="0">SUM(H6:H15)</f>
        <v>0</v>
      </c>
      <c r="I5" s="17" t="s">
        <v>637</v>
      </c>
      <c r="J5" s="17">
        <f>SUM(J6:J15)</f>
        <v>31.535155854928213</v>
      </c>
      <c r="K5" s="17" t="s">
        <v>637</v>
      </c>
      <c r="L5" s="884" t="s">
        <v>668</v>
      </c>
      <c r="M5" s="17" t="s">
        <v>668</v>
      </c>
      <c r="N5" s="17" t="s">
        <v>668</v>
      </c>
      <c r="O5" s="17">
        <f>SUM(O6:O15)</f>
        <v>5437.0332048889768</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25628.314609999998</v>
      </c>
      <c r="C8" s="33"/>
      <c r="D8" s="37">
        <f>IF( ISERROR(IND_metaal_Gas_kWH/1000),0,IND_metaal_Gas_kWH/1000)*0.903</f>
        <v>15691.88564244</v>
      </c>
      <c r="E8" s="33">
        <f>C31*'E Balans VL '!I18/100/3.6*1000000</f>
        <v>142.13487994156651</v>
      </c>
      <c r="F8" s="33">
        <f>C31*'E Balans VL '!L18/100/3.6*1000000+C31*'E Balans VL '!N18/100/3.6*1000000</f>
        <v>1514.6287892156097</v>
      </c>
      <c r="G8" s="33"/>
      <c r="H8" s="33">
        <f>E31*'E Balans VL '!J18/100/3.6*1000000</f>
        <v>0</v>
      </c>
      <c r="I8" s="33"/>
      <c r="J8" s="40">
        <f>C31*'E Balans VL '!D18/100/3.6*1000000+C31*'E Balans VL '!E18/100/3.6*1000000</f>
        <v>0</v>
      </c>
      <c r="K8" s="33"/>
      <c r="L8" s="33"/>
      <c r="M8" s="33"/>
      <c r="N8" s="33"/>
      <c r="O8" s="33">
        <f>C31*'E Balans VL '!Y18/100/3.6*1000000</f>
        <v>409.88504711271963</v>
      </c>
      <c r="P8" s="33"/>
      <c r="Q8" s="33"/>
      <c r="S8" s="32"/>
    </row>
    <row r="9" spans="1:19">
      <c r="A9" s="6" t="s">
        <v>32</v>
      </c>
      <c r="B9" s="37">
        <f t="shared" si="1"/>
        <v>45393.694200000005</v>
      </c>
      <c r="C9" s="33"/>
      <c r="D9" s="37">
        <f>IF( ISERROR(IND_andere_gas_kWh/1000),0,IND_andere_gas_kWh/1000)*0.903</f>
        <v>30618.961023</v>
      </c>
      <c r="E9" s="33">
        <f>C32*'E Balans VL '!I19/100/3.6*1000000</f>
        <v>285.81524493179683</v>
      </c>
      <c r="F9" s="33">
        <f>C32*'E Balans VL '!L19/100/3.6*1000000+C32*'E Balans VL '!N19/100/3.6*1000000</f>
        <v>45979.925265695201</v>
      </c>
      <c r="G9" s="33"/>
      <c r="H9" s="33">
        <f>E32*'E Balans VL '!J19/100/3.6*1000000</f>
        <v>0</v>
      </c>
      <c r="I9" s="33"/>
      <c r="J9" s="40">
        <f>C32*'E Balans VL '!D19/100/3.6*1000000+C32*'E Balans VL '!E19/100/3.6*1000000</f>
        <v>0</v>
      </c>
      <c r="K9" s="33"/>
      <c r="L9" s="33"/>
      <c r="M9" s="33"/>
      <c r="N9" s="33"/>
      <c r="O9" s="33">
        <f>C32*'E Balans VL '!Y19/100/3.6*1000000</f>
        <v>2924.6709759604792</v>
      </c>
      <c r="P9" s="33"/>
      <c r="Q9" s="33"/>
      <c r="S9" s="32"/>
    </row>
    <row r="10" spans="1:19">
      <c r="A10" s="6" t="s">
        <v>40</v>
      </c>
      <c r="B10" s="37">
        <f t="shared" si="1"/>
        <v>25876.939879999998</v>
      </c>
      <c r="C10" s="33"/>
      <c r="D10" s="37">
        <f>IF( ISERROR(IND_voed_gas_kWh/1000),0,IND_voed_gas_kWh/1000)*0.903</f>
        <v>45869.653164300005</v>
      </c>
      <c r="E10" s="33">
        <f>C33*'E Balans VL '!I20/100/3.6*1000000</f>
        <v>68.563824170392394</v>
      </c>
      <c r="F10" s="33">
        <f>C33*'E Balans VL '!L20/100/3.6*1000000+C33*'E Balans VL '!N20/100/3.6*1000000</f>
        <v>1050.8171275562977</v>
      </c>
      <c r="G10" s="33"/>
      <c r="H10" s="33">
        <f>E33*'E Balans VL '!J20/100/3.6*1000000</f>
        <v>0</v>
      </c>
      <c r="I10" s="33"/>
      <c r="J10" s="40">
        <f>C33*'E Balans VL '!D20/100/3.6*1000000+C33*'E Balans VL '!E20/100/3.6*1000000</f>
        <v>0</v>
      </c>
      <c r="K10" s="33"/>
      <c r="L10" s="33"/>
      <c r="M10" s="33"/>
      <c r="N10" s="33"/>
      <c r="O10" s="33">
        <f>C33*'E Balans VL '!Y20/100/3.6*1000000</f>
        <v>1700.9507076602556</v>
      </c>
      <c r="P10" s="33"/>
      <c r="Q10" s="33"/>
      <c r="S10" s="32"/>
    </row>
    <row r="11" spans="1:19">
      <c r="A11" s="6" t="s">
        <v>39</v>
      </c>
      <c r="B11" s="37">
        <f t="shared" si="1"/>
        <v>137.67613</v>
      </c>
      <c r="C11" s="33"/>
      <c r="D11" s="37">
        <f>IF( ISERROR(IND_textiel_gas_kWh/1000),0,IND_textiel_gas_kWh/1000)*0.903</f>
        <v>234.30124746000004</v>
      </c>
      <c r="E11" s="33">
        <f>C34*'E Balans VL '!I21/100/3.6*1000000</f>
        <v>1.8259385431357487</v>
      </c>
      <c r="F11" s="33">
        <f>C34*'E Balans VL '!L21/100/3.6*1000000+C34*'E Balans VL '!N21/100/3.6*1000000</f>
        <v>5.484505224632116</v>
      </c>
      <c r="G11" s="33"/>
      <c r="H11" s="33">
        <f>E34*'E Balans VL '!J21/100/3.6*1000000</f>
        <v>0</v>
      </c>
      <c r="I11" s="33"/>
      <c r="J11" s="40">
        <f>C34*'E Balans VL '!D21/100/3.6*1000000+C34*'E Balans VL '!E21/100/3.6*1000000</f>
        <v>0</v>
      </c>
      <c r="K11" s="33"/>
      <c r="L11" s="33"/>
      <c r="M11" s="33"/>
      <c r="N11" s="33"/>
      <c r="O11" s="33">
        <f>C34*'E Balans VL '!Y21/100/3.6*1000000</f>
        <v>1.714735181671093E-2</v>
      </c>
      <c r="P11" s="33"/>
      <c r="Q11" s="33"/>
      <c r="S11" s="32"/>
    </row>
    <row r="12" spans="1:19">
      <c r="A12" s="6" t="s">
        <v>36</v>
      </c>
      <c r="B12" s="37">
        <f t="shared" si="1"/>
        <v>474.88398999999998</v>
      </c>
      <c r="C12" s="33"/>
      <c r="D12" s="37">
        <f>IF( ISERROR(IND_min_gas_kWh/1000),0,IND_min_gas_kWh/1000)*0.903</f>
        <v>64.486796850000005</v>
      </c>
      <c r="E12" s="33">
        <f>C35*'E Balans VL '!I22/100/3.6*1000000</f>
        <v>4.0077710345671553</v>
      </c>
      <c r="F12" s="33">
        <f>C35*'E Balans VL '!L22/100/3.6*1000000+C35*'E Balans VL '!N22/100/3.6*1000000</f>
        <v>61.107616120185369</v>
      </c>
      <c r="G12" s="33"/>
      <c r="H12" s="33">
        <f>E35*'E Balans VL '!J22/100/3.6*1000000</f>
        <v>0</v>
      </c>
      <c r="I12" s="33"/>
      <c r="J12" s="40">
        <f>C35*'E Balans VL '!D22/100/3.6*1000000+C35*'E Balans VL '!E22/100/3.6*1000000</f>
        <v>10.613600776691859</v>
      </c>
      <c r="K12" s="33"/>
      <c r="L12" s="33"/>
      <c r="M12" s="33"/>
      <c r="N12" s="33"/>
      <c r="O12" s="33">
        <f>C35*'E Balans VL '!Y22/100/3.6*1000000</f>
        <v>205.7073727590012</v>
      </c>
      <c r="P12" s="33"/>
      <c r="Q12" s="33"/>
      <c r="S12" s="32"/>
    </row>
    <row r="13" spans="1:19">
      <c r="A13" s="6" t="s">
        <v>38</v>
      </c>
      <c r="B13" s="37">
        <f t="shared" si="1"/>
        <v>26267.863129999998</v>
      </c>
      <c r="C13" s="33"/>
      <c r="D13" s="37">
        <f>IF( ISERROR(IND_papier_gas_kWh/1000),0,IND_papier_gas_kWh/1000)*0.903</f>
        <v>21765.633596070002</v>
      </c>
      <c r="E13" s="33">
        <f>C36*'E Balans VL '!I23/100/3.6*1000000</f>
        <v>0</v>
      </c>
      <c r="F13" s="33">
        <f>C36*'E Balans VL '!L23/100/3.6*1000000+C36*'E Balans VL '!N23/100/3.6*1000000</f>
        <v>109.4508279081724</v>
      </c>
      <c r="G13" s="33"/>
      <c r="H13" s="33">
        <f>E36*'E Balans VL '!J23/100/3.6*1000000</f>
        <v>0</v>
      </c>
      <c r="I13" s="33"/>
      <c r="J13" s="40">
        <f>C36*'E Balans VL '!D23/100/3.6*1000000+C36*'E Balans VL '!E23/100/3.6*1000000</f>
        <v>0</v>
      </c>
      <c r="K13" s="33"/>
      <c r="L13" s="33"/>
      <c r="M13" s="33"/>
      <c r="N13" s="33"/>
      <c r="O13" s="33">
        <f>C36*'E Balans VL '!Y23/100/3.6*1000000</f>
        <v>-2.8621292872214832E-5</v>
      </c>
      <c r="P13" s="33"/>
      <c r="Q13" s="33"/>
      <c r="S13" s="32"/>
    </row>
    <row r="14" spans="1:19">
      <c r="A14" s="6" t="s">
        <v>33</v>
      </c>
      <c r="B14" s="37">
        <f t="shared" si="1"/>
        <v>18269.758870000001</v>
      </c>
      <c r="C14" s="33"/>
      <c r="D14" s="37">
        <f>IF( ISERROR(IND_chemie_gas_kWh/1000),0,IND_chemie_gas_kWh/1000)*0.903</f>
        <v>13397.168118180001</v>
      </c>
      <c r="E14" s="33">
        <f>C37*'E Balans VL '!I24/100/3.6*1000000</f>
        <v>4555.9810289861343</v>
      </c>
      <c r="F14" s="33">
        <f>C37*'E Balans VL '!L24/100/3.6*1000000+C37*'E Balans VL '!N24/100/3.6*1000000</f>
        <v>845.97228776488362</v>
      </c>
      <c r="G14" s="33"/>
      <c r="H14" s="33">
        <f>E37*'E Balans VL '!J24/100/3.6*1000000</f>
        <v>0</v>
      </c>
      <c r="I14" s="33"/>
      <c r="J14" s="40">
        <f>C37*'E Balans VL '!D24/100/3.6*1000000+C37*'E Balans VL '!E24/100/3.6*1000000</f>
        <v>0</v>
      </c>
      <c r="K14" s="33"/>
      <c r="L14" s="33"/>
      <c r="M14" s="33"/>
      <c r="N14" s="33"/>
      <c r="O14" s="33">
        <f>C37*'E Balans VL '!Y24/100/3.6*1000000</f>
        <v>12.488359572893035</v>
      </c>
      <c r="P14" s="33"/>
      <c r="Q14" s="33"/>
      <c r="S14" s="32"/>
    </row>
    <row r="15" spans="1:19">
      <c r="A15" s="6" t="s">
        <v>234</v>
      </c>
      <c r="B15" s="37">
        <f t="shared" si="1"/>
        <v>3859.29693</v>
      </c>
      <c r="C15" s="33"/>
      <c r="D15" s="37">
        <f>IF( ISERROR(IND_rest_gas_kWh/1000),0,IND_rest_gas_kWh/1000)*0.903</f>
        <v>4448.7531839099993</v>
      </c>
      <c r="E15" s="33">
        <f>C38*'E Balans VL '!I15/100/3.6*1000000</f>
        <v>288.77835613266711</v>
      </c>
      <c r="F15" s="33">
        <f>C38*'E Balans VL '!L15/100/3.6*1000000+C38*'E Balans VL '!N15/100/3.6*1000000</f>
        <v>859.92989813033773</v>
      </c>
      <c r="G15" s="33"/>
      <c r="H15" s="33">
        <f>E38*'E Balans VL '!J15/100/3.6*1000000</f>
        <v>0</v>
      </c>
      <c r="I15" s="33"/>
      <c r="J15" s="40">
        <f>C38*'E Balans VL '!D15/100/3.6*1000000+C38*'E Balans VL '!E15/100/3.6*1000000</f>
        <v>20.921555078236356</v>
      </c>
      <c r="K15" s="33"/>
      <c r="L15" s="33"/>
      <c r="M15" s="33"/>
      <c r="N15" s="33"/>
      <c r="O15" s="33">
        <f>C38*'E Balans VL '!Y15/100/3.6*1000000</f>
        <v>183.3136230931029</v>
      </c>
      <c r="P15" s="33"/>
      <c r="Q15" s="33"/>
      <c r="S15" s="32"/>
    </row>
    <row r="16" spans="1:19">
      <c r="A16" s="16" t="s">
        <v>626</v>
      </c>
      <c r="B16" s="17">
        <f>'lokale energieproductie'!N33</f>
        <v>1991.935000159355</v>
      </c>
      <c r="C16" s="17">
        <f>'lokale energieproductie'!O33</f>
        <v>2300.9756770031408</v>
      </c>
      <c r="D16" s="920">
        <f>('lokale energieproductie'!P33)*(-1)</f>
        <v>-5416.3791154333103</v>
      </c>
      <c r="E16" s="920">
        <f>('lokale energieproductie'!X33)*(-1)</f>
        <v>0</v>
      </c>
      <c r="F16" s="920">
        <f>('lokale energieproductie'!S33)*(-1)</f>
        <v>0</v>
      </c>
      <c r="G16" s="224"/>
      <c r="H16" s="223"/>
      <c r="I16" s="223"/>
      <c r="J16" s="223"/>
      <c r="K16" s="223"/>
      <c r="L16" s="888"/>
      <c r="M16" s="920"/>
      <c r="N16" s="223"/>
      <c r="O16" s="920">
        <f>('lokale energieproductie'!Q33+'lokale energieproductie'!R33+'lokale energieproductie'!V33+'lokale energieproductie'!T33+'lokale energieproductie'!U33)*(-1)</f>
        <v>0</v>
      </c>
      <c r="P16" s="223"/>
      <c r="Q16" s="223"/>
      <c r="S16" s="32"/>
    </row>
    <row r="17" spans="1:19" s="812" customFormat="1">
      <c r="A17" s="16" t="s">
        <v>484</v>
      </c>
      <c r="B17" s="17">
        <f>MWh_eigenverbruikPV_industrie</f>
        <v>228.3728730703474</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148128.73561322971</v>
      </c>
      <c r="C19" s="21">
        <f>C5+C16</f>
        <v>2300.9756770031408</v>
      </c>
      <c r="D19" s="21">
        <f>MAX((D5+D16),0)</f>
        <v>126674.4636567767</v>
      </c>
      <c r="E19" s="21">
        <f>MAX((E5+E16),0)</f>
        <v>5347.1070437402595</v>
      </c>
      <c r="F19" s="21">
        <f>MAX((F5+F16),0)</f>
        <v>50427.316317615318</v>
      </c>
      <c r="G19" s="21" t="s">
        <v>637</v>
      </c>
      <c r="H19" s="21">
        <f t="shared" ref="H19" si="2">MAX((H5+H16),0)</f>
        <v>0</v>
      </c>
      <c r="I19" s="21" t="s">
        <v>637</v>
      </c>
      <c r="J19" s="21">
        <f>MAX((J5+J16),0)</f>
        <v>31.535155854928213</v>
      </c>
      <c r="K19" s="21" t="s">
        <v>637</v>
      </c>
      <c r="L19" s="882" t="s">
        <v>668</v>
      </c>
      <c r="M19" s="21" t="s">
        <v>668</v>
      </c>
      <c r="N19" s="21" t="s">
        <v>668</v>
      </c>
      <c r="O19" s="21">
        <f>MAX((O5+O16),0)</f>
        <v>5437.0332048889768</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0.16105501906975592</v>
      </c>
      <c r="C21" s="25">
        <f>'EF ele_warmte'!B23</f>
        <v>0.24949972616776622</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23856.876338967544</v>
      </c>
      <c r="C23" s="23">
        <f>C19*C21</f>
        <v>574.09280133097411</v>
      </c>
      <c r="D23" s="23">
        <f>D19*D21</f>
        <v>25588.241658668896</v>
      </c>
      <c r="E23" s="23">
        <f>E19*E21</f>
        <v>1213.7932989290389</v>
      </c>
      <c r="F23" s="23">
        <f>F19*F21</f>
        <v>13464.09345680329</v>
      </c>
      <c r="G23" s="23" t="s">
        <v>637</v>
      </c>
      <c r="H23" s="23">
        <f t="shared" ref="H23" si="3">H19*H21</f>
        <v>0</v>
      </c>
      <c r="I23" s="23" t="s">
        <v>637</v>
      </c>
      <c r="J23" s="23">
        <f>J19*J21</f>
        <v>11.163445172644586</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25628.314609999998</v>
      </c>
      <c r="C31" s="39">
        <f>IF(ISERROR(B31*3.6/1000000/'E Balans VL '!Z18*100),0,B31*3.6/1000000/'E Balans VL '!Z18*100)</f>
        <v>1.79910934940852</v>
      </c>
      <c r="D31" s="216" t="s">
        <v>735</v>
      </c>
    </row>
    <row r="32" spans="1:19" ht="30">
      <c r="A32" s="6" t="s">
        <v>32</v>
      </c>
      <c r="B32" s="37">
        <f>IF( ISERROR(IND_ander_ele_kWh/1000),0,IND_ander_ele_kWh/1000)</f>
        <v>45393.694200000005</v>
      </c>
      <c r="C32" s="39">
        <f>IF(ISERROR(B32*3.6/1000000/'E Balans VL '!Z19*100),0,B32*3.6/1000000/'E Balans VL '!Z19*100)</f>
        <v>2.4176264246375383</v>
      </c>
      <c r="D32" s="216" t="s">
        <v>735</v>
      </c>
    </row>
    <row r="33" spans="1:5" ht="30">
      <c r="A33" s="164" t="s">
        <v>40</v>
      </c>
      <c r="B33" s="37">
        <f>IF( ISERROR(IND_voed_ele_kWh/1000),0,IND_voed_ele_kWh/1000)</f>
        <v>25876.939879999998</v>
      </c>
      <c r="C33" s="39">
        <f>IF(ISERROR(B33*3.6/1000000/'E Balans VL '!Z20*100),0,B33*3.6/1000000/'E Balans VL '!Z20*100)</f>
        <v>0.93768765796768738</v>
      </c>
      <c r="D33" s="216" t="s">
        <v>735</v>
      </c>
    </row>
    <row r="34" spans="1:5" ht="30">
      <c r="A34" s="164" t="s">
        <v>39</v>
      </c>
      <c r="B34" s="37">
        <f>IF( ISERROR(IND_textiel_ele_kWh/1000),0,IND_textiel_ele_kWh/1000)</f>
        <v>137.67613</v>
      </c>
      <c r="C34" s="39">
        <f>IF(ISERROR(B34*3.6/1000000/'E Balans VL '!Z21*100),0,B34*3.6/1000000/'E Balans VL '!Z21*100)</f>
        <v>2.47525829183846E-2</v>
      </c>
      <c r="D34" s="216" t="s">
        <v>735</v>
      </c>
    </row>
    <row r="35" spans="1:5" ht="30">
      <c r="A35" s="164" t="s">
        <v>36</v>
      </c>
      <c r="B35" s="37">
        <f>IF( ISERROR(IND_min_ele_kWh/1000),0,IND_min_ele_kWh/1000)</f>
        <v>474.88398999999998</v>
      </c>
      <c r="C35" s="39">
        <f>IF(ISERROR(B35*3.6/1000000/'E Balans VL '!Z22*100),0,B35*3.6/1000000/'E Balans VL '!Z22*100)</f>
        <v>0.12337411299996974</v>
      </c>
      <c r="D35" s="216" t="s">
        <v>735</v>
      </c>
    </row>
    <row r="36" spans="1:5" ht="30">
      <c r="A36" s="164" t="s">
        <v>38</v>
      </c>
      <c r="B36" s="37">
        <f>IF( ISERROR(IND_papier_ele_kWh/1000),0,IND_papier_ele_kWh/1000)</f>
        <v>26267.863129999998</v>
      </c>
      <c r="C36" s="39">
        <f>IF(ISERROR(B36*3.6/1000000/'E Balans VL '!Z22*100),0,B36*3.6/1000000/'E Balans VL '!Z22*100)</f>
        <v>6.8243494881104718</v>
      </c>
      <c r="D36" s="216" t="s">
        <v>735</v>
      </c>
    </row>
    <row r="37" spans="1:5">
      <c r="A37" s="164" t="s">
        <v>33</v>
      </c>
      <c r="B37" s="37">
        <f>IF( ISERROR(IND_chemie_ele_kWh/1000),0,IND_chemie_ele_kWh/1000)</f>
        <v>18269.758870000001</v>
      </c>
      <c r="C37" s="39">
        <f>IF(ISERROR(B37*3.6/1000000/'E Balans VL '!Z24*100),0,B37*3.6/1000000/'E Balans VL '!Z24*100)</f>
        <v>0.61645541310842233</v>
      </c>
      <c r="D37" s="216" t="s">
        <v>734</v>
      </c>
    </row>
    <row r="38" spans="1:5" ht="30">
      <c r="A38" s="164" t="s">
        <v>234</v>
      </c>
      <c r="B38" s="37">
        <f>IF( ISERROR(IND_rest_ele_kWh/1000),0,IND_rest_ele_kWh/1000)</f>
        <v>3859.29693</v>
      </c>
      <c r="C38" s="39">
        <f>IF(ISERROR(B38*3.6/1000000/'E Balans VL '!Z15*100),0,B38*3.6/1000000/'E Balans VL '!Z15*100)</f>
        <v>3.7109248283002404E-2</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1341.9409000000001</v>
      </c>
      <c r="C5" s="17">
        <f>'Eigen informatie GS &amp; warmtenet'!B64</f>
        <v>0</v>
      </c>
      <c r="D5" s="30">
        <f>IF(ISERROR(SUM(LB_lb_gas_kWh,LB_rest_gas_kWh)/1000),0,SUM(LB_lb_gas_kWh,LB_rest_gas_kWh)/1000)*0.903</f>
        <v>1362.8511787800001</v>
      </c>
      <c r="E5" s="17">
        <f>B18*'E Balans VL '!I25/3.6*1000000/100</f>
        <v>52.522336103573416</v>
      </c>
      <c r="F5" s="17">
        <f>B18*('E Balans VL '!L25/3.6*1000000+'E Balans VL '!N25/3.6*1000000)/100</f>
        <v>5317.0812783195406</v>
      </c>
      <c r="G5" s="17" t="s">
        <v>637</v>
      </c>
      <c r="H5" s="17">
        <f>D18*('E Balans VL '!J25/3.6*1000000)/100</f>
        <v>0</v>
      </c>
      <c r="I5" s="17" t="s">
        <v>637</v>
      </c>
      <c r="J5" s="17">
        <f>('E Balans VL '!D25+'E Balans VL '!E25)/3.6*1000000*landbouw!B18/100</f>
        <v>169.10557074586711</v>
      </c>
      <c r="K5" s="17" t="s">
        <v>637</v>
      </c>
      <c r="L5" s="17" t="s">
        <v>668</v>
      </c>
      <c r="M5" s="17" t="s">
        <v>668</v>
      </c>
      <c r="N5" s="17" t="s">
        <v>671</v>
      </c>
      <c r="O5" s="17">
        <f>O6*(-1)</f>
        <v>0</v>
      </c>
      <c r="P5" s="17" t="s">
        <v>637</v>
      </c>
      <c r="Q5" s="17" t="s">
        <v>637</v>
      </c>
      <c r="S5" s="32"/>
    </row>
    <row r="6" spans="1:19">
      <c r="A6" s="16" t="s">
        <v>626</v>
      </c>
      <c r="B6" s="17" t="s">
        <v>191</v>
      </c>
      <c r="C6" s="17">
        <f>'lokale energieproductie'!O35</f>
        <v>0</v>
      </c>
      <c r="D6" s="920">
        <f>('lokale energieproductie'!P35)*(-1)</f>
        <v>0</v>
      </c>
      <c r="E6" s="920">
        <f>('lokale energieproductie'!X35)*(-1)</f>
        <v>0</v>
      </c>
      <c r="F6" s="920">
        <f>('lokale energieproductie'!S35)*(-1)</f>
        <v>0</v>
      </c>
      <c r="G6" s="224"/>
      <c r="H6" s="223"/>
      <c r="I6" s="223"/>
      <c r="J6" s="223"/>
      <c r="K6" s="223"/>
      <c r="L6" s="920" t="s">
        <v>668</v>
      </c>
      <c r="M6" s="920" t="s">
        <v>668</v>
      </c>
      <c r="N6" s="17" t="s">
        <v>671</v>
      </c>
      <c r="O6" s="920">
        <f>('lokale energieproductie'!V35+'lokale energieproductie'!R35+'lokale energieproductie'!T35+'lokale energieproductie'!U35+'lokale energieproductie'!Q35)*(-1)</f>
        <v>0</v>
      </c>
      <c r="P6" s="223"/>
      <c r="Q6" s="223"/>
      <c r="S6" s="32"/>
    </row>
    <row r="7" spans="1:19" s="812" customFormat="1">
      <c r="A7" s="16" t="s">
        <v>484</v>
      </c>
      <c r="B7" s="17">
        <f>MWh_eigenverbruikPV_landbouw</f>
        <v>84.138970096948228</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1426.0798700969483</v>
      </c>
      <c r="C9" s="21">
        <f>C5+C6</f>
        <v>0</v>
      </c>
      <c r="D9" s="21">
        <f>MAX((D5+D6),0)</f>
        <v>1362.8511787800001</v>
      </c>
      <c r="E9" s="21">
        <f>MAX((E5+E6),0)</f>
        <v>52.522336103573416</v>
      </c>
      <c r="F9" s="21">
        <f>MAX((F5+F6),0)</f>
        <v>5317.0812783195406</v>
      </c>
      <c r="G9" s="21" t="s">
        <v>637</v>
      </c>
      <c r="H9" s="21" t="s">
        <v>637</v>
      </c>
      <c r="I9" s="21" t="s">
        <v>637</v>
      </c>
      <c r="J9" s="21">
        <f>MAX((J5+J6),0)</f>
        <v>169.10557074586711</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0.16105501906975592</v>
      </c>
      <c r="C11" s="31">
        <f>'EF ele_warmte'!B23</f>
        <v>0.24949972616776622</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229.67732067345904</v>
      </c>
      <c r="C13" s="23">
        <f>C9*C11</f>
        <v>0</v>
      </c>
      <c r="D13" s="23">
        <f>D9*D11</f>
        <v>275.29593811356006</v>
      </c>
      <c r="E13" s="23">
        <f>E9*E11</f>
        <v>11.922570295511166</v>
      </c>
      <c r="F13" s="23">
        <f>F9*F11</f>
        <v>1419.6607013113173</v>
      </c>
      <c r="G13" s="23" t="s">
        <v>637</v>
      </c>
      <c r="H13" s="23" t="s">
        <v>637</v>
      </c>
      <c r="I13" s="23" t="s">
        <v>637</v>
      </c>
      <c r="J13" s="23">
        <f>J9*J11</f>
        <v>59.863372044036957</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0.23194418430474337</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244.06981372291972</v>
      </c>
      <c r="C26" s="222">
        <f>B26*'GWP N2O_CH4'!B5</f>
        <v>6833.9547842417523</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85.763683415891748</v>
      </c>
      <c r="C27" s="222">
        <f>B27*'GWP N2O_CH4'!B5</f>
        <v>2401.3831356449691</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6.690867131073901</v>
      </c>
      <c r="C28" s="222">
        <f>B28*'GWP N2O_CH4'!B4</f>
        <v>1773.0797897345838</v>
      </c>
      <c r="D28" s="50"/>
    </row>
    <row r="29" spans="1:4">
      <c r="A29" s="41" t="s">
        <v>241</v>
      </c>
      <c r="B29" s="222">
        <f>B34*'ha_N2O bodem landbouw'!B4</f>
        <v>13.770489001696038</v>
      </c>
      <c r="C29" s="222">
        <f>B29*'GWP N2O_CH4'!B4</f>
        <v>3649.1795854494503</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3.348978124117438E-3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1.3061260496264786E-2</v>
      </c>
      <c r="C5" s="922" t="s">
        <v>667</v>
      </c>
      <c r="D5" s="924">
        <f>SUM(D6:D11)</f>
        <v>3.0210963540465261E-3</v>
      </c>
      <c r="E5" s="924">
        <f>SUM(E6:E11)</f>
        <v>1.4675915447215336E-3</v>
      </c>
      <c r="F5" s="923" t="s">
        <v>667</v>
      </c>
      <c r="G5" s="924">
        <f>SUM(G6:G11)</f>
        <v>0.6048942526259582</v>
      </c>
      <c r="H5" s="924">
        <f>SUM(H6:H11)</f>
        <v>0.22232886662730736</v>
      </c>
      <c r="I5" s="922" t="s">
        <v>667</v>
      </c>
      <c r="J5" s="922" t="s">
        <v>667</v>
      </c>
      <c r="K5" s="922" t="s">
        <v>667</v>
      </c>
      <c r="L5" s="922" t="s">
        <v>667</v>
      </c>
      <c r="M5" s="922" t="s">
        <v>667</v>
      </c>
      <c r="N5" s="924">
        <f>SUM(N6:N11)</f>
        <v>9.0288530707805473E-2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6.7844488724744002E-3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1.7649354841414921E-3</v>
      </c>
      <c r="E6" s="926">
        <f>vkm_GW_PW*SUMIFS(TableVerdeelsleutelVkm[LPG],TableVerdeelsleutelVkm[Voertuigtype],"Lichte voertuigen")*SUMIFS(TableECFTransport[EnergieConsumptieFactor (PJ per km)],TableECFTransport[Index],CONCATENATE($A6,"_LPG_LPG"))</f>
        <v>8.232499320661407E-4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0.17888375724116087</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0.12874433573097155</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3.1765173511998118E-2</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1.4184154317453132E-5</v>
      </c>
      <c r="C7" s="926"/>
      <c r="D7" s="926">
        <f>vkm_GW_ZV*SUMIFS(TableVerdeelsleutelVkm[CNG],TableVerdeelsleutelVkm[Voertuigtype],"Zware voertuigen")*SUMIFS(TableECFTransport[EnergieConsumptieFactor (PJ per km)],TableECFTransport[Index],CONCATENATE($A7,"_CNG_CNG"))</f>
        <v>1.9268895033078263E-7</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0.13766599214559683</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4.4463334803167321E-7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1.6480718972700502E-2</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1.6241488552448881E-3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5.8351045786742657E-4</v>
      </c>
      <c r="E8" s="927">
        <f>vkm_NGW_PW*SUMIFS(TableVerdeelsleutelVkm[LPG],TableVerdeelsleutelVkm[Voertuigtype],"Lichte voertuigen")*SUMIFS(TableECFTransport[EnergieConsumptieFactor (PJ per km)],TableECFTransport[Index],CONCATENATE($A8,"_LPG_LPG"))</f>
        <v>2.4107980603959756E-4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4.9023786380677184E-2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3.8475378814306689E-2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8.962022132615162E-3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5.7820868121704062E-7</v>
      </c>
      <c r="C9" s="926"/>
      <c r="D9" s="927">
        <f>vkm_NGW_ZV*SUMIFS(TableVerdeelsleutelVkm[CNG],TableVerdeelsleutelVkm[Voertuigtype],"Zware voertuigen")*SUMIFS(TableECFTransport[EnergieConsumptieFactor (PJ per km)],TableECFTransport[Index],CONCATENATE($A9,"_CNG_CNG"))</f>
        <v>1.0197800020780771E-8</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7.2857849666686193E-3</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2.1877598041246408E-8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8.7221945198085696E-4</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4.6210342979588924E-3</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6.7223441805853296E-4</v>
      </c>
      <c r="E10" s="927">
        <f>vkm_SW_PW*SUMIFS(TableVerdeelsleutelVkm[LPG],TableVerdeelsleutelVkm[Voertuigtype],"Lichte voertuigen")*SUMIFS(TableECFTransport[EnergieConsumptieFactor (PJ per km)],TableECFTransport[Index],CONCATENATE($A10,"_LPG_LPG"))</f>
        <v>4.0326180661579518E-4</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7.9781167339147752E-2</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5.5108141389436552E-2</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1.3981294597462599E-2</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1.686610758793449E-5</v>
      </c>
      <c r="C11" s="929"/>
      <c r="D11" s="930">
        <f>vkm_SW_ZV*SUMIFS(TableVerdeelsleutelVkm[CNG],TableVerdeelsleutelVkm[Voertuigtype],"Zware voertuigen")*SUMIFS(TableECFTransport[EnergieConsumptieFactor (PJ per km)],TableECFTransport[Index],CONCATENATE($A11,"_CNG_CNG"))</f>
        <v>2.1310722872315105E-7</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0.15225376455270695</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5.4418164649659248E-7</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1.8227102041048229E-2</v>
      </c>
      <c r="O11" s="929"/>
      <c r="P11" s="929"/>
      <c r="Q11" s="931"/>
      <c r="S11" s="705"/>
    </row>
    <row r="12" spans="1:19">
      <c r="A12" s="285" t="s">
        <v>442</v>
      </c>
      <c r="B12" s="369">
        <f>('Eigen vloot'!B27)*(-1)</f>
        <v>0</v>
      </c>
      <c r="C12" s="369"/>
      <c r="D12" s="369">
        <f>('Eigen vloot'!D27)*(-1)</f>
        <v>0</v>
      </c>
      <c r="E12" s="369">
        <f>('Eigen vloot'!E27)*(-1)</f>
        <v>0</v>
      </c>
      <c r="F12" s="369"/>
      <c r="G12" s="369">
        <f>('Eigen vloot'!G27)*(-1)</f>
        <v>0</v>
      </c>
      <c r="H12" s="369">
        <f>('Eigen vloot'!H27)*(-1)</f>
        <v>0</v>
      </c>
      <c r="I12" s="369"/>
      <c r="J12" s="369"/>
      <c r="K12" s="369"/>
      <c r="L12" s="932"/>
      <c r="M12" s="369"/>
      <c r="N12" s="369">
        <f>('Eigen vloot'!N27)*(-1)</f>
        <v>0</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3628.1279156291071</v>
      </c>
      <c r="C14" s="21" t="s">
        <v>667</v>
      </c>
      <c r="D14" s="21">
        <f>MAX(((D5)*10^9/3600)+D12,0)</f>
        <v>839.1934316795905</v>
      </c>
      <c r="E14" s="21">
        <f>MAX(((E5)*10^9/3600)+E12,0)</f>
        <v>407.66431797820377</v>
      </c>
      <c r="F14" s="21" t="s">
        <v>667</v>
      </c>
      <c r="G14" s="21">
        <f>MAX(((G5)*10^9/3600)+G12,0)</f>
        <v>168026.18128498839</v>
      </c>
      <c r="H14" s="21">
        <f>MAX(((H5)*10^9/3600)+H12,0)</f>
        <v>61758.018507585373</v>
      </c>
      <c r="I14" s="21" t="s">
        <v>667</v>
      </c>
      <c r="J14" s="21" t="s">
        <v>667</v>
      </c>
      <c r="K14" s="21" t="s">
        <v>667</v>
      </c>
      <c r="L14" s="882" t="s">
        <v>667</v>
      </c>
      <c r="M14" s="21" t="s">
        <v>667</v>
      </c>
      <c r="N14" s="21">
        <f>MAX(((N5)*10^9/3600)+N12,0)</f>
        <v>25080.147418834851</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0.16105501906975592</v>
      </c>
      <c r="C16" s="55">
        <f>'EF ele_warmte'!B23</f>
        <v>0.24949972616776622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584.32821063915958</v>
      </c>
      <c r="C18" s="23" t="s">
        <v>667</v>
      </c>
      <c r="D18" s="23">
        <f t="shared" ref="D18:N18" si="0">D14*D16</f>
        <v>169.51707319927729</v>
      </c>
      <c r="E18" s="23">
        <f>E14*E16</f>
        <v>92.539800181052257</v>
      </c>
      <c r="F18" s="23" t="s">
        <v>667</v>
      </c>
      <c r="G18" s="23">
        <f t="shared" si="0"/>
        <v>44862.990403091899</v>
      </c>
      <c r="H18" s="23">
        <f t="shared" si="0"/>
        <v>15377.746608388758</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4.1007791348450398E-4</v>
      </c>
      <c r="C50" s="937" t="s">
        <v>667</v>
      </c>
      <c r="D50" s="937" t="s">
        <v>667</v>
      </c>
      <c r="E50" s="937" t="s">
        <v>667</v>
      </c>
      <c r="F50" s="937" t="s">
        <v>667</v>
      </c>
      <c r="G50" s="937">
        <f t="shared" ref="G50:N50" si="1">SUM(G51:G52)</f>
        <v>1.5117461093243086E-2</v>
      </c>
      <c r="H50" s="937" t="s">
        <v>667</v>
      </c>
      <c r="I50" s="937" t="s">
        <v>667</v>
      </c>
      <c r="J50" s="937" t="s">
        <v>667</v>
      </c>
      <c r="K50" s="937" t="s">
        <v>667</v>
      </c>
      <c r="L50" s="937" t="s">
        <v>667</v>
      </c>
      <c r="M50" s="937" t="s">
        <v>667</v>
      </c>
      <c r="N50" s="937">
        <f t="shared" si="1"/>
        <v>1.8097867425174094E-3</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4.1007791348450398E-4</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1.5117461093243086E-2</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1.8097867425174094E-3</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113.91053152347332</v>
      </c>
      <c r="C54" s="21" t="s">
        <v>667</v>
      </c>
      <c r="D54" s="21" t="s">
        <v>667</v>
      </c>
      <c r="E54" s="21" t="s">
        <v>667</v>
      </c>
      <c r="F54" s="21" t="s">
        <v>667</v>
      </c>
      <c r="G54" s="21">
        <f t="shared" ref="G54:N54" si="2">(G50)*10^9/3600</f>
        <v>4199.2947481230794</v>
      </c>
      <c r="H54" s="21" t="s">
        <v>667</v>
      </c>
      <c r="I54" s="21" t="s">
        <v>667</v>
      </c>
      <c r="J54" s="21" t="s">
        <v>667</v>
      </c>
      <c r="K54" s="21" t="s">
        <v>667</v>
      </c>
      <c r="L54" s="21" t="s">
        <v>667</v>
      </c>
      <c r="M54" s="21" t="s">
        <v>667</v>
      </c>
      <c r="N54" s="21">
        <f t="shared" si="2"/>
        <v>502.71853958816928</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0.16105501906975592</v>
      </c>
      <c r="C56" s="55">
        <f>'EF ele_warmte'!B23</f>
        <v>0.24949972616776622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18.345862826759028</v>
      </c>
      <c r="C58" s="23" t="s">
        <v>667</v>
      </c>
      <c r="D58" s="23" t="s">
        <v>667</v>
      </c>
      <c r="E58" s="23" t="s">
        <v>667</v>
      </c>
      <c r="F58" s="23" t="s">
        <v>667</v>
      </c>
      <c r="G58" s="23">
        <f t="shared" ref="G58:N58" si="3">G54*G56</f>
        <v>1121.2116977488622</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0.87214787538306626</v>
      </c>
      <c r="C64" s="167"/>
    </row>
    <row r="65" spans="1:13">
      <c r="A65" s="260" t="s">
        <v>597</v>
      </c>
      <c r="B65" s="817">
        <f>bus_pct_hybride</f>
        <v>0.1230162567997259</v>
      </c>
      <c r="C65" s="271" t="s">
        <v>771</v>
      </c>
    </row>
    <row r="66" spans="1:13" s="15" customFormat="1">
      <c r="A66" s="261" t="s">
        <v>775</v>
      </c>
      <c r="B66" s="817">
        <f>bus_pct_elektrisch</f>
        <v>4.8358678172078333E-3</v>
      </c>
      <c r="C66" s="271" t="s">
        <v>771</v>
      </c>
      <c r="L66" s="812"/>
    </row>
    <row r="67" spans="1:13">
      <c r="A67" s="263" t="s">
        <v>272</v>
      </c>
      <c r="B67" s="264">
        <f>SUM(B64:B65)</f>
        <v>0.9951641321827922</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7"/>
  <sheetViews>
    <sheetView showGridLines="0" zoomScale="65" zoomScaleNormal="65" workbookViewId="0">
      <selection activeCell="M30" sqref="M30"/>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51921.805789429578</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30169.866279823618</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N31+'Eigen informatie GS &amp; warmtenet'!B13</f>
        <v>2201.2746101975736</v>
      </c>
      <c r="C8" s="445">
        <f>B45+IF(ISERROR(('Eigen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2718.898081506688</v>
      </c>
      <c r="D8" s="446">
        <f>J45</f>
        <v>0</v>
      </c>
      <c r="E8" s="446">
        <f>E45+IF(ISERROR('Eigen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I45+IF(ISERROR('Eigen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G45+F45+IF(ISERROR('Eigen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H45+D45++IF(ISERROR('Eigen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C45+IF(ISERROR('Eigen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38.027490356365831</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549.21741246435101</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84292.946679450775</v>
      </c>
      <c r="C10" s="456">
        <f t="shared" ref="C10:M10" si="0">SUM(C8:C9)</f>
        <v>2718.898081506688</v>
      </c>
      <c r="D10" s="456">
        <f t="shared" si="0"/>
        <v>0</v>
      </c>
      <c r="E10" s="456">
        <f t="shared" si="0"/>
        <v>0</v>
      </c>
      <c r="F10" s="456">
        <f t="shared" si="0"/>
        <v>0</v>
      </c>
      <c r="G10" s="456">
        <f t="shared" si="0"/>
        <v>0</v>
      </c>
      <c r="H10" s="456">
        <f t="shared" si="0"/>
        <v>0</v>
      </c>
      <c r="I10" s="456">
        <f t="shared" si="0"/>
        <v>0</v>
      </c>
      <c r="J10" s="456">
        <f t="shared" si="0"/>
        <v>0</v>
      </c>
      <c r="K10" s="456">
        <f t="shared" si="0"/>
        <v>38.027490356365831</v>
      </c>
      <c r="L10" s="456">
        <f t="shared" si="0"/>
        <v>0</v>
      </c>
      <c r="M10" s="456">
        <f t="shared" si="0"/>
        <v>0</v>
      </c>
      <c r="N10" s="457">
        <f>SUM(N4:N9)</f>
        <v>549.21741246435101</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O31+'Eigen informatie GS &amp; warmtenet'!B12</f>
        <v>2608.0000659789102</v>
      </c>
      <c r="C17" s="471">
        <f>B46+IF(ISERROR(('Eigen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3221.2638728081902</v>
      </c>
      <c r="D17" s="472">
        <f>J46+IF(ISERROR(('Eigen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E46+IF(ISERROR(('Eigen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I46+IF(ISERROR(('Eigen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G46+F46+IF(ISERROR(('Eigen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H46+D46+IF(ISERROR(('Eigen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+C46+IF(ISERROR(('Eigen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45.053759716745674</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650.69530230725445</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2608.0000659789102</v>
      </c>
      <c r="C20" s="455">
        <f>SUM(C17:C19)</f>
        <v>3221.2638728081902</v>
      </c>
      <c r="D20" s="455">
        <f t="shared" ref="D20:K20" si="2">SUM(D17:D19)</f>
        <v>0</v>
      </c>
      <c r="E20" s="455">
        <f t="shared" si="2"/>
        <v>0</v>
      </c>
      <c r="F20" s="455">
        <f t="shared" si="2"/>
        <v>0</v>
      </c>
      <c r="G20" s="455">
        <f t="shared" si="2"/>
        <v>0</v>
      </c>
      <c r="H20" s="455">
        <f t="shared" si="2"/>
        <v>0</v>
      </c>
      <c r="I20" s="455">
        <f t="shared" si="2"/>
        <v>0</v>
      </c>
      <c r="J20" s="455">
        <f t="shared" si="2"/>
        <v>0</v>
      </c>
      <c r="K20" s="455">
        <f t="shared" si="2"/>
        <v>45.053759716745674</v>
      </c>
      <c r="L20" s="455"/>
      <c r="M20" s="455">
        <f>SUM(M17:M19)</f>
        <v>0</v>
      </c>
      <c r="N20" s="479">
        <f>SUM(N17:N19)</f>
        <v>650.69530230725445</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13040</v>
      </c>
      <c r="C28" s="619"/>
      <c r="D28" s="526"/>
      <c r="E28" s="525"/>
      <c r="F28" s="525"/>
      <c r="G28" s="525"/>
      <c r="H28" s="525"/>
      <c r="I28" s="525"/>
      <c r="J28" s="618"/>
      <c r="K28" s="618"/>
      <c r="L28" s="525"/>
      <c r="M28" s="525">
        <v>612</v>
      </c>
      <c r="N28" s="525">
        <v>1991.935000159355</v>
      </c>
      <c r="O28" s="525">
        <v>2300.9756770031408</v>
      </c>
      <c r="P28" s="525">
        <v>5416.3791154333103</v>
      </c>
      <c r="Q28" s="525">
        <v>0</v>
      </c>
      <c r="R28" s="525">
        <v>0</v>
      </c>
      <c r="S28" s="525">
        <v>0</v>
      </c>
      <c r="T28" s="525">
        <v>0</v>
      </c>
      <c r="U28" s="525">
        <v>0</v>
      </c>
      <c r="V28" s="525">
        <v>0</v>
      </c>
      <c r="W28" s="525">
        <v>0</v>
      </c>
      <c r="X28" s="525">
        <v>0</v>
      </c>
      <c r="Y28" s="525">
        <v>0</v>
      </c>
      <c r="Z28" s="525"/>
      <c r="AA28" s="527" t="s">
        <v>334</v>
      </c>
    </row>
    <row r="29" spans="1:27" s="484" customFormat="1" ht="12.75">
      <c r="A29" s="483"/>
      <c r="B29" s="619">
        <v>13040</v>
      </c>
      <c r="C29" s="619"/>
      <c r="D29" s="526"/>
      <c r="E29" s="525"/>
      <c r="F29" s="525"/>
      <c r="G29" s="525"/>
      <c r="H29" s="525"/>
      <c r="I29" s="525"/>
      <c r="J29" s="618"/>
      <c r="K29" s="618"/>
      <c r="L29" s="525"/>
      <c r="M29" s="525">
        <v>6.91</v>
      </c>
      <c r="N29" s="525">
        <v>33.281610002662532</v>
      </c>
      <c r="O29" s="525">
        <v>64.719180005177549</v>
      </c>
      <c r="P29" s="525">
        <v>102.04464000816358</v>
      </c>
      <c r="Q29" s="525">
        <v>0</v>
      </c>
      <c r="R29" s="525">
        <v>0</v>
      </c>
      <c r="S29" s="525">
        <v>0</v>
      </c>
      <c r="T29" s="525">
        <v>0</v>
      </c>
      <c r="U29" s="525">
        <v>0</v>
      </c>
      <c r="V29" s="525">
        <v>0</v>
      </c>
      <c r="W29" s="525">
        <v>0</v>
      </c>
      <c r="X29" s="525">
        <v>0</v>
      </c>
      <c r="Y29" s="525">
        <v>0</v>
      </c>
      <c r="Z29" s="525"/>
      <c r="AA29" s="527" t="s">
        <v>135</v>
      </c>
    </row>
    <row r="30" spans="1:27" s="484" customFormat="1" ht="12.75">
      <c r="A30" s="483"/>
      <c r="B30" s="619">
        <v>13040</v>
      </c>
      <c r="C30" s="619"/>
      <c r="D30" s="526"/>
      <c r="E30" s="525"/>
      <c r="F30" s="525"/>
      <c r="G30" s="525"/>
      <c r="H30" s="525"/>
      <c r="I30" s="525"/>
      <c r="J30" s="618"/>
      <c r="K30" s="618"/>
      <c r="L30" s="525"/>
      <c r="M30" s="525">
        <v>265.00000000000023</v>
      </c>
      <c r="N30" s="525">
        <v>176.05800003555609</v>
      </c>
      <c r="O30" s="525">
        <v>242.30520897059225</v>
      </c>
      <c r="P30" s="525">
        <v>421.73819887340431</v>
      </c>
      <c r="Q30" s="525">
        <v>83.081250073111505</v>
      </c>
      <c r="R30" s="525">
        <v>0</v>
      </c>
      <c r="S30" s="525">
        <v>0</v>
      </c>
      <c r="T30" s="525">
        <v>0</v>
      </c>
      <c r="U30" s="525">
        <v>0</v>
      </c>
      <c r="V30" s="525">
        <v>0</v>
      </c>
      <c r="W30" s="525">
        <v>0</v>
      </c>
      <c r="X30" s="525">
        <v>0</v>
      </c>
      <c r="Y30" s="525">
        <v>0</v>
      </c>
      <c r="Z30" s="525"/>
      <c r="AA30" s="527" t="s">
        <v>136</v>
      </c>
    </row>
    <row r="31" spans="1:27" s="465" customFormat="1">
      <c r="A31" s="485" t="s">
        <v>243</v>
      </c>
      <c r="B31" s="486"/>
      <c r="C31" s="486"/>
      <c r="D31" s="486"/>
      <c r="E31" s="486"/>
      <c r="F31" s="486"/>
      <c r="G31" s="486"/>
      <c r="H31" s="486"/>
      <c r="I31" s="486"/>
      <c r="J31" s="486"/>
      <c r="K31" s="486"/>
      <c r="L31" s="487"/>
      <c r="M31" s="487">
        <f>SUM(M28:M30)</f>
        <v>883.9100000000002</v>
      </c>
      <c r="N31" s="487">
        <f>SUM(N28:N30)</f>
        <v>2201.2746101975736</v>
      </c>
      <c r="O31" s="487">
        <f>SUM(O28:O30)</f>
        <v>2608.0000659789102</v>
      </c>
      <c r="P31" s="487">
        <f>SUM(P28:P30)</f>
        <v>5940.1619543148781</v>
      </c>
      <c r="Q31" s="487">
        <f>SUM(Q28:Q30)</f>
        <v>83.081250073111505</v>
      </c>
      <c r="R31" s="487">
        <f>SUM(R28:R30)</f>
        <v>0</v>
      </c>
      <c r="S31" s="487">
        <f>SUM(S28:S30)</f>
        <v>0</v>
      </c>
      <c r="T31" s="487">
        <f>SUM(T28:T30)</f>
        <v>0</v>
      </c>
      <c r="U31" s="487">
        <f>SUM(U28:U30)</f>
        <v>0</v>
      </c>
      <c r="V31" s="487">
        <f>SUM(V28:V30)</f>
        <v>0</v>
      </c>
      <c r="W31" s="487">
        <f>SUM(W28:W30)</f>
        <v>0</v>
      </c>
      <c r="X31" s="487">
        <f>SUM(X28:X30)</f>
        <v>0</v>
      </c>
      <c r="Y31" s="488"/>
      <c r="Z31" s="488"/>
      <c r="AA31" s="489"/>
    </row>
    <row r="32" spans="1:27" s="465" customFormat="1">
      <c r="A32" s="485" t="s">
        <v>634</v>
      </c>
      <c r="B32" s="486"/>
      <c r="C32" s="486"/>
      <c r="D32" s="486"/>
      <c r="E32" s="486"/>
      <c r="F32" s="486"/>
      <c r="G32" s="486"/>
      <c r="H32" s="486"/>
      <c r="I32" s="486"/>
      <c r="J32" s="486"/>
      <c r="K32" s="486"/>
      <c r="L32" s="487"/>
      <c r="M32" s="487">
        <f>SUMIF($AA$28:$AA$30,"huishoudens",M28:M30)</f>
        <v>6.91</v>
      </c>
      <c r="N32" s="487">
        <f>SUMIF($AA$28:$AA$30,"huishoudens",N28:N30)</f>
        <v>33.281610002662532</v>
      </c>
      <c r="O32" s="487">
        <f>SUMIF($AA$28:$AA$30,"huishoudens",O28:O30)</f>
        <v>64.719180005177549</v>
      </c>
      <c r="P32" s="487">
        <f>SUMIF($AA$28:$AA$30,"huishoudens",P28:P30)</f>
        <v>102.04464000816358</v>
      </c>
      <c r="Q32" s="487">
        <f>SUMIF($AA$28:$AA$30,"huishoudens",Q28:Q30)</f>
        <v>0</v>
      </c>
      <c r="R32" s="487">
        <f>SUMIF($AA$28:$AA$30,"huishoudens",R28:R30)</f>
        <v>0</v>
      </c>
      <c r="S32" s="487">
        <f>SUMIF($AA$28:$AA$30,"huishoudens",S28:S30)</f>
        <v>0</v>
      </c>
      <c r="T32" s="487">
        <f>SUMIF($AA$28:$AA$30,"huishoudens",T28:T30)</f>
        <v>0</v>
      </c>
      <c r="U32" s="487">
        <f>SUMIF($AA$28:$AA$30,"huishoudens",U28:U30)</f>
        <v>0</v>
      </c>
      <c r="V32" s="487">
        <f>SUMIF($AA$28:$AA$30,"huishoudens",V28:V30)</f>
        <v>0</v>
      </c>
      <c r="W32" s="487">
        <f>SUMIF($AA$28:$AA$30,"huishoudens",W28:W30)</f>
        <v>0</v>
      </c>
      <c r="X32" s="487">
        <f>SUMIF($AA$28:$AA$30,"huishoudens",X28:X30)</f>
        <v>0</v>
      </c>
      <c r="Y32" s="488"/>
      <c r="Z32" s="488"/>
      <c r="AA32" s="489"/>
    </row>
    <row r="33" spans="1:28" s="465" customFormat="1">
      <c r="A33" s="485" t="s">
        <v>248</v>
      </c>
      <c r="B33" s="486"/>
      <c r="C33" s="486"/>
      <c r="D33" s="486"/>
      <c r="E33" s="486"/>
      <c r="F33" s="486"/>
      <c r="G33" s="486"/>
      <c r="H33" s="486"/>
      <c r="I33" s="486"/>
      <c r="J33" s="486"/>
      <c r="K33" s="486"/>
      <c r="L33" s="487"/>
      <c r="M33" s="487">
        <f>SUMIF($AA$28:$AA$30,"industrie",M28:M30)</f>
        <v>612</v>
      </c>
      <c r="N33" s="487">
        <f>SUMIF($AA$28:$AA$30,"industrie",N28:N30)</f>
        <v>1991.935000159355</v>
      </c>
      <c r="O33" s="487">
        <f>SUMIF($AA$28:$AA$30,"industrie",O28:O30)</f>
        <v>2300.9756770031408</v>
      </c>
      <c r="P33" s="487">
        <f>SUMIF($AA$28:$AA$30,"industrie",P28:P30)</f>
        <v>5416.3791154333103</v>
      </c>
      <c r="Q33" s="487">
        <f>SUMIF($AA$28:$AA$30,"industrie",Q28:Q30)</f>
        <v>0</v>
      </c>
      <c r="R33" s="487">
        <f>SUMIF($AA$28:$AA$30,"industrie",R28:R30)</f>
        <v>0</v>
      </c>
      <c r="S33" s="487">
        <f>SUMIF($AA$28:$AA$30,"industrie",S28:S30)</f>
        <v>0</v>
      </c>
      <c r="T33" s="487">
        <f>SUMIF($AA$28:$AA$30,"industrie",T28:T30)</f>
        <v>0</v>
      </c>
      <c r="U33" s="487">
        <f>SUMIF($AA$28:$AA$30,"industrie",U28:U30)</f>
        <v>0</v>
      </c>
      <c r="V33" s="487">
        <f>SUMIF($AA$28:$AA$30,"industrie",V28:V30)</f>
        <v>0</v>
      </c>
      <c r="W33" s="487">
        <f>SUMIF($AA$28:$AA$30,"industrie",W28:W30)</f>
        <v>0</v>
      </c>
      <c r="X33" s="487">
        <f>SUMIF($AA$28:$AA$30,"industrie",X28:X30)</f>
        <v>0</v>
      </c>
      <c r="Y33" s="488"/>
      <c r="Z33" s="488"/>
      <c r="AA33" s="489"/>
    </row>
    <row r="34" spans="1:28" s="465" customFormat="1">
      <c r="A34" s="485" t="s">
        <v>249</v>
      </c>
      <c r="B34" s="486"/>
      <c r="C34" s="486"/>
      <c r="D34" s="486"/>
      <c r="E34" s="486"/>
      <c r="F34" s="486"/>
      <c r="G34" s="486"/>
      <c r="H34" s="486"/>
      <c r="I34" s="486"/>
      <c r="J34" s="486"/>
      <c r="K34" s="486"/>
      <c r="L34" s="487"/>
      <c r="M34" s="487">
        <f>SUMIF($AA$28:$AA$30,"tertiair",M28:M30)</f>
        <v>265.00000000000023</v>
      </c>
      <c r="N34" s="487">
        <f>SUMIF($AA$28:$AA$30,"tertiair",N28:N30)</f>
        <v>176.05800003555609</v>
      </c>
      <c r="O34" s="487">
        <f>SUMIF($AA$28:$AA$30,"tertiair",O28:O30)</f>
        <v>242.30520897059225</v>
      </c>
      <c r="P34" s="487">
        <f>SUMIF($AA$28:$AA$30,"tertiair",P28:P30)</f>
        <v>421.73819887340431</v>
      </c>
      <c r="Q34" s="487">
        <f>SUMIF($AA$28:$AA$30,"tertiair",Q28:Q30)</f>
        <v>83.081250073111505</v>
      </c>
      <c r="R34" s="487">
        <f>SUMIF($AA$28:$AA$30,"tertiair",R28:R30)</f>
        <v>0</v>
      </c>
      <c r="S34" s="487">
        <f>SUMIF($AA$28:$AA$30,"tertiair",S28:S30)</f>
        <v>0</v>
      </c>
      <c r="T34" s="487">
        <f>SUMIF($AA$28:$AA$30,"tertiair",T28:T30)</f>
        <v>0</v>
      </c>
      <c r="U34" s="487">
        <f>SUMIF($AA$28:$AA$30,"tertiair",U28:U30)</f>
        <v>0</v>
      </c>
      <c r="V34" s="487">
        <f>SUMIF($AA$28:$AA$30,"tertiair",V28:V30)</f>
        <v>0</v>
      </c>
      <c r="W34" s="487">
        <f>SUMIF($AA$28:$AA$30,"tertiair",W28:W30)</f>
        <v>0</v>
      </c>
      <c r="X34" s="487">
        <f>SUMIF($AA$28:$AA$30,"tertiair",X28:X30)</f>
        <v>0</v>
      </c>
      <c r="Y34" s="488"/>
      <c r="Z34" s="488"/>
      <c r="AA34" s="489"/>
    </row>
    <row r="35" spans="1:28" s="465" customFormat="1" ht="15.75" thickBot="1">
      <c r="A35" s="490" t="s">
        <v>250</v>
      </c>
      <c r="B35" s="491"/>
      <c r="C35" s="491"/>
      <c r="D35" s="491"/>
      <c r="E35" s="491"/>
      <c r="F35" s="491"/>
      <c r="G35" s="491"/>
      <c r="H35" s="491"/>
      <c r="I35" s="491"/>
      <c r="J35" s="491"/>
      <c r="K35" s="491"/>
      <c r="L35" s="492"/>
      <c r="M35" s="492">
        <f>SUMIF($AA$28:$AA$30,"landbouw",M28:M30)</f>
        <v>0</v>
      </c>
      <c r="N35" s="492">
        <f>SUMIF($AA$28:$AA$30,"landbouw",N28:N30)</f>
        <v>0</v>
      </c>
      <c r="O35" s="492">
        <f>SUMIF($AA$28:$AA$30,"landbouw",O28:O30)</f>
        <v>0</v>
      </c>
      <c r="P35" s="492">
        <f>SUMIF($AA$28:$AA$30,"landbouw",P28:P30)</f>
        <v>0</v>
      </c>
      <c r="Q35" s="492">
        <f>SUMIF($AA$28:$AA$30,"landbouw",Q28:Q30)</f>
        <v>0</v>
      </c>
      <c r="R35" s="492">
        <f>SUMIF($AA$28:$AA$30,"landbouw",R28:R30)</f>
        <v>0</v>
      </c>
      <c r="S35" s="492">
        <f>SUMIF($AA$28:$AA$30,"landbouw",S28:S30)</f>
        <v>0</v>
      </c>
      <c r="T35" s="492">
        <f>SUMIF($AA$28:$AA$30,"landbouw",T28:T30)</f>
        <v>0</v>
      </c>
      <c r="U35" s="492">
        <f>SUMIF($AA$28:$AA$30,"landbouw",U28:U30)</f>
        <v>0</v>
      </c>
      <c r="V35" s="492">
        <f>SUMIF($AA$28:$AA$30,"landbouw",V28:V30)</f>
        <v>0</v>
      </c>
      <c r="W35" s="492">
        <f>SUMIF($AA$28:$AA$30,"landbouw",W28:W30)</f>
        <v>0</v>
      </c>
      <c r="X35" s="492">
        <f>SUMIF($AA$28:$AA$30,"landbouw",X28:X30)</f>
        <v>0</v>
      </c>
      <c r="Y35" s="493"/>
      <c r="Z35" s="493"/>
      <c r="AA35" s="494"/>
    </row>
    <row r="36" spans="1:28" s="433" customFormat="1">
      <c r="A36" s="495"/>
      <c r="B36" s="496"/>
      <c r="C36" s="496"/>
      <c r="D36" s="496"/>
      <c r="E36" s="496"/>
      <c r="F36" s="496"/>
      <c r="G36" s="496"/>
      <c r="H36" s="496"/>
      <c r="I36" s="496"/>
      <c r="J36" s="496"/>
      <c r="K36" s="496"/>
      <c r="L36" s="480"/>
      <c r="M36" s="480"/>
      <c r="N36" s="480"/>
      <c r="O36" s="481"/>
      <c r="P36" s="481"/>
    </row>
    <row r="37" spans="1:28" s="497" customFormat="1">
      <c r="A37" s="495"/>
      <c r="B37" s="480"/>
      <c r="C37" s="480"/>
      <c r="D37" s="480"/>
      <c r="E37" s="480"/>
      <c r="F37" s="480"/>
      <c r="G37" s="480"/>
      <c r="H37" s="480"/>
      <c r="I37" s="480"/>
      <c r="J37" s="480"/>
      <c r="K37" s="480"/>
      <c r="L37" s="480"/>
      <c r="M37" s="480"/>
      <c r="N37" s="480"/>
      <c r="O37" s="480"/>
      <c r="P37" s="480"/>
      <c r="Q37" s="480"/>
      <c r="R37" s="480"/>
      <c r="S37" s="480"/>
      <c r="T37" s="480"/>
      <c r="U37" s="480"/>
      <c r="V37" s="480"/>
      <c r="W37" s="480"/>
      <c r="X37" s="480"/>
      <c r="Y37" s="480"/>
      <c r="Z37" s="480"/>
    </row>
    <row r="38" spans="1:28" s="497" customFormat="1" ht="15.75" thickBot="1">
      <c r="A38" s="495"/>
      <c r="B38" s="480"/>
      <c r="C38" s="480"/>
      <c r="D38" s="480"/>
      <c r="E38" s="480"/>
      <c r="F38" s="480"/>
      <c r="G38" s="480"/>
      <c r="H38" s="480"/>
      <c r="I38" s="480"/>
      <c r="J38" s="480"/>
      <c r="K38" s="480"/>
      <c r="L38" s="480"/>
      <c r="M38" s="480"/>
      <c r="N38" s="480"/>
      <c r="O38" s="480"/>
      <c r="P38" s="480"/>
      <c r="Q38" s="480"/>
      <c r="R38" s="480"/>
      <c r="S38" s="480"/>
      <c r="T38" s="480"/>
      <c r="U38" s="480"/>
      <c r="V38" s="480"/>
      <c r="W38" s="480"/>
      <c r="X38" s="480"/>
      <c r="Y38" s="480"/>
      <c r="Z38" s="480"/>
      <c r="AA38" s="480"/>
      <c r="AB38" s="480"/>
    </row>
    <row r="39" spans="1:28">
      <c r="A39" s="498" t="s">
        <v>693</v>
      </c>
      <c r="B39" s="499"/>
      <c r="C39" s="499"/>
      <c r="D39" s="499"/>
      <c r="E39" s="499"/>
      <c r="F39" s="499"/>
      <c r="G39" s="499"/>
      <c r="H39" s="499"/>
      <c r="I39" s="499"/>
      <c r="J39" s="500"/>
      <c r="K39" s="501"/>
      <c r="L39" s="502"/>
      <c r="M39" s="502"/>
      <c r="N39" s="502"/>
      <c r="O39" s="502"/>
      <c r="P39" s="502"/>
    </row>
    <row r="40" spans="1:28">
      <c r="A40" s="504"/>
      <c r="B40" s="496"/>
      <c r="C40" s="496"/>
      <c r="D40" s="496"/>
      <c r="E40" s="496"/>
      <c r="F40" s="496"/>
      <c r="G40" s="496"/>
      <c r="H40" s="496"/>
      <c r="I40" s="496"/>
      <c r="J40" s="505"/>
      <c r="K40" s="496"/>
      <c r="L40" s="502"/>
      <c r="M40" s="502"/>
      <c r="N40" s="502"/>
      <c r="O40" s="502"/>
      <c r="P40" s="502"/>
    </row>
    <row r="41" spans="1:28">
      <c r="A41" s="506"/>
      <c r="B41" s="507" t="s">
        <v>244</v>
      </c>
      <c r="C41" s="507" t="s">
        <v>245</v>
      </c>
      <c r="D41" s="507"/>
      <c r="E41" s="507"/>
      <c r="F41" s="507"/>
      <c r="G41" s="507"/>
      <c r="H41" s="507"/>
      <c r="I41" s="507"/>
      <c r="J41" s="508"/>
      <c r="K41" s="507"/>
      <c r="L41" s="507"/>
      <c r="M41" s="507"/>
      <c r="N41" s="507"/>
      <c r="O41" s="507"/>
      <c r="P41" s="502"/>
    </row>
    <row r="42" spans="1:28">
      <c r="A42" s="504" t="s">
        <v>243</v>
      </c>
      <c r="B42" s="509">
        <f>IF(ISERROR(O31/(O31+N31)),0,O31/(O31+N31))</f>
        <v>0.54228552985298561</v>
      </c>
      <c r="C42" s="510">
        <f>IF(ISERROR(N31/(O31+N31)),0,N31/(N31+O31))</f>
        <v>0.45771447014701439</v>
      </c>
      <c r="D42" s="480"/>
      <c r="E42" s="480"/>
      <c r="F42" s="480"/>
      <c r="G42" s="480"/>
      <c r="H42" s="480"/>
      <c r="I42" s="480"/>
      <c r="J42" s="511"/>
      <c r="K42" s="480"/>
      <c r="L42" s="512"/>
      <c r="M42" s="512"/>
      <c r="N42" s="512"/>
      <c r="O42" s="512"/>
      <c r="P42" s="502"/>
    </row>
    <row r="43" spans="1:28">
      <c r="A43" s="504"/>
      <c r="B43" s="513"/>
      <c r="C43" s="513"/>
      <c r="D43" s="513"/>
      <c r="E43" s="513"/>
      <c r="F43" s="513"/>
      <c r="G43" s="513"/>
      <c r="H43" s="513"/>
      <c r="I43" s="513"/>
      <c r="J43" s="514"/>
      <c r="K43" s="513"/>
      <c r="L43" s="515"/>
      <c r="M43" s="515"/>
      <c r="N43" s="515"/>
      <c r="O43" s="515"/>
      <c r="P43" s="502"/>
    </row>
    <row r="44" spans="1:28" ht="30">
      <c r="A44" s="516"/>
      <c r="B44" s="517" t="s">
        <v>435</v>
      </c>
      <c r="C44" s="517" t="s">
        <v>83</v>
      </c>
      <c r="D44" s="517" t="s">
        <v>84</v>
      </c>
      <c r="E44" s="517" t="s">
        <v>85</v>
      </c>
      <c r="F44" s="517" t="s">
        <v>86</v>
      </c>
      <c r="G44" s="517" t="s">
        <v>87</v>
      </c>
      <c r="H44" s="517" t="s">
        <v>88</v>
      </c>
      <c r="I44" s="517" t="s">
        <v>89</v>
      </c>
      <c r="J44" s="518" t="s">
        <v>618</v>
      </c>
      <c r="K44" s="507"/>
      <c r="L44" s="515"/>
      <c r="M44" s="515"/>
      <c r="N44" s="515"/>
      <c r="O44" s="502"/>
      <c r="P44" s="502"/>
    </row>
    <row r="45" spans="1:28">
      <c r="A45" s="506" t="s">
        <v>246</v>
      </c>
      <c r="B45" s="519">
        <f t="shared" ref="B45:J45" si="3">$C$42*P31</f>
        <v>2718.898081506688</v>
      </c>
      <c r="C45" s="519">
        <f t="shared" si="3"/>
        <v>38.027490356365831</v>
      </c>
      <c r="D45" s="519">
        <f t="shared" si="3"/>
        <v>0</v>
      </c>
      <c r="E45" s="519">
        <f t="shared" si="3"/>
        <v>0</v>
      </c>
      <c r="F45" s="519">
        <f t="shared" si="3"/>
        <v>0</v>
      </c>
      <c r="G45" s="519">
        <f t="shared" si="3"/>
        <v>0</v>
      </c>
      <c r="H45" s="519">
        <f t="shared" si="3"/>
        <v>0</v>
      </c>
      <c r="I45" s="519">
        <f t="shared" si="3"/>
        <v>0</v>
      </c>
      <c r="J45" s="519">
        <f t="shared" si="3"/>
        <v>0</v>
      </c>
      <c r="K45" s="480"/>
      <c r="L45" s="515"/>
      <c r="M45" s="515"/>
      <c r="N45" s="515"/>
      <c r="O45" s="502"/>
      <c r="P45" s="502"/>
    </row>
    <row r="46" spans="1:28" ht="15.75" thickBot="1">
      <c r="A46" s="520" t="s">
        <v>247</v>
      </c>
      <c r="B46" s="521">
        <f t="shared" ref="B46:J46" si="4">$B$42*P31</f>
        <v>3221.2638728081902</v>
      </c>
      <c r="C46" s="521">
        <f t="shared" si="4"/>
        <v>45.053759716745674</v>
      </c>
      <c r="D46" s="521">
        <f t="shared" si="4"/>
        <v>0</v>
      </c>
      <c r="E46" s="521">
        <f t="shared" si="4"/>
        <v>0</v>
      </c>
      <c r="F46" s="521">
        <f t="shared" si="4"/>
        <v>0</v>
      </c>
      <c r="G46" s="521">
        <f t="shared" si="4"/>
        <v>0</v>
      </c>
      <c r="H46" s="521">
        <f t="shared" si="4"/>
        <v>0</v>
      </c>
      <c r="I46" s="521">
        <f t="shared" si="4"/>
        <v>0</v>
      </c>
      <c r="J46" s="521">
        <f t="shared" si="4"/>
        <v>0</v>
      </c>
      <c r="K46" s="480"/>
      <c r="L46" s="515"/>
      <c r="M46" s="515"/>
      <c r="N46" s="515"/>
      <c r="O46" s="502"/>
      <c r="P46" s="502"/>
    </row>
    <row r="47" spans="1:28">
      <c r="J47" s="461"/>
      <c r="K47" s="461"/>
      <c r="L47" s="461"/>
      <c r="M47" s="461"/>
      <c r="N47"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2024-08-06T13:05:07Z</dcterms:modified>
</cp:coreProperties>
</file>