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4E432A2-EE07-4E73-93E3-BE2111DC794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9" i="15"/>
  <c r="P11" i="48"/>
  <c r="Q10" i="14"/>
  <c r="Q9" i="14" s="1"/>
  <c r="J9" i="15" l="1"/>
  <c r="H9" i="15"/>
  <c r="E10" i="15"/>
  <c r="H10" i="15"/>
  <c r="L13" i="13"/>
  <c r="M62" i="14" s="1"/>
  <c r="M66" i="14" s="1"/>
  <c r="L4" i="48"/>
  <c r="L22" i="48" s="1"/>
  <c r="M16" i="14"/>
  <c r="M20" i="14" s="1"/>
  <c r="B13" i="16"/>
  <c r="O13" i="15"/>
  <c r="O11" i="48"/>
  <c r="F8" i="15"/>
  <c r="H8" i="15"/>
  <c r="H5" i="15" s="1"/>
  <c r="H17" i="15" s="1"/>
  <c r="M6" i="13"/>
  <c r="M9" i="13" s="1"/>
  <c r="M13" i="13" s="1"/>
  <c r="N62" i="14" s="1"/>
  <c r="B8" i="16"/>
  <c r="B12" i="16"/>
  <c r="D16" i="16"/>
  <c r="B6" i="13"/>
  <c r="B9" i="13" s="1"/>
  <c r="B4" i="48" s="1"/>
  <c r="O115" i="14"/>
  <c r="C42" i="18"/>
  <c r="D45" i="18" s="1"/>
  <c r="B42" i="18"/>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5" i="18"/>
  <c r="D8" i="18" s="1"/>
  <c r="E103" i="14"/>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I45" i="18"/>
  <c r="H8" i="18" s="1"/>
  <c r="M4" i="48"/>
  <c r="M22" i="48" s="1"/>
  <c r="M33" i="48" s="1"/>
  <c r="G45" i="18"/>
  <c r="I8" i="18" s="1"/>
  <c r="J103" i="14" s="1"/>
  <c r="J8" i="59" s="1"/>
  <c r="H45" i="18"/>
  <c r="J8" i="18" s="1"/>
  <c r="C45" i="18"/>
  <c r="K8" i="18" s="1"/>
  <c r="L103" i="14" s="1"/>
  <c r="N16" i="14"/>
  <c r="E45" i="18"/>
  <c r="E8" i="18" s="1"/>
  <c r="F103" i="14" s="1"/>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15" i="48"/>
  <c r="B17" i="15" l="1"/>
  <c r="B5" i="48" s="1"/>
  <c r="N14" i="22"/>
  <c r="N9" i="48" s="1"/>
  <c r="N27" i="48" s="1"/>
  <c r="H31" i="14"/>
  <c r="H30" i="14" s="1"/>
  <c r="D103" i="14"/>
  <c r="B103" i="14" s="1"/>
  <c r="B8" i="59" s="1"/>
  <c r="E14" i="22"/>
  <c r="E18" i="22"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O103" i="14" l="1"/>
  <c r="O8" i="59" s="1"/>
  <c r="H20" i="18"/>
  <c r="O31" i="14"/>
  <c r="O30" i="14" s="1"/>
  <c r="O37" i="14" s="1"/>
  <c r="O42" i="14" s="1"/>
  <c r="O90" i="14" s="1"/>
  <c r="E9" i="48"/>
  <c r="E27" i="48" s="1"/>
  <c r="P66" i="14"/>
  <c r="E33" i="48"/>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J116" i="14"/>
  <c r="I20" i="18"/>
  <c r="K17" i="59"/>
  <c r="F9" i="59"/>
  <c r="F10" i="59" s="1"/>
  <c r="F105" i="14"/>
  <c r="C8" i="59"/>
  <c r="D105" i="14"/>
  <c r="D9" i="59"/>
  <c r="D10" i="59" s="1"/>
  <c r="O19" i="59"/>
  <c r="D19" i="59"/>
  <c r="D20" i="59" s="1"/>
  <c r="E9" i="59"/>
  <c r="E10" i="59" s="1"/>
  <c r="E105" i="14"/>
  <c r="F33" i="48"/>
  <c r="F15" i="48"/>
  <c r="R8" i="48"/>
  <c r="S17" i="14"/>
  <c r="E15" i="48"/>
  <c r="S31" i="14" l="1"/>
  <c r="S30" i="14"/>
  <c r="S37" i="14"/>
  <c r="O105" i="14"/>
  <c r="B10" i="6" s="1"/>
  <c r="K90" i="14"/>
  <c r="C19" i="59"/>
  <c r="B114" i="14"/>
  <c r="B17" i="59" s="1"/>
  <c r="O114" i="14"/>
  <c r="O17" i="59" s="1"/>
  <c r="O20" i="59" s="1"/>
  <c r="I17" i="59"/>
  <c r="I20" i="59" s="1"/>
  <c r="C114" i="14"/>
  <c r="C17" i="59" s="1"/>
  <c r="I117" i="14"/>
  <c r="S20" i="14"/>
  <c r="P90" i="14"/>
  <c r="K19" i="59"/>
  <c r="K20" i="59" s="1"/>
  <c r="B19" i="59"/>
  <c r="J117" i="14"/>
  <c r="C9" i="59"/>
  <c r="C10" i="59" s="1"/>
  <c r="K105" i="14"/>
  <c r="G90" i="14"/>
  <c r="R15" i="48"/>
  <c r="S13" i="14"/>
  <c r="F90" i="14"/>
  <c r="J19" i="59"/>
  <c r="J20" i="59" s="1"/>
  <c r="K10" i="59"/>
  <c r="O10" i="59"/>
  <c r="S42" i="14" l="1"/>
  <c r="O117" i="14"/>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56" i="22"/>
  <c r="C16" i="22"/>
  <c r="C11" i="13"/>
  <c r="B4" i="6"/>
  <c r="D73" i="14" l="1"/>
  <c r="D72" i="14"/>
  <c r="D71" i="14" s="1"/>
  <c r="D83" i="14" s="1"/>
  <c r="C17" i="48"/>
  <c r="C13" i="13"/>
  <c r="D62" i="14" s="1"/>
  <c r="D66" i="14" s="1"/>
  <c r="B13" i="6"/>
  <c r="B56" i="22" s="1"/>
  <c r="C24" i="48" l="1"/>
  <c r="C25" i="48"/>
  <c r="C28" i="48"/>
  <c r="C29" i="48"/>
  <c r="C31" i="48"/>
  <c r="C22" i="48"/>
  <c r="C32" i="48"/>
  <c r="C30" i="48"/>
  <c r="C26" i="48"/>
  <c r="C23" i="48"/>
  <c r="C27"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<sst xmlns="http://schemas.openxmlformats.org/spreadsheetml/2006/main" count="3029" uniqueCount="783">
  <si>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</si>
  <si>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</si>
  <si>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</si>
  <si>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</si>
  <si>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</si>
  <si>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</si>
  <si>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</si>
  <si>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</si>
  <si>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</si>
  <si>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</si>
  <si>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</si>
  <si>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</si>
  <si>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</si>
  <si>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</si>
  <si>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</si>
  <si>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</si>
  <si>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</si>
  <si>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</si>
  <si>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</si>
  <si>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</si>
  <si>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</si>
  <si>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</si>
  <si>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</si>
  <si>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</si>
  <si>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</si>
  <si>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</si>
  <si>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</si>
  <si>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</si>
  <si>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</si>
  <si>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</si>
  <si>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</si>
  <si>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</si>
  <si>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</si>
  <si>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</si>
  <si>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</si>
  <si>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</si>
  <si>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</si>
  <si>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</si>
  <si>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</si>
  <si>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</si>
  <si>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</si>
  <si>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</si>
  <si>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</si>
  <si>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</si>
  <si>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</si>
  <si>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</si>
  <si>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</si>
  <si>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</si>
  <si>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</si>
  <si>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</si>
  <si>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</si>
  <si>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</si>
  <si>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</si>
  <si>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</si>
  <si>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</si>
  <si>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</si>
  <si>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</si>
  <si>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</si>
  <si>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</si>
  <si>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</si>
  <si>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</si>
  <si>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</si>
  <si>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</si>
  <si>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</si>
  <si>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</si>
  <si>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</si>
  <si>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</si>
  <si>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</si>
  <si>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</si>
  <si>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</si>
  <si>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</si>
  <si>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</si>
  <si>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</si>
  <si>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</si>
  <si>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</si>
  <si>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</si>
  <si>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</si>
  <si>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</si>
  <si>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</si>
  <si>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</si>
  <si>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</si>
  <si>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</si>
  <si>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</si>
  <si>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</si>
  <si>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</si>
  <si>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</si>
  <si>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</si>
  <si>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</si>
  <si>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</si>
  <si>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</si>
  <si>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</si>
  <si>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</si>
  <si>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</si>
  <si>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</si>
  <si>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</si>
  <si>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</si>
  <si>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</si>
  <si>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</si>
  <si>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</si>
  <si>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</si>
  <si>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</si>
  <si>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</si>
  <si>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</si>
  <si>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</si>
  <si>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</si>
  <si>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</si>
  <si>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</si>
  <si>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</si>
  <si>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</si>
  <si>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</si>
  <si>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</si>
  <si>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</si>
  <si>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</si>
  <si>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</si>
  <si>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</si>
  <si>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</si>
  <si>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</si>
  <si>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</si>
  <si>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</si>
  <si>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</si>
  <si>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</si>
  <si>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</si>
  <si>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</si>
  <si>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</si>
  <si>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</si>
  <si>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</si>
  <si>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</si>
  <si>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</si>
  <si>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</si>
  <si>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</si>
  <si>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</si>
  <si>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</si>
  <si>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</si>
  <si>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</si>
  <si>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</si>
  <si>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</si>
  <si>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</si>
  <si>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</si>
  <si>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</si>
  <si>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</si>
  <si>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</si>
  <si>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</si>
  <si>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</si>
  <si>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</si>
  <si>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</si>
  <si>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</si>
  <si>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</si>
  <si>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</si>
  <si>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</si>
  <si>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</si>
  <si>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</si>
  <si>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</si>
  <si>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</si>
  <si>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</si>
  <si>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</si>
  <si>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</si>
  <si>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</si>
  <si>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</si>
  <si>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</si>
  <si>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</si>
  <si>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</si>
  <si>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</si>
  <si>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</si>
  <si>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</si>
  <si>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</si>
  <si>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</si>
  <si>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</si>
  <si>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</si>
  <si>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</si>
  <si>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</si>
  <si>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</si>
  <si>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</si>
  <si>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</si>
  <si>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</si>
  <si>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</si>
  <si>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</si>
  <si>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</si>
  <si>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</si>
  <si>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</si>
  <si>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</si>
  <si>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</si>
  <si>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</si>
  <si>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</si>
  <si>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</si>
  <si>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</si>
  <si>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</si>
  <si>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</si>
  <si>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</si>
  <si>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</si>
  <si>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</si>
  <si>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</si>
  <si>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</si>
  <si>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</si>
  <si>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</si>
  <si>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</si>
  <si>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</si>
  <si>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</si>
  <si>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</si>
  <si>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</si>
  <si>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</si>
  <si>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</si>
  <si>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</si>
  <si>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</si>
  <si>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</si>
  <si>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</si>
  <si>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</si>
  <si>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</si>
  <si>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</si>
  <si>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</si>
  <si>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</si>
  <si>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</si>
  <si>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</si>
  <si>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</si>
  <si>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</si>
  <si>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</si>
  <si>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</si>
  <si>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</si>
  <si>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</si>
  <si>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</si>
  <si>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</si>
  <si>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</si>
  <si>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</si>
  <si>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</si>
  <si>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</si>
  <si>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</si>
  <si>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</si>
  <si>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</si>
  <si>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</si>
  <si>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</si>
  <si>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</si>
  <si>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</si>
  <si>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</si>
  <si>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</si>
  <si>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</si>
  <si>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</si>
  <si>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</si>
  <si>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</si>
  <si>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</si>
  <si>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</si>
  <si>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</si>
  <si>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</si>
  <si>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</si>
  <si>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</si>
  <si>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</si>
  <si>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</si>
  <si>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</si>
  <si>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</si>
  <si>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</si>
  <si>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</si>
  <si>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</si>
  <si>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</si>
  <si>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</si>
  <si>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</si>
  <si>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</si>
  <si>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</si>
  <si>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</si>
  <si>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</si>
  <si>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</si>
  <si>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</si>
  <si>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</si>
  <si>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</si>
  <si>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</si>
  <si>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</si>
  <si>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</si>
  <si>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</si>
  <si>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</si>
  <si>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</si>
  <si>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</si>
  <si>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</si>
  <si>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</si>
  <si>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</si>
  <si>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</si>
  <si>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</si>
  <si>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</si>
  <si>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</si>
  <si>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</si>
  <si>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</si>
  <si>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</si>
  <si>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</si>
  <si>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</si>
  <si>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</si>
  <si>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</si>
  <si>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</si>
  <si>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</si>
  <si>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</si>
  <si>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</si>
  <si>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</si>
  <si>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</si>
  <si>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</si>
  <si>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</si>
  <si>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</si>
  <si>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</si>
  <si>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</si>
  <si>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</si>
  <si>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</si>
  <si>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</si>
  <si>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</si>
  <si>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</si>
  <si>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</si>
  <si>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</si>
  <si>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</si>
  <si>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</si>
  <si>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</si>
  <si>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</si>
  <si>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</si>
  <si>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</si>
  <si>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</si>
  <si>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</si>
  <si>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</si>
  <si>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</si>
  <si>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</si>
  <si>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</si>
  <si>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</si>
  <si>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</si>
  <si>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</si>
  <si>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</si>
  <si>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</si>
  <si>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</si>
  <si>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</si>
  <si>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</si>
  <si>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</si>
  <si>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</si>
  <si>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</si>
  <si>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</si>
  <si>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</si>
  <si>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</si>
  <si>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</si>
  <si>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</si>
  <si>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</si>
  <si>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</si>
  <si>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</si>
  <si>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</si>
  <si>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</si>
  <si>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</si>
  <si>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</si>
  <si>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</si>
  <si>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</si>
  <si>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</si>
  <si>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</si>
  <si>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</si>
  <si>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</si>
  <si>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</si>
  <si>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</si>
  <si>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</si>
  <si>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</si>
  <si>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</si>
  <si>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</si>
  <si>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</si>
  <si>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</si>
  <si>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</si>
  <si>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</si>
  <si>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</si>
  <si>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</si>
  <si>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</si>
  <si>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</si>
  <si>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</si>
  <si>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</si>
  <si>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</si>
  <si>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</si>
  <si>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</si>
  <si>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</si>
  <si>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</si>
  <si>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</si>
  <si>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</si>
  <si>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</si>
  <si>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</si>
  <si>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</si>
  <si>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</si>
  <si>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</si>
  <si>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</si>
  <si>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</si>
  <si>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</si>
  <si>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</si>
  <si>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</si>
  <si>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</si>
  <si>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</si>
  <si>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</si>
  <si>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</si>
  <si>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</si>
  <si>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</si>
  <si>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</si>
  <si>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</si>
  <si>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</si>
  <si>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</si>
  <si>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</si>
  <si>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</si>
  <si>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</si>
  <si>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</si>
  <si>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</si>
  <si>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</si>
  <si>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</si>
  <si>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</si>
  <si>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</si>
  <si>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</si>
  <si>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</si>
  <si>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</si>
  <si>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</si>
  <si>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</si>
  <si>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</si>
  <si>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</si>
  <si>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</si>
  <si>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</si>
  <si>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</si>
  <si>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</si>
  <si>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</si>
  <si>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</si>
  <si>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</si>
  <si>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</si>
  <si>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</si>
  <si>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</si>
  <si>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</si>
  <si>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</si>
  <si>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</si>
  <si>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</si>
  <si>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</si>
  <si>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</si>
  <si>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</si>
  <si>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</si>
  <si>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</si>
  <si>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</si>
  <si>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</si>
  <si>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</si>
  <si>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</si>
  <si>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</si>
  <si>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</si>
  <si>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</si>
  <si>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</si>
  <si>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</si>
  <si>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</si>
  <si>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</si>
  <si>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</si>
  <si>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</si>
  <si>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</si>
  <si>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</si>
  <si>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</si>
  <si>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</si>
  <si>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</si>
  <si>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</si>
  <si>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</si>
  <si>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</si>
  <si>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</si>
  <si>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</si>
  <si>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</si>
  <si>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</si>
  <si>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</si>
  <si>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</si>
  <si>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</si>
  <si>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</si>
  <si>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</si>
  <si>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</si>
  <si>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</si>
  <si>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</si>
  <si>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</si>
  <si>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</si>
  <si>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</si>
  <si>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</si>
  <si>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</si>
  <si>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</si>
  <si>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</si>
  <si>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</si>
  <si>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</si>
  <si>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</si>
  <si>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</si>
  <si>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</si>
  <si>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</si>
  <si>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</si>
  <si>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</si>
  <si>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</si>
  <si>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</si>
  <si>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</si>
  <si>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</si>
  <si>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</si>
  <si>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</si>
  <si>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</si>
  <si>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</si>
  <si>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</si>
  <si>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</si>
  <si>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</si>
  <si>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</si>
  <si>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</si>
  <si>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</si>
  <si>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</si>
  <si>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</si>
  <si>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</si>
  <si>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</si>
  <si>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</si>
  <si>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</si>
  <si>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</si>
  <si>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</si>
  <si>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</si>
  <si>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</si>
  <si>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</si>
  <si>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</si>
  <si>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</si>
  <si>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</si>
  <si>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</si>
  <si>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</si>
  <si>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</si>
  <si>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</si>
  <si>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</si>
  <si>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</si>
  <si>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</si>
  <si>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</si>
  <si>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</si>
  <si>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</si>
  <si>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</si>
  <si>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</si>
  <si>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</si>
  <si>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</si>
  <si>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</si>
  <si>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</si>
  <si>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</si>
  <si>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</si>
  <si>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</si>
  <si>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</si>
  <si>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</si>
  <si>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</si>
  <si>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</si>
  <si>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</si>
  <si>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</si>
  <si>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</si>
  <si>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</si>
  <si>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</si>
  <si>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</si>
  <si>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</si>
  <si>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</si>
  <si>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</si>
  <si>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</si>
  <si>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</si>
  <si>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</si>
  <si>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</si>
  <si>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</si>
  <si>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</si>
  <si>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</si>
  <si>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</si>
  <si>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</si>
  <si>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</si>
  <si>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</si>
  <si>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</si>
  <si>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</si>
  <si>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</si>
  <si>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</si>
  <si>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</si>
  <si>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</si>
  <si>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</si>
  <si>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</si>
  <si>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</si>
  <si>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</si>
  <si>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</si>
  <si>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</si>
  <si>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</si>
  <si>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</si>
  <si>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</si>
  <si>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</si>
  <si>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</si>
  <si>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</si>
  <si>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</si>
  <si>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</si>
  <si>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</si>
  <si>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</si>
  <si>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</si>
  <si>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</si>
  <si>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</si>
  <si>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</si>
  <si>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</si>
  <si>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</si>
  <si>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</si>
  <si>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</si>
  <si>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</si>
  <si>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</si>
  <si>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</si>
  <si>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</si>
  <si>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</si>
  <si>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</si>
  <si>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</si>
  <si>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</si>
  <si>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</si>
  <si>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</si>
  <si>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</si>
  <si>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</si>
  <si>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</si>
  <si>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</si>
  <si>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</si>
  <si>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</si>
  <si>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</si>
  <si>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</si>
  <si>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</si>
  <si>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</si>
  <si>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</si>
  <si>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</si>
  <si>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</si>
  <si>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</si>
  <si>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</si>
  <si>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</si>
  <si>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</si>
  <si>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</si>
  <si>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</si>
  <si>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</si>
  <si>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</si>
  <si>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</si>
  <si>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</si>
  <si>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</si>
  <si>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</si>
  <si>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</si>
  <si>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</si>
  <si>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</si>
  <si>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</si>
  <si>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</si>
  <si>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</si>
  <si>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</si>
  <si>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</si>
  <si>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</si>
  <si>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</si>
  <si>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</si>
  <si>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</si>
  <si>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</si>
  <si>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</si>
  <si>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</si>
  <si>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</si>
  <si>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</si>
  <si>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</si>
  <si>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</si>
  <si>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</si>
  <si>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</si>
  <si>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</si>
  <si>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</si>
  <si>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</si>
  <si>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</si>
  <si>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</si>
  <si>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</si>
  <si>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</si>
  <si>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</si>
  <si>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</si>
  <si>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</si>
  <si>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</si>
  <si>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</si>
  <si>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</si>
  <si>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</si>
  <si>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</si>
  <si>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</si>
  <si>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</si>
  <si>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</si>
  <si>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</si>
  <si>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</si>
  <si>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</si>
  <si>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</si>
  <si>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</si>
  <si>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</si>
  <si>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</si>
  <si>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</si>
  <si>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</si>
  <si>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</si>
  <si>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</si>
  <si>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</si>
  <si>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</si>
  <si>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</si>
  <si>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</si>
  <si>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</si>
  <si>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</si>
  <si>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</si>
  <si>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</si>
  <si>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</si>
  <si>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</si>
  <si>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</si>
  <si>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</si>
  <si>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</si>
  <si>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</si>
  <si>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</si>
  <si>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</si>
  <si>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</si>
  <si>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</si>
  <si>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</si>
  <si>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</si>
  <si>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</si>
  <si>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</si>
  <si>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</si>
  <si>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</si>
  <si>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</si>
  <si>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</si>
  <si>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</si>
  <si>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</si>
  <si>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</si>
  <si>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</si>
  <si>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</si>
  <si>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</si>
  <si>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</si>
  <si>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</si>
  <si>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</si>
  <si>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</si>
  <si>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</si>
  <si>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</si>
  <si>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</si>
  <si>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</si>
  <si>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</si>
  <si>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</si>
  <si>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</si>
  <si>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</si>
  <si>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</si>
  <si>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</si>
  <si>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</si>
  <si>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</si>
  <si>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</si>
  <si>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</si>
  <si>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</si>
  <si>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</si>
  <si>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</si>
  <si>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</si>
  <si>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</si>
  <si>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</si>
  <si>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</si>
  <si>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</si>
  <si>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</si>
  <si>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</si>
  <si>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</si>
  <si>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</si>
  <si>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</si>
  <si>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</si>
  <si>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</si>
  <si>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</si>
  <si>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</si>
  <si>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</si>
  <si>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</si>
  <si>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</si>
  <si>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</si>
  <si>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</si>
  <si>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</si>
  <si>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</si>
  <si>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</si>
  <si>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</si>
  <si>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</si>
  <si>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</si>
  <si>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</si>
  <si>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</si>
  <si>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</si>
  <si>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</si>
  <si>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</si>
  <si>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</si>
  <si>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</si>
  <si>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</si>
  <si>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</si>
  <si>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</si>
  <si>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</si>
  <si>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</si>
  <si>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</si>
  <si>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</si>
  <si>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</si>
  <si>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</si>
  <si>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</si>
  <si>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</si>
  <si>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</si>
  <si>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</si>
  <si>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</si>
  <si>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</si>
  <si>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</si>
  <si>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</si>
  <si>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</si>
  <si>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</si>
  <si>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</si>
  <si>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</si>
  <si>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</si>
  <si>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</si>
  <si>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</si>
  <si>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</si>
  <si>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</si>
  <si>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</si>
  <si>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</si>
  <si>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</si>
  <si>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</si>
  <si>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</si>
  <si>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</si>
  <si>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</si>
  <si>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</si>
  <si>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</si>
  <si>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</si>
  <si>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</si>
  <si>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</si>
  <si>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</si>
  <si>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</si>
  <si>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</si>
  <si>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</si>
  <si>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13025</t>
  </si>
  <si>
    <t>MOL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</si>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</sst>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00CE2DD-C09A-4AD0-A056-26B8FD6542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67C7823-A3A6-4650-AD39-3C6D1D20D97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256823.16936638582</c:v>
                </c:pt>
                <c:pt idx="1">
                  <c:v>179005.4968920642</c:v>
                </c:pt>
                <c:pt idx="2">
                  <c:v>0</c:v>
                </c:pt>
                <c:pt idx="3">
                  <c:v>6891.5512465303618</c:v>
                </c:pt>
                <c:pt idx="4">
                  <c:v>98406.425855167079</c:v>
                </c:pt>
                <c:pt idx="5">
                  <c:v>266112.61570760608</c:v>
                </c:pt>
                <c:pt idx="6">
                  <c:v>2612.2991413463947</c:v>
                </c:pt>
                <c:pt idx="7">
                  <c:v>8463.2450743044501</c:v>
                </c:pt>
                <c:pt idx="8">
                  <c:v>1178.806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256823.16936638582</c:v>
                </c:pt>
                <c:pt idx="1">
                  <c:v>179005.4968920642</c:v>
                </c:pt>
                <c:pt idx="2">
                  <c:v>0</c:v>
                </c:pt>
                <c:pt idx="3">
                  <c:v>6891.5512465303618</c:v>
                </c:pt>
                <c:pt idx="4">
                  <c:v>98406.425855167079</c:v>
                </c:pt>
                <c:pt idx="5">
                  <c:v>266112.61570760608</c:v>
                </c:pt>
                <c:pt idx="6">
                  <c:v>2612.2991413463947</c:v>
                </c:pt>
                <c:pt idx="7">
                  <c:v>8463.2450743044501</c:v>
                </c:pt>
                <c:pt idx="8">
                  <c:v>1178.806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50681.715260161538</c:v>
                </c:pt>
                <c:pt idx="1">
                  <c:v>34257.349536546521</c:v>
                </c:pt>
                <c:pt idx="2">
                  <c:v>0</c:v>
                </c:pt>
                <c:pt idx="3">
                  <c:v>1720.7720600825783</c:v>
                </c:pt>
                <c:pt idx="4">
                  <c:v>14793.607109525954</c:v>
                </c:pt>
                <c:pt idx="5">
                  <c:v>62643.579500024403</c:v>
                </c:pt>
                <c:pt idx="6">
                  <c:v>619.2048082794139</c:v>
                </c:pt>
                <c:pt idx="7">
                  <c:v>1641.2693878123664</c:v>
                </c:pt>
                <c:pt idx="8">
                  <c:v>210.36487043479761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50681.715260161538</c:v>
                </c:pt>
                <c:pt idx="1">
                  <c:v>34257.349536546521</c:v>
                </c:pt>
                <c:pt idx="2">
                  <c:v>0</c:v>
                </c:pt>
                <c:pt idx="3">
                  <c:v>1720.7720600825783</c:v>
                </c:pt>
                <c:pt idx="4">
                  <c:v>14793.607109525954</c:v>
                </c:pt>
                <c:pt idx="5">
                  <c:v>62643.579500024403</c:v>
                </c:pt>
                <c:pt idx="6">
                  <c:v>619.2048082794139</c:v>
                </c:pt>
                <c:pt idx="7">
                  <c:v>1641.2693878123664</c:v>
                </c:pt>
                <c:pt idx="8">
                  <c:v>210.36487043479761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13025</v>
      </c>
      <c r="B6" s="336"/>
      <c r="C6" s="337"/>
    </row>
    <row r="7" spans="1:7" s="334" customFormat="1" ht="15.75" customHeight="1">
      <c r="A7" s="338" t="str">
        <f>txtMunicipality</f>
        <v>MOL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4080.0033164070328</v>
      </c>
      <c r="D9" s="531">
        <f t="shared" ref="D9:R9" si="0">SUM(D10:D11)</f>
        <v>0</v>
      </c>
      <c r="E9" s="531">
        <f t="shared" si="0"/>
        <v>5562.0477578974169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9642.0510743044506</v>
      </c>
      <c r="T9" s="66"/>
    </row>
    <row r="10" spans="1:20" s="382" customFormat="1">
      <c r="A10" s="870" t="s">
        <v>197</v>
      </c>
      <c r="B10" s="639"/>
      <c r="C10" s="531">
        <f>'Eigen gebouwen'!B6</f>
        <v>2901.1973164070328</v>
      </c>
      <c r="D10" s="531">
        <f>'Eigen gebouwen'!C6</f>
        <v>0</v>
      </c>
      <c r="E10" s="531">
        <f>'Eigen gebouwen'!D6</f>
        <v>5562.0477578974169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8463.2450743044501</v>
      </c>
      <c r="T10" s="66"/>
    </row>
    <row r="11" spans="1:20" s="382" customFormat="1">
      <c r="A11" s="870" t="s">
        <v>410</v>
      </c>
      <c r="B11" s="639"/>
      <c r="C11" s="531">
        <f>'Eigen openbare verlichting'!B6</f>
        <v>1178.806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1178.806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89259.004692235059</v>
      </c>
      <c r="D13" s="868">
        <f t="shared" ref="D13:P13" si="1">SUM(D14:D15)</f>
        <v>4439.3560816076297</v>
      </c>
      <c r="E13" s="868">
        <f t="shared" si="1"/>
        <v>68094.571090999059</v>
      </c>
      <c r="F13" s="868">
        <f t="shared" si="1"/>
        <v>225.26604900614294</v>
      </c>
      <c r="G13" s="868">
        <f t="shared" si="1"/>
        <v>12866.337996718972</v>
      </c>
      <c r="H13" s="868">
        <f t="shared" si="1"/>
        <v>0</v>
      </c>
      <c r="I13" s="868">
        <f t="shared" si="1"/>
        <v>2.2306845925025787</v>
      </c>
      <c r="J13" s="868">
        <f t="shared" si="1"/>
        <v>0</v>
      </c>
      <c r="K13" s="868">
        <f t="shared" si="1"/>
        <v>0.1062848432448058</v>
      </c>
      <c r="L13" s="868">
        <f t="shared" si="1"/>
        <v>0</v>
      </c>
      <c r="M13" s="868">
        <f t="shared" si="1"/>
        <v>0</v>
      </c>
      <c r="N13" s="868">
        <f t="shared" si="1"/>
        <v>0</v>
      </c>
      <c r="O13" s="868">
        <f t="shared" si="1"/>
        <v>0</v>
      </c>
      <c r="P13" s="868">
        <f t="shared" si="1"/>
        <v>4118.6240120616003</v>
      </c>
      <c r="Q13" s="868">
        <f t="shared" ref="Q13" si="2">SUM(Q14:Q15)</f>
        <v>0</v>
      </c>
      <c r="R13" s="869">
        <f t="shared" ref="R13" si="3">SUM(R14:R15)</f>
        <v>0</v>
      </c>
      <c r="S13" s="562">
        <f t="shared" ref="S13" si="4">SUM(C13:R13)</f>
        <v>179005.4968920642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89259.004692235059</v>
      </c>
      <c r="D15" s="531">
        <f>tertiair!C17</f>
        <v>4439.3560816076297</v>
      </c>
      <c r="E15" s="531">
        <f>tertiair!D17</f>
        <v>68094.571090999059</v>
      </c>
      <c r="F15" s="531">
        <f>tertiair!E17</f>
        <v>225.26604900614294</v>
      </c>
      <c r="G15" s="531">
        <f>tertiair!F17</f>
        <v>12866.337996718972</v>
      </c>
      <c r="H15" s="531" t="str">
        <f>tertiair!G17</f>
        <v>NE</v>
      </c>
      <c r="I15" s="531">
        <f>tertiair!H17</f>
        <v>2.2306845925025787</v>
      </c>
      <c r="J15" s="531" t="str">
        <f>tertiair!I17</f>
        <v>NE</v>
      </c>
      <c r="K15" s="531">
        <f>tertiair!J17</f>
        <v>0.1062848432448058</v>
      </c>
      <c r="L15" s="531" t="str">
        <f>tertiair!K17</f>
        <v>NE</v>
      </c>
      <c r="M15" s="531" t="str">
        <f>tertiair!L17</f>
        <v>IE</v>
      </c>
      <c r="N15" s="531" t="str">
        <f>tertiair!M17</f>
        <v>IE</v>
      </c>
      <c r="O15" s="531" t="str">
        <f>tertiair!N17</f>
        <v>IE</v>
      </c>
      <c r="P15" s="531">
        <f>tertiair!O17</f>
        <v>4118.6240120616003</v>
      </c>
      <c r="Q15" s="531" t="str">
        <f>tertiair!P17</f>
        <v>NE</v>
      </c>
      <c r="R15" s="869" t="str">
        <f>tertiair!Q17</f>
        <v>NE</v>
      </c>
      <c r="S15" s="562">
        <f>SUM(C15:R15)</f>
        <v>179005.4968920642</v>
      </c>
      <c r="T15" s="66"/>
    </row>
    <row r="16" spans="1:20" s="382" customFormat="1">
      <c r="A16" s="634" t="s">
        <v>644</v>
      </c>
      <c r="B16" s="639"/>
      <c r="C16" s="531">
        <f>huishoudens!B9</f>
        <v>51607.656556347269</v>
      </c>
      <c r="D16" s="531">
        <f>huishoudens!C9</f>
        <v>64.467091217592483</v>
      </c>
      <c r="E16" s="531">
        <f>huishoudens!D9</f>
        <v>121428.13900929554</v>
      </c>
      <c r="F16" s="531">
        <f>huishoudens!E9</f>
        <v>3608.3006709638521</v>
      </c>
      <c r="G16" s="531">
        <f>huishoudens!F9</f>
        <v>59697.642575859201</v>
      </c>
      <c r="H16" s="531" t="str">
        <f>huishoudens!G9</f>
        <v>NE</v>
      </c>
      <c r="I16" s="531" t="str">
        <f>huishoudens!H9</f>
        <v>NE</v>
      </c>
      <c r="J16" s="531" t="str">
        <f>huishoudens!I9</f>
        <v xml:space="preserve">NE </v>
      </c>
      <c r="K16" s="531">
        <f>huishoudens!J9</f>
        <v>478.55840949896924</v>
      </c>
      <c r="L16" s="531" t="str">
        <f>huishoudens!K9</f>
        <v>NE</v>
      </c>
      <c r="M16" s="531">
        <f>huishoudens!L9</f>
        <v>0</v>
      </c>
      <c r="N16" s="531">
        <f>huishoudens!M9</f>
        <v>0</v>
      </c>
      <c r="O16" s="531" t="str">
        <f>huishoudens!N9</f>
        <v>NE</v>
      </c>
      <c r="P16" s="531">
        <f>huishoudens!O9</f>
        <v>19938.405053203362</v>
      </c>
      <c r="Q16" s="531" t="str">
        <f>huishoudens!P9</f>
        <v>NE</v>
      </c>
      <c r="R16" s="869" t="str">
        <f>huishoudens!Q9</f>
        <v>NE</v>
      </c>
      <c r="S16" s="562">
        <f>SUM(C16:R16)</f>
        <v>256823.16936638582</v>
      </c>
      <c r="T16" s="66"/>
    </row>
    <row r="17" spans="1:20" s="382" customFormat="1">
      <c r="A17" s="634" t="s">
        <v>495</v>
      </c>
      <c r="B17" s="643" t="s">
        <v>493</v>
      </c>
      <c r="C17" s="531">
        <f>industrie!B19</f>
        <v>59291.438416934048</v>
      </c>
      <c r="D17" s="531">
        <f>industrie!C19</f>
        <v>14.160960001132878</v>
      </c>
      <c r="E17" s="531">
        <f>industrie!D19</f>
        <v>6687.8183229264087</v>
      </c>
      <c r="F17" s="531">
        <f>industrie!E19</f>
        <v>467.63512460576521</v>
      </c>
      <c r="G17" s="531">
        <f>industrie!F19</f>
        <v>8836.9196780064958</v>
      </c>
      <c r="H17" s="531" t="str">
        <f>industrie!G19</f>
        <v>NE</v>
      </c>
      <c r="I17" s="531">
        <f>industrie!H19</f>
        <v>0</v>
      </c>
      <c r="J17" s="531" t="str">
        <f>industrie!I19</f>
        <v>NE</v>
      </c>
      <c r="K17" s="531">
        <f>industrie!J19</f>
        <v>1109.2806076128315</v>
      </c>
      <c r="L17" s="531" t="str">
        <f>industrie!K19</f>
        <v>NE</v>
      </c>
      <c r="M17" s="531" t="str">
        <f>industrie!L19</f>
        <v>IE</v>
      </c>
      <c r="N17" s="531" t="str">
        <f>industrie!M19</f>
        <v>IE</v>
      </c>
      <c r="O17" s="531" t="str">
        <f>industrie!N19</f>
        <v>IE</v>
      </c>
      <c r="P17" s="531">
        <f>industrie!O19</f>
        <v>21999.172745080403</v>
      </c>
      <c r="Q17" s="531" t="str">
        <f>industrie!P19</f>
        <v>NE</v>
      </c>
      <c r="R17" s="869" t="str">
        <f>industrie!Q19</f>
        <v>NE</v>
      </c>
      <c r="S17" s="562">
        <f>SUM(C17:R17)</f>
        <v>98406.425855167079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204238.10298192341</v>
      </c>
      <c r="D20" s="564">
        <f>SUM(D9,D13,D16,D17,D18,D19)</f>
        <v>4517.9841328263547</v>
      </c>
      <c r="E20" s="564">
        <f t="shared" ref="E20:R20" si="5">SUM(E9,E13,E16,E17,E18,E19)</f>
        <v>201772.57618111843</v>
      </c>
      <c r="F20" s="564">
        <f t="shared" si="5"/>
        <v>4301.2018445757603</v>
      </c>
      <c r="G20" s="564">
        <f t="shared" si="5"/>
        <v>81400.900250584673</v>
      </c>
      <c r="H20" s="564">
        <f t="shared" si="5"/>
        <v>0</v>
      </c>
      <c r="I20" s="564">
        <f t="shared" si="5"/>
        <v>2.2306845925025787</v>
      </c>
      <c r="J20" s="564">
        <f t="shared" si="5"/>
        <v>0</v>
      </c>
      <c r="K20" s="564">
        <f t="shared" si="5"/>
        <v>1587.9453019550456</v>
      </c>
      <c r="L20" s="564">
        <f t="shared" si="5"/>
        <v>0</v>
      </c>
      <c r="M20" s="564">
        <f t="shared" si="5"/>
        <v>0</v>
      </c>
      <c r="N20" s="564">
        <f t="shared" si="5"/>
        <v>0</v>
      </c>
      <c r="O20" s="564">
        <f t="shared" si="5"/>
        <v>0</v>
      </c>
      <c r="P20" s="564">
        <f t="shared" si="5"/>
        <v>46056.201810345367</v>
      </c>
      <c r="Q20" s="564">
        <f t="shared" si="5"/>
        <v>0</v>
      </c>
      <c r="R20" s="564">
        <f t="shared" si="5"/>
        <v>0</v>
      </c>
      <c r="S20" s="564">
        <f>SUM(C20:R20)</f>
        <v>543877.14318792149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61.788432470754103</v>
      </c>
      <c r="D25" s="531">
        <f t="shared" ref="D25:R25" si="7">SUM(D26:D29)</f>
        <v>0</v>
      </c>
      <c r="E25" s="531">
        <f t="shared" si="7"/>
        <v>0</v>
      </c>
      <c r="F25" s="531">
        <f t="shared" si="7"/>
        <v>0</v>
      </c>
      <c r="G25" s="531">
        <f t="shared" si="7"/>
        <v>0</v>
      </c>
      <c r="H25" s="531">
        <f t="shared" si="7"/>
        <v>2277.8213436369329</v>
      </c>
      <c r="I25" s="531">
        <f t="shared" si="7"/>
        <v>0</v>
      </c>
      <c r="J25" s="531">
        <f t="shared" si="7"/>
        <v>0</v>
      </c>
      <c r="K25" s="531">
        <f t="shared" si="7"/>
        <v>0</v>
      </c>
      <c r="L25" s="531">
        <f t="shared" si="7"/>
        <v>0</v>
      </c>
      <c r="M25" s="531">
        <f t="shared" si="7"/>
        <v>0</v>
      </c>
      <c r="N25" s="531">
        <f t="shared" si="7"/>
        <v>0</v>
      </c>
      <c r="O25" s="531">
        <f t="shared" si="7"/>
        <v>272.68936523870741</v>
      </c>
      <c r="P25" s="531">
        <f t="shared" si="7"/>
        <v>0</v>
      </c>
      <c r="Q25" s="531">
        <f t="shared" si="7"/>
        <v>0</v>
      </c>
      <c r="R25" s="869">
        <f t="shared" si="7"/>
        <v>0</v>
      </c>
      <c r="S25" s="562">
        <f>SUM(C25:R25)</f>
        <v>2612.2991413463947</v>
      </c>
      <c r="T25" s="66"/>
    </row>
    <row r="26" spans="1:20" s="382" customFormat="1">
      <c r="A26" s="870" t="s">
        <v>645</v>
      </c>
      <c r="B26" s="867"/>
      <c r="C26" s="868">
        <f>transport!B51*10^9/3600</f>
        <v>61.788432470754103</v>
      </c>
      <c r="D26" s="868">
        <f>transport!C51*10^9/3600</f>
        <v>0</v>
      </c>
      <c r="E26" s="868">
        <f>transport!D51*10^9/3600</f>
        <v>0</v>
      </c>
      <c r="F26" s="868">
        <f>transport!E51*10^9/3600</f>
        <v>0</v>
      </c>
      <c r="G26" s="868">
        <f>transport!F51*10^9/3600</f>
        <v>0</v>
      </c>
      <c r="H26" s="868">
        <f>transport!G51*10^9/3600</f>
        <v>2277.8213436369329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272.68936523870741</v>
      </c>
      <c r="P26" s="868">
        <f>transport!O51*10^9/3600</f>
        <v>0</v>
      </c>
      <c r="Q26" s="868">
        <f>transport!P51*10^9/3600</f>
        <v>0</v>
      </c>
      <c r="R26" s="868">
        <f>transport!Q51*10^9/3600</f>
        <v>0</v>
      </c>
      <c r="S26" s="562">
        <f>SUM(C26:R26)</f>
        <v>2612.2991413463947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3585.2817858642447</v>
      </c>
      <c r="D30" s="868">
        <f t="shared" ref="D30:R30" si="9">SUM(D31:D35)</f>
        <v>0</v>
      </c>
      <c r="E30" s="868">
        <f t="shared" si="9"/>
        <v>897.7712414520721</v>
      </c>
      <c r="F30" s="868">
        <f t="shared" si="9"/>
        <v>422.5385350677638</v>
      </c>
      <c r="G30" s="868">
        <f t="shared" si="9"/>
        <v>0</v>
      </c>
      <c r="H30" s="868">
        <f t="shared" si="9"/>
        <v>170706.39571607613</v>
      </c>
      <c r="I30" s="868">
        <f t="shared" si="9"/>
        <v>64850.968530285485</v>
      </c>
      <c r="J30" s="868">
        <f t="shared" si="9"/>
        <v>0</v>
      </c>
      <c r="K30" s="868">
        <f t="shared" si="9"/>
        <v>0</v>
      </c>
      <c r="L30" s="868">
        <f t="shared" si="9"/>
        <v>0</v>
      </c>
      <c r="M30" s="868">
        <f t="shared" si="9"/>
        <v>0</v>
      </c>
      <c r="N30" s="868">
        <f t="shared" si="9"/>
        <v>0</v>
      </c>
      <c r="O30" s="868">
        <f t="shared" si="9"/>
        <v>25649.659898860362</v>
      </c>
      <c r="P30" s="868">
        <f t="shared" si="9"/>
        <v>0</v>
      </c>
      <c r="Q30" s="868">
        <f t="shared" si="9"/>
        <v>0</v>
      </c>
      <c r="R30" s="869">
        <f t="shared" si="9"/>
        <v>0</v>
      </c>
      <c r="S30" s="562">
        <f>SUM(C30:R30)</f>
        <v>266112.61570760608</v>
      </c>
      <c r="T30" s="66"/>
    </row>
    <row r="31" spans="1:20" s="382" customFormat="1">
      <c r="A31" s="870" t="s">
        <v>645</v>
      </c>
      <c r="B31" s="639"/>
      <c r="C31" s="531">
        <f>transport!B14</f>
        <v>3585.2817858642447</v>
      </c>
      <c r="D31" s="531" t="str">
        <f>transport!C14</f>
        <v>NO</v>
      </c>
      <c r="E31" s="531">
        <f>transport!D14</f>
        <v>897.7712414520721</v>
      </c>
      <c r="F31" s="531">
        <f>transport!E14</f>
        <v>422.5385350677638</v>
      </c>
      <c r="G31" s="531" t="str">
        <f>transport!F14</f>
        <v>NO</v>
      </c>
      <c r="H31" s="531">
        <f>transport!G14</f>
        <v>170706.39571607613</v>
      </c>
      <c r="I31" s="531">
        <f>transport!H14</f>
        <v>64850.968530285485</v>
      </c>
      <c r="J31" s="531" t="str">
        <f>transport!I14</f>
        <v>NO</v>
      </c>
      <c r="K31" s="531" t="str">
        <f>transport!J14</f>
        <v>NO</v>
      </c>
      <c r="L31" s="531" t="str">
        <f>transport!K14</f>
        <v>NO</v>
      </c>
      <c r="M31" s="531" t="str">
        <f>transport!L14</f>
        <v>NO</v>
      </c>
      <c r="N31" s="531" t="str">
        <f>transport!M14</f>
        <v>NO</v>
      </c>
      <c r="O31" s="531">
        <f>transport!N14</f>
        <v>25649.659898860362</v>
      </c>
      <c r="P31" s="531" t="str">
        <f>transport!O14</f>
        <v>NO</v>
      </c>
      <c r="Q31" s="531" t="str">
        <f>transport!P14</f>
        <v>NO</v>
      </c>
      <c r="R31" s="869" t="str">
        <f>transport!Q14</f>
        <v>NO</v>
      </c>
      <c r="S31" s="562">
        <f>SUM(C31:R31)</f>
        <v>266112.61570760608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3647.070218334999</v>
      </c>
      <c r="D37" s="637">
        <f t="shared" ref="D37:R37" si="10">SUM(D22,D25,D30,D36)</f>
        <v>0</v>
      </c>
      <c r="E37" s="637">
        <f t="shared" si="10"/>
        <v>897.7712414520721</v>
      </c>
      <c r="F37" s="637">
        <f t="shared" si="10"/>
        <v>422.5385350677638</v>
      </c>
      <c r="G37" s="637">
        <f t="shared" si="10"/>
        <v>0</v>
      </c>
      <c r="H37" s="637">
        <f t="shared" si="10"/>
        <v>172984.21705971306</v>
      </c>
      <c r="I37" s="637">
        <f t="shared" si="10"/>
        <v>64850.968530285485</v>
      </c>
      <c r="J37" s="637">
        <f t="shared" si="10"/>
        <v>0</v>
      </c>
      <c r="K37" s="637">
        <f t="shared" si="10"/>
        <v>0</v>
      </c>
      <c r="L37" s="637">
        <f t="shared" si="10"/>
        <v>0</v>
      </c>
      <c r="M37" s="637">
        <f t="shared" si="10"/>
        <v>0</v>
      </c>
      <c r="N37" s="637">
        <f t="shared" si="10"/>
        <v>0</v>
      </c>
      <c r="O37" s="637">
        <f t="shared" si="10"/>
        <v>25922.34926409907</v>
      </c>
      <c r="P37" s="637">
        <f t="shared" si="10"/>
        <v>0</v>
      </c>
      <c r="Q37" s="637">
        <f t="shared" si="10"/>
        <v>0</v>
      </c>
      <c r="R37" s="637">
        <f t="shared" si="10"/>
        <v>0</v>
      </c>
      <c r="S37" s="637">
        <f>SUM(C37:R37)</f>
        <v>268724.91484895244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1403.9539134987842</v>
      </c>
      <c r="D39" s="531">
        <f>+landbouw!C9</f>
        <v>0</v>
      </c>
      <c r="E39" s="531">
        <f>+landbouw!D9</f>
        <v>110.81333361</v>
      </c>
      <c r="F39" s="531">
        <f>+landbouw!E9</f>
        <v>50.986835909370811</v>
      </c>
      <c r="G39" s="531">
        <f>+landbouw!F9</f>
        <v>5161.6354253523268</v>
      </c>
      <c r="H39" s="531" t="str">
        <f>+landbouw!G9</f>
        <v>NE</v>
      </c>
      <c r="I39" s="531" t="str">
        <f>+landbouw!H9</f>
        <v>NE</v>
      </c>
      <c r="J39" s="531" t="str">
        <f>+landbouw!I9</f>
        <v>NE</v>
      </c>
      <c r="K39" s="531">
        <f>+landbouw!J9</f>
        <v>164.16173815987989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6891.5512465303618</v>
      </c>
      <c r="T39" s="66"/>
    </row>
    <row r="40" spans="1:20" s="382" customFormat="1" ht="15" thickBot="1">
      <c r="A40" s="654" t="s">
        <v>537</v>
      </c>
      <c r="B40" s="748"/>
      <c r="C40" s="749">
        <f>IF(Onbekend_ele_kWh="---",0,Onbekend_ele_kWh)/1000+IF(REST_rest_ele_kWh="---",0,REST_rest_ele_kWh)/1000</f>
        <v>1724.8579399999999</v>
      </c>
      <c r="D40" s="749" t="s">
        <v>637</v>
      </c>
      <c r="E40" s="749">
        <f>IF(onbekend_gas_kWh="---",0,onbekend_gas_kWh)/1000+IF(REST_rest_gas_kWh="---",0,REST_rest_gas_kWh)/1000</f>
        <v>2699.70066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4424.5586000000003</v>
      </c>
      <c r="T40" s="66"/>
    </row>
    <row r="41" spans="1:20" s="382" customFormat="1" ht="15.75" thickBot="1">
      <c r="A41" s="537" t="s">
        <v>538</v>
      </c>
      <c r="B41" s="642"/>
      <c r="C41" s="637">
        <f>SUM(C39:C40)</f>
        <v>3128.8118534987843</v>
      </c>
      <c r="D41" s="637">
        <f t="shared" ref="D41:R41" si="11">SUM(D39:D40)</f>
        <v>0</v>
      </c>
      <c r="E41" s="637">
        <f t="shared" si="11"/>
        <v>2810.5139936099999</v>
      </c>
      <c r="F41" s="637">
        <f t="shared" si="11"/>
        <v>50.986835909370811</v>
      </c>
      <c r="G41" s="637">
        <f t="shared" si="11"/>
        <v>5161.6354253523268</v>
      </c>
      <c r="H41" s="637">
        <f t="shared" si="11"/>
        <v>0</v>
      </c>
      <c r="I41" s="637">
        <f t="shared" si="11"/>
        <v>0</v>
      </c>
      <c r="J41" s="637">
        <f t="shared" si="11"/>
        <v>0</v>
      </c>
      <c r="K41" s="637">
        <f t="shared" si="11"/>
        <v>164.16173815987989</v>
      </c>
      <c r="L41" s="637">
        <f t="shared" si="11"/>
        <v>0</v>
      </c>
      <c r="M41" s="637">
        <f t="shared" si="11"/>
        <v>0</v>
      </c>
      <c r="N41" s="637">
        <f t="shared" si="11"/>
        <v>0</v>
      </c>
      <c r="O41" s="637">
        <f t="shared" si="11"/>
        <v>0</v>
      </c>
      <c r="P41" s="637">
        <f t="shared" si="11"/>
        <v>0</v>
      </c>
      <c r="Q41" s="637">
        <f t="shared" si="11"/>
        <v>0</v>
      </c>
      <c r="R41" s="637">
        <f t="shared" si="11"/>
        <v>0</v>
      </c>
      <c r="S41" s="637">
        <f>SUM(C41:R41)</f>
        <v>11316.109846530362</v>
      </c>
      <c r="T41" s="66"/>
    </row>
    <row r="42" spans="1:20" s="382" customFormat="1" ht="17.25" thickTop="1" thickBot="1">
      <c r="A42" s="538" t="s">
        <v>96</v>
      </c>
      <c r="B42" s="630"/>
      <c r="C42" s="539">
        <f t="shared" ref="C42:S42" si="12">C37+C20+C41</f>
        <v>211013.98505375718</v>
      </c>
      <c r="D42" s="539">
        <f t="shared" si="12"/>
        <v>4517.9841328263547</v>
      </c>
      <c r="E42" s="539">
        <f t="shared" si="12"/>
        <v>205480.8614161805</v>
      </c>
      <c r="F42" s="539">
        <f t="shared" si="12"/>
        <v>4774.7272155528944</v>
      </c>
      <c r="G42" s="539">
        <f t="shared" si="12"/>
        <v>86562.535675937004</v>
      </c>
      <c r="H42" s="539">
        <f t="shared" si="12"/>
        <v>172984.21705971306</v>
      </c>
      <c r="I42" s="539">
        <f t="shared" si="12"/>
        <v>64853.19921487799</v>
      </c>
      <c r="J42" s="539">
        <f t="shared" si="12"/>
        <v>0</v>
      </c>
      <c r="K42" s="539">
        <f t="shared" si="12"/>
        <v>1752.1070401149254</v>
      </c>
      <c r="L42" s="539">
        <f t="shared" si="12"/>
        <v>0</v>
      </c>
      <c r="M42" s="539">
        <f t="shared" si="12"/>
        <v>0</v>
      </c>
      <c r="N42" s="539">
        <f t="shared" si="12"/>
        <v>0</v>
      </c>
      <c r="O42" s="539">
        <f t="shared" si="12"/>
        <v>25922.34926409907</v>
      </c>
      <c r="P42" s="539">
        <f t="shared" si="12"/>
        <v>46056.201810345367</v>
      </c>
      <c r="Q42" s="539">
        <f t="shared" si="12"/>
        <v>0</v>
      </c>
      <c r="R42" s="539">
        <f t="shared" si="12"/>
        <v>0</v>
      </c>
      <c r="S42" s="539">
        <f t="shared" si="12"/>
        <v>823918.1678834043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728.1006111518858</v>
      </c>
      <c r="D55" s="531">
        <f t="shared" ref="D55:R55" si="13">SUM(D56:D58)</f>
        <v>0</v>
      </c>
      <c r="E55" s="531">
        <f t="shared" si="13"/>
        <v>1123.5336470952782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1851.6342582471639</v>
      </c>
    </row>
    <row r="56" spans="1:19">
      <c r="A56" s="899" t="s">
        <v>197</v>
      </c>
      <c r="B56" s="652"/>
      <c r="C56" s="531">
        <f>'Eigen gebouwen'!B10</f>
        <v>517.73574071708822</v>
      </c>
      <c r="D56" s="531">
        <f>'Eigen gebouwen'!C10</f>
        <v>0</v>
      </c>
      <c r="E56" s="531">
        <f>'Eigen gebouwen'!D10</f>
        <v>1123.5336470952782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1641.2693878123664</v>
      </c>
    </row>
    <row r="57" spans="1:19">
      <c r="A57" s="900" t="s">
        <v>410</v>
      </c>
      <c r="B57" s="652"/>
      <c r="C57" s="531">
        <f>'Eigen openbare verlichting'!B10</f>
        <v>210.36487043479761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210.36487043479761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15928.794862955412</v>
      </c>
      <c r="D59" s="868">
        <f t="shared" ref="D59:R59" si="15">SUM(D60:D61)</f>
        <v>1086.4106096628959</v>
      </c>
      <c r="E59" s="868">
        <f t="shared" si="15"/>
        <v>13755.10336038181</v>
      </c>
      <c r="F59" s="868">
        <f t="shared" si="15"/>
        <v>51.135393124394447</v>
      </c>
      <c r="G59" s="868">
        <f t="shared" si="15"/>
        <v>3435.3122451239656</v>
      </c>
      <c r="H59" s="868">
        <f t="shared" si="15"/>
        <v>0</v>
      </c>
      <c r="I59" s="868">
        <f t="shared" si="15"/>
        <v>0.55544046353314214</v>
      </c>
      <c r="J59" s="868">
        <f t="shared" si="15"/>
        <v>0</v>
      </c>
      <c r="K59" s="868">
        <f t="shared" si="15"/>
        <v>3.7624834508661255E-2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34257.349536546521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15928.794862955412</v>
      </c>
      <c r="D61" s="531">
        <f>tertiair!C21</f>
        <v>1086.4106096628959</v>
      </c>
      <c r="E61" s="531">
        <f>tertiair!D21</f>
        <v>13755.10336038181</v>
      </c>
      <c r="F61" s="531">
        <f>tertiair!E21</f>
        <v>51.135393124394447</v>
      </c>
      <c r="G61" s="531">
        <f>tertiair!F21</f>
        <v>3435.3122451239656</v>
      </c>
      <c r="H61" s="531" t="str">
        <f>tertiair!G21</f>
        <v>NE</v>
      </c>
      <c r="I61" s="531">
        <f>tertiair!H21</f>
        <v>0.55544046353314214</v>
      </c>
      <c r="J61" s="531" t="str">
        <f>tertiair!I21</f>
        <v>NE</v>
      </c>
      <c r="K61" s="531">
        <f>tertiair!J21</f>
        <v>3.7624834508661255E-2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34257.349536546521</v>
      </c>
    </row>
    <row r="62" spans="1:19" ht="14.45" customHeight="1">
      <c r="A62" s="647" t="s">
        <v>644</v>
      </c>
      <c r="B62" s="652"/>
      <c r="C62" s="531">
        <f>huishoudens!B13</f>
        <v>9209.6901313019498</v>
      </c>
      <c r="D62" s="531">
        <f>huishoudens!C13</f>
        <v>15.776551956051996</v>
      </c>
      <c r="E62" s="531">
        <f>huishoudens!D13</f>
        <v>24528.4840798777</v>
      </c>
      <c r="F62" s="531">
        <f>huishoudens!E13</f>
        <v>819.08425230879448</v>
      </c>
      <c r="G62" s="531">
        <f>huishoudens!F13</f>
        <v>15939.270567754407</v>
      </c>
      <c r="H62" s="531" t="str">
        <f>huishoudens!G13</f>
        <v>NE</v>
      </c>
      <c r="I62" s="531" t="str">
        <f>huishoudens!H13</f>
        <v>NE</v>
      </c>
      <c r="J62" s="531" t="str">
        <f>huishoudens!I13</f>
        <v>NE</v>
      </c>
      <c r="K62" s="531">
        <f>huishoudens!J13</f>
        <v>169.4096769626351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50681.715260161538</v>
      </c>
    </row>
    <row r="63" spans="1:19">
      <c r="A63" s="647" t="s">
        <v>496</v>
      </c>
      <c r="B63" s="660" t="s">
        <v>493</v>
      </c>
      <c r="C63" s="531">
        <f>industrie!B23</f>
        <v>10580.906239424563</v>
      </c>
      <c r="D63" s="531">
        <f>industrie!C23</f>
        <v>3.4655064620703735</v>
      </c>
      <c r="E63" s="531">
        <f>industrie!D23</f>
        <v>1350.9393012311346</v>
      </c>
      <c r="F63" s="531">
        <f>industrie!E23</f>
        <v>106.1531732855087</v>
      </c>
      <c r="G63" s="531">
        <f>industrie!F23</f>
        <v>2359.4575540277347</v>
      </c>
      <c r="H63" s="531" t="str">
        <f>industrie!G23</f>
        <v>NE</v>
      </c>
      <c r="I63" s="531">
        <f>industrie!H23</f>
        <v>0</v>
      </c>
      <c r="J63" s="531" t="str">
        <f>industrie!I23</f>
        <v>NE</v>
      </c>
      <c r="K63" s="531">
        <f>industrie!J23</f>
        <v>392.68533509494233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14793.607109525954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36447.491844833814</v>
      </c>
      <c r="D66" s="564">
        <f t="shared" ref="D66:E66" si="17">SUM(D55,D59,D62,D63,D64,D65)</f>
        <v>1105.6526680810182</v>
      </c>
      <c r="E66" s="564">
        <f t="shared" si="17"/>
        <v>40758.060388585924</v>
      </c>
      <c r="F66" s="564">
        <f t="shared" ref="F66" si="18">SUM(F55,F59,F62,F63,F64,F65)</f>
        <v>976.37281871869766</v>
      </c>
      <c r="G66" s="564">
        <f t="shared" ref="G66" si="19">SUM(G55,G59,G62,G63,G64,G65)</f>
        <v>21734.040366906105</v>
      </c>
      <c r="H66" s="564">
        <f t="shared" ref="H66" si="20">SUM(H55,H59,H62,H63,H64,H65)</f>
        <v>0</v>
      </c>
      <c r="I66" s="564">
        <f t="shared" ref="I66" si="21">SUM(I55,I59,I62,I63,I64,I65)</f>
        <v>0.55544046353314214</v>
      </c>
      <c r="J66" s="564">
        <f t="shared" ref="J66" si="22">SUM(J55,J59,J62,J63,J64,J65)</f>
        <v>0</v>
      </c>
      <c r="K66" s="564">
        <f t="shared" ref="K66" si="23">SUM(K55,K59,K62,K63,K64,K65)</f>
        <v>562.13263689208611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101584.30616448117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11.026509528352779</v>
      </c>
      <c r="D71" s="531">
        <f t="shared" ref="D71:R71" si="32">SUM(D72:D75)</f>
        <v>0</v>
      </c>
      <c r="E71" s="531">
        <f t="shared" si="32"/>
        <v>0</v>
      </c>
      <c r="F71" s="531">
        <f t="shared" si="32"/>
        <v>0</v>
      </c>
      <c r="G71" s="531">
        <f t="shared" si="32"/>
        <v>0</v>
      </c>
      <c r="H71" s="531">
        <f t="shared" si="32"/>
        <v>608.17829875106111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619.2048082794139</v>
      </c>
    </row>
    <row r="72" spans="1:19">
      <c r="A72" s="904" t="s">
        <v>645</v>
      </c>
      <c r="B72" s="903"/>
      <c r="C72" s="876">
        <f>transport!B51*transport!B56*10^9/3600</f>
        <v>11.026509528352779</v>
      </c>
      <c r="D72" s="876">
        <f>transport!C51*transport!C56*10^9/3600</f>
        <v>0</v>
      </c>
      <c r="E72" s="876">
        <f>transport!D51*transport!D56*10^9/3600</f>
        <v>0</v>
      </c>
      <c r="F72" s="876">
        <f>transport!E51*transport!E56*10^9/3600</f>
        <v>0</v>
      </c>
      <c r="G72" s="876">
        <f>transport!F51*transport!F56*10^9/3600</f>
        <v>0</v>
      </c>
      <c r="H72" s="876">
        <f>transport!G51*transport!G56*10^9/3600</f>
        <v>608.17829875106111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619.2048082794139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639.81464155728042</v>
      </c>
      <c r="D76" s="876">
        <f t="shared" ref="D76:R76" si="34">SUM(D77:D81)</f>
        <v>0</v>
      </c>
      <c r="E76" s="876">
        <f t="shared" si="34"/>
        <v>181.34979077331857</v>
      </c>
      <c r="F76" s="876">
        <f t="shared" si="34"/>
        <v>95.91624746038238</v>
      </c>
      <c r="G76" s="876">
        <f t="shared" si="34"/>
        <v>0</v>
      </c>
      <c r="H76" s="876">
        <f t="shared" si="34"/>
        <v>45578.607656192333</v>
      </c>
      <c r="I76" s="876">
        <f t="shared" si="34"/>
        <v>16147.891164041086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62643.579500024403</v>
      </c>
    </row>
    <row r="77" spans="1:19">
      <c r="A77" s="905" t="s">
        <v>645</v>
      </c>
      <c r="B77" s="658"/>
      <c r="C77" s="536">
        <f>transport!B18</f>
        <v>639.81464155728042</v>
      </c>
      <c r="D77" s="536" t="str">
        <f>transport!C18</f>
        <v>NO</v>
      </c>
      <c r="E77" s="536">
        <f>transport!D18</f>
        <v>181.34979077331857</v>
      </c>
      <c r="F77" s="536">
        <f>transport!E18</f>
        <v>95.91624746038238</v>
      </c>
      <c r="G77" s="536" t="str">
        <f>transport!F18</f>
        <v>NO</v>
      </c>
      <c r="H77" s="536">
        <f>transport!G18</f>
        <v>45578.607656192333</v>
      </c>
      <c r="I77" s="536">
        <f>transport!H18</f>
        <v>16147.891164041086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62643.579500024403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650.84115108563321</v>
      </c>
      <c r="D83" s="564">
        <f t="shared" ref="D83:R83" si="35">SUM(D68,D71,D76,D82)</f>
        <v>0</v>
      </c>
      <c r="E83" s="564">
        <f t="shared" si="35"/>
        <v>181.34979077331857</v>
      </c>
      <c r="F83" s="564">
        <f t="shared" si="35"/>
        <v>95.91624746038238</v>
      </c>
      <c r="G83" s="564">
        <f t="shared" si="35"/>
        <v>0</v>
      </c>
      <c r="H83" s="564">
        <f t="shared" si="35"/>
        <v>46186.785954943392</v>
      </c>
      <c r="I83" s="564">
        <f t="shared" si="35"/>
        <v>16147.891164041086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63262.784308303817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250.5438410642623</v>
      </c>
      <c r="D85" s="536">
        <f>+landbouw!C13</f>
        <v>0</v>
      </c>
      <c r="E85" s="536">
        <f>+landbouw!D13</f>
        <v>22.384293389220002</v>
      </c>
      <c r="F85" s="536">
        <f>+landbouw!E13</f>
        <v>11.574011751427175</v>
      </c>
      <c r="G85" s="536">
        <f>+landbouw!F13</f>
        <v>1378.1566585690714</v>
      </c>
      <c r="H85" s="536" t="str">
        <f>+landbouw!G13</f>
        <v>NE</v>
      </c>
      <c r="I85" s="536" t="str">
        <f>+landbouw!H13</f>
        <v>NE</v>
      </c>
      <c r="J85" s="536" t="str">
        <f>+landbouw!I13</f>
        <v>NE</v>
      </c>
      <c r="K85" s="536">
        <f>+landbouw!J13</f>
        <v>58.113255308597481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1720.7720600825783</v>
      </c>
    </row>
    <row r="86" spans="1:20" ht="15" thickBot="1">
      <c r="A86" s="650" t="s">
        <v>537</v>
      </c>
      <c r="B86" s="658"/>
      <c r="C86" s="536">
        <f>C40*'EF ele_warmte'!B13</f>
        <v>307.81105378368608</v>
      </c>
      <c r="D86" s="536" t="s">
        <v>637</v>
      </c>
      <c r="E86" s="536">
        <f>E40*EF_CO2_aardgas</f>
        <v>545.33953331999999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853.15058710368612</v>
      </c>
    </row>
    <row r="87" spans="1:20" ht="15.75" thickBot="1">
      <c r="A87" s="648" t="s">
        <v>538</v>
      </c>
      <c r="B87" s="659"/>
      <c r="C87" s="564">
        <f>SUM(C85:C86)</f>
        <v>558.35489484794834</v>
      </c>
      <c r="D87" s="564">
        <f t="shared" ref="D87:R87" si="36">SUM(D85:D86)</f>
        <v>0</v>
      </c>
      <c r="E87" s="564">
        <f t="shared" si="36"/>
        <v>567.72382670922002</v>
      </c>
      <c r="F87" s="564">
        <f t="shared" si="36"/>
        <v>11.574011751427175</v>
      </c>
      <c r="G87" s="564">
        <f t="shared" si="36"/>
        <v>1378.1566585690714</v>
      </c>
      <c r="H87" s="564">
        <f t="shared" si="36"/>
        <v>0</v>
      </c>
      <c r="I87" s="564">
        <f t="shared" si="36"/>
        <v>0</v>
      </c>
      <c r="J87" s="564">
        <f t="shared" si="36"/>
        <v>0</v>
      </c>
      <c r="K87" s="564">
        <f t="shared" si="36"/>
        <v>58.113255308597481</v>
      </c>
      <c r="L87" s="564">
        <f t="shared" si="36"/>
        <v>0</v>
      </c>
      <c r="M87" s="564">
        <f t="shared" si="36"/>
        <v>0</v>
      </c>
      <c r="N87" s="564">
        <f t="shared" si="36"/>
        <v>0</v>
      </c>
      <c r="O87" s="564">
        <f t="shared" si="36"/>
        <v>0</v>
      </c>
      <c r="P87" s="564">
        <f t="shared" si="36"/>
        <v>0</v>
      </c>
      <c r="Q87" s="564">
        <f t="shared" si="36"/>
        <v>0</v>
      </c>
      <c r="R87" s="565">
        <f t="shared" si="36"/>
        <v>0</v>
      </c>
      <c r="S87" s="566">
        <f>SUM(S85:S86)</f>
        <v>2573.9226471862644</v>
      </c>
    </row>
    <row r="88" spans="1:20" ht="16.5" thickBot="1">
      <c r="A88" s="661" t="s">
        <v>96</v>
      </c>
      <c r="B88" s="662"/>
      <c r="C88" s="569">
        <f t="shared" ref="C88:S88" si="37">C66+C83+C87</f>
        <v>37656.687890767396</v>
      </c>
      <c r="D88" s="569">
        <f t="shared" si="37"/>
        <v>1105.6526680810182</v>
      </c>
      <c r="E88" s="569">
        <f t="shared" si="37"/>
        <v>41507.13400606846</v>
      </c>
      <c r="F88" s="569">
        <f t="shared" si="37"/>
        <v>1083.8630779305072</v>
      </c>
      <c r="G88" s="569">
        <f t="shared" si="37"/>
        <v>23112.197025475176</v>
      </c>
      <c r="H88" s="569">
        <f t="shared" si="37"/>
        <v>46186.785954943392</v>
      </c>
      <c r="I88" s="569">
        <f t="shared" si="37"/>
        <v>16148.446604504619</v>
      </c>
      <c r="J88" s="569">
        <f t="shared" si="37"/>
        <v>0</v>
      </c>
      <c r="K88" s="569">
        <f t="shared" si="37"/>
        <v>620.24589220068356</v>
      </c>
      <c r="L88" s="569">
        <f t="shared" si="37"/>
        <v>0</v>
      </c>
      <c r="M88" s="569">
        <f t="shared" si="37"/>
        <v>0</v>
      </c>
      <c r="N88" s="569">
        <f t="shared" si="37"/>
        <v>0</v>
      </c>
      <c r="O88" s="569">
        <f t="shared" si="37"/>
        <v>0</v>
      </c>
      <c r="P88" s="569">
        <f t="shared" si="37"/>
        <v>0</v>
      </c>
      <c r="Q88" s="569">
        <f t="shared" si="37"/>
        <v>0</v>
      </c>
      <c r="R88" s="569">
        <f t="shared" si="37"/>
        <v>0</v>
      </c>
      <c r="S88" s="569">
        <f t="shared" si="37"/>
        <v>167421.01311997126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0.17845588708811935</v>
      </c>
      <c r="D90" s="613">
        <f t="shared" si="38"/>
        <v>0.2447225655459187</v>
      </c>
      <c r="E90" s="758">
        <f t="shared" si="38"/>
        <v>0.20199999999999999</v>
      </c>
      <c r="F90" s="613">
        <f t="shared" si="38"/>
        <v>0.22700000000000004</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12440.031249246989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28576.786625070454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3680.6282162944503</v>
      </c>
      <c r="D103" s="754">
        <f>'lokale energieproductie'!C8</f>
        <v>4426.0044644108666</v>
      </c>
      <c r="E103" s="755">
        <f>'lokale energieproductie'!D8</f>
        <v>29.426775776570238</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900.73277991227656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41016.817874317443</v>
      </c>
      <c r="C105" s="587">
        <f>SUM(C99:C104)</f>
        <v>3680.6282162944503</v>
      </c>
      <c r="D105" s="588">
        <f t="shared" ref="D105:N105" si="39">SUM(D103:D104)</f>
        <v>4426.0044644108666</v>
      </c>
      <c r="E105" s="588">
        <f t="shared" si="39"/>
        <v>29.426775776570238</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900.73277991227656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4517.9841328263547</v>
      </c>
      <c r="D114" s="610">
        <f>'lokale energieproductie'!C17</f>
        <v>5432.9361095207041</v>
      </c>
      <c r="E114" s="610">
        <f>'lokale energieproductie'!D17</f>
        <v>36.121471179893625</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1105.6526680810182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4517.9841328263547</v>
      </c>
      <c r="D117" s="587">
        <f t="shared" ref="D117:N117" si="40">SUM(D114:D116)</f>
        <v>5432.9361095207041</v>
      </c>
      <c r="E117" s="587">
        <f t="shared" si="40"/>
        <v>36.121471179893625</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1105.6526680810182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51607.656556347269</v>
      </c>
      <c r="C4" s="955">
        <f>huishoudens!C9</f>
        <v>64.467091217592483</v>
      </c>
      <c r="D4" s="955">
        <f>huishoudens!D9</f>
        <v>121428.13900929554</v>
      </c>
      <c r="E4" s="955">
        <f>huishoudens!E9</f>
        <v>3608.3006709638521</v>
      </c>
      <c r="F4" s="955">
        <f>huishoudens!F9</f>
        <v>59697.642575859201</v>
      </c>
      <c r="G4" s="955" t="str">
        <f>huishoudens!G9</f>
        <v>NE</v>
      </c>
      <c r="H4" s="955" t="str">
        <f>huishoudens!H9</f>
        <v>NE</v>
      </c>
      <c r="I4" s="955" t="str">
        <f>huishoudens!I9</f>
        <v xml:space="preserve">NE </v>
      </c>
      <c r="J4" s="955">
        <f>huishoudens!J9</f>
        <v>478.55840949896924</v>
      </c>
      <c r="K4" s="955" t="str">
        <f>huishoudens!K9</f>
        <v>NE</v>
      </c>
      <c r="L4" s="955">
        <f>huishoudens!L9</f>
        <v>0</v>
      </c>
      <c r="M4" s="955">
        <f>huishoudens!M9</f>
        <v>0</v>
      </c>
      <c r="N4" s="955" t="str">
        <f>huishoudens!N9</f>
        <v>NE</v>
      </c>
      <c r="O4" s="955">
        <f>huishoudens!O9</f>
        <v>19938.405053203362</v>
      </c>
      <c r="P4" s="955" t="str">
        <f>huishoudens!P9</f>
        <v>NE</v>
      </c>
      <c r="Q4" s="956" t="str">
        <f>huishoudens!Q9</f>
        <v>NE</v>
      </c>
      <c r="R4" s="957">
        <f>SUM(B4:Q4)</f>
        <v>256823.16936638582</v>
      </c>
    </row>
    <row r="5" spans="1:18">
      <c r="A5" s="385" t="s">
        <v>136</v>
      </c>
      <c r="B5" s="955">
        <f>tertiair!B17</f>
        <v>89259.004692235059</v>
      </c>
      <c r="C5" s="955">
        <f>tertiair!C17</f>
        <v>4439.3560816076297</v>
      </c>
      <c r="D5" s="955">
        <f>tertiair!D17</f>
        <v>68094.571090999059</v>
      </c>
      <c r="E5" s="955">
        <f>tertiair!E17</f>
        <v>225.26604900614294</v>
      </c>
      <c r="F5" s="955">
        <f>tertiair!F17</f>
        <v>12866.337996718972</v>
      </c>
      <c r="G5" s="955" t="str">
        <f>tertiair!G17</f>
        <v>NE</v>
      </c>
      <c r="H5" s="955">
        <f>tertiair!H17</f>
        <v>2.2306845925025787</v>
      </c>
      <c r="I5" s="955" t="str">
        <f>tertiair!I17</f>
        <v>NE</v>
      </c>
      <c r="J5" s="955">
        <f>tertiair!J17</f>
        <v>0.1062848432448058</v>
      </c>
      <c r="K5" s="955" t="str">
        <f>tertiair!K17</f>
        <v>NE</v>
      </c>
      <c r="L5" s="955" t="str">
        <f>tertiair!L17</f>
        <v>IE</v>
      </c>
      <c r="M5" s="955" t="str">
        <f>tertiair!M17</f>
        <v>IE</v>
      </c>
      <c r="N5" s="955" t="str">
        <f>tertiair!N17</f>
        <v>IE</v>
      </c>
      <c r="O5" s="955">
        <f>tertiair!O17</f>
        <v>4118.6240120616003</v>
      </c>
      <c r="P5" s="955" t="str">
        <f>tertiair!P17</f>
        <v>NE</v>
      </c>
      <c r="Q5" s="956" t="str">
        <f>tertiair!Q17</f>
        <v>NE</v>
      </c>
      <c r="R5" s="958">
        <f t="shared" ref="R5:R14" si="0">SUM(B5:Q5)</f>
        <v>179005.4968920642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1403.9539134987842</v>
      </c>
      <c r="C7" s="955">
        <f>landbouw!C9</f>
        <v>0</v>
      </c>
      <c r="D7" s="955">
        <f>landbouw!D9</f>
        <v>110.81333361</v>
      </c>
      <c r="E7" s="955">
        <f>landbouw!E9</f>
        <v>50.986835909370811</v>
      </c>
      <c r="F7" s="955">
        <f>landbouw!F9</f>
        <v>5161.6354253523268</v>
      </c>
      <c r="G7" s="955" t="str">
        <f>landbouw!G9</f>
        <v>NE</v>
      </c>
      <c r="H7" s="955" t="str">
        <f>landbouw!H9</f>
        <v>NE</v>
      </c>
      <c r="I7" s="955" t="str">
        <f>landbouw!I9</f>
        <v>NE</v>
      </c>
      <c r="J7" s="955">
        <f>landbouw!J9</f>
        <v>164.16173815987989</v>
      </c>
      <c r="K7" s="955" t="str">
        <f>landbouw!K9</f>
        <v>NE</v>
      </c>
      <c r="L7" s="955" t="str">
        <f>landbouw!L9</f>
        <v>IE</v>
      </c>
      <c r="M7" s="955" t="str">
        <f>landbouw!M9</f>
        <v>IE</v>
      </c>
      <c r="N7" s="955" t="str">
        <f>landbouw!N9</f>
        <v>IE</v>
      </c>
      <c r="O7" s="955">
        <f>landbouw!O9</f>
        <v>0</v>
      </c>
      <c r="P7" s="955" t="str">
        <f>landbouw!P9</f>
        <v>NE</v>
      </c>
      <c r="Q7" s="956" t="str">
        <f>landbouw!Q9</f>
        <v>NE</v>
      </c>
      <c r="R7" s="958">
        <f t="shared" si="0"/>
        <v>6891.5512465303618</v>
      </c>
    </row>
    <row r="8" spans="1:18">
      <c r="A8" s="385" t="s">
        <v>492</v>
      </c>
      <c r="B8" s="955">
        <f>industrie!B19</f>
        <v>59291.438416934048</v>
      </c>
      <c r="C8" s="955">
        <f>industrie!C19</f>
        <v>14.160960001132878</v>
      </c>
      <c r="D8" s="955">
        <f>industrie!D19</f>
        <v>6687.8183229264087</v>
      </c>
      <c r="E8" s="955">
        <f>industrie!E19</f>
        <v>467.63512460576521</v>
      </c>
      <c r="F8" s="955">
        <f>industrie!F19</f>
        <v>8836.9196780064958</v>
      </c>
      <c r="G8" s="955" t="str">
        <f>industrie!G19</f>
        <v>NE</v>
      </c>
      <c r="H8" s="955">
        <f>industrie!H19</f>
        <v>0</v>
      </c>
      <c r="I8" s="955" t="str">
        <f>industrie!I19</f>
        <v>NE</v>
      </c>
      <c r="J8" s="955">
        <f>industrie!J19</f>
        <v>1109.2806076128315</v>
      </c>
      <c r="K8" s="955" t="str">
        <f>industrie!K19</f>
        <v>NE</v>
      </c>
      <c r="L8" s="955" t="str">
        <f>industrie!L19</f>
        <v>IE</v>
      </c>
      <c r="M8" s="955" t="str">
        <f>industrie!M19</f>
        <v>IE</v>
      </c>
      <c r="N8" s="955" t="str">
        <f>industrie!N19</f>
        <v>IE</v>
      </c>
      <c r="O8" s="955">
        <f>industrie!O19</f>
        <v>21999.172745080403</v>
      </c>
      <c r="P8" s="955" t="str">
        <f>industrie!P19</f>
        <v>NE</v>
      </c>
      <c r="Q8" s="956" t="str">
        <f>industrie!Q19</f>
        <v>NE</v>
      </c>
      <c r="R8" s="958">
        <f t="shared" si="0"/>
        <v>98406.425855167079</v>
      </c>
    </row>
    <row r="9" spans="1:18" s="389" customFormat="1">
      <c r="A9" s="388" t="s">
        <v>457</v>
      </c>
      <c r="B9" s="959">
        <f>transport!B14</f>
        <v>3585.2817858642447</v>
      </c>
      <c r="C9" s="959" t="str">
        <f>transport!C14</f>
        <v>NO</v>
      </c>
      <c r="D9" s="959">
        <f>transport!D14</f>
        <v>897.7712414520721</v>
      </c>
      <c r="E9" s="959">
        <f>transport!E14</f>
        <v>422.5385350677638</v>
      </c>
      <c r="F9" s="959" t="str">
        <f>transport!F14</f>
        <v>NO</v>
      </c>
      <c r="G9" s="959">
        <f>transport!G14</f>
        <v>170706.39571607613</v>
      </c>
      <c r="H9" s="959">
        <f>transport!H14</f>
        <v>64850.968530285485</v>
      </c>
      <c r="I9" s="959" t="str">
        <f>transport!I14</f>
        <v>NO</v>
      </c>
      <c r="J9" s="959" t="str">
        <f>transport!J14</f>
        <v>NO</v>
      </c>
      <c r="K9" s="959" t="str">
        <f>transport!K14</f>
        <v>NO</v>
      </c>
      <c r="L9" s="959" t="str">
        <f>transport!L14</f>
        <v>NO</v>
      </c>
      <c r="M9" s="959" t="str">
        <f>transport!M14</f>
        <v>NO</v>
      </c>
      <c r="N9" s="959">
        <f>transport!N14</f>
        <v>25649.659898860362</v>
      </c>
      <c r="O9" s="959" t="str">
        <f>transport!O14</f>
        <v>NO</v>
      </c>
      <c r="P9" s="959" t="str">
        <f>transport!P14</f>
        <v>NO</v>
      </c>
      <c r="Q9" s="959" t="str">
        <f>transport!Q14</f>
        <v>NO</v>
      </c>
      <c r="R9" s="960">
        <f>SUM(B9:Q9)</f>
        <v>266112.61570760608</v>
      </c>
    </row>
    <row r="10" spans="1:18">
      <c r="A10" s="385" t="s">
        <v>447</v>
      </c>
      <c r="B10" s="955">
        <f>transport!B54</f>
        <v>61.788432470754103</v>
      </c>
      <c r="C10" s="955" t="str">
        <f>transport!C54</f>
        <v>NO</v>
      </c>
      <c r="D10" s="955" t="str">
        <f>transport!D54</f>
        <v>NO</v>
      </c>
      <c r="E10" s="955" t="str">
        <f>transport!E54</f>
        <v>NO</v>
      </c>
      <c r="F10" s="955" t="str">
        <f>transport!F54</f>
        <v>NO</v>
      </c>
      <c r="G10" s="955">
        <f>transport!G54</f>
        <v>2277.8213436369329</v>
      </c>
      <c r="H10" s="955" t="str">
        <f>transport!H54</f>
        <v>NO</v>
      </c>
      <c r="I10" s="955" t="str">
        <f>transport!I54</f>
        <v>NO</v>
      </c>
      <c r="J10" s="955" t="str">
        <f>transport!J54</f>
        <v>NO</v>
      </c>
      <c r="K10" s="955" t="str">
        <f>transport!K54</f>
        <v>NO</v>
      </c>
      <c r="L10" s="955" t="str">
        <f>transport!L54</f>
        <v>NO</v>
      </c>
      <c r="M10" s="955" t="str">
        <f>transport!M54</f>
        <v>NO</v>
      </c>
      <c r="N10" s="955">
        <f>transport!N54</f>
        <v>272.68936523870741</v>
      </c>
      <c r="O10" s="955" t="str">
        <f>transport!O54</f>
        <v>NO</v>
      </c>
      <c r="P10" s="955" t="str">
        <f>transport!P54</f>
        <v>NO</v>
      </c>
      <c r="Q10" s="956" t="str">
        <f>transport!Q54</f>
        <v xml:space="preserve">NO </v>
      </c>
      <c r="R10" s="958">
        <f t="shared" si="0"/>
        <v>2612.2991413463947</v>
      </c>
    </row>
    <row r="11" spans="1:18">
      <c r="A11" s="385" t="s">
        <v>448</v>
      </c>
      <c r="B11" s="955">
        <f>'Eigen gebouwen'!B6</f>
        <v>2901.1973164070328</v>
      </c>
      <c r="C11" s="955">
        <f>'Eigen gebouwen'!C6</f>
        <v>0</v>
      </c>
      <c r="D11" s="955">
        <f>'Eigen gebouwen'!D6</f>
        <v>5562.0477578974169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8463.2450743044501</v>
      </c>
    </row>
    <row r="12" spans="1:18">
      <c r="A12" s="385" t="s">
        <v>449</v>
      </c>
      <c r="B12" s="955">
        <f>'Eigen openbare verlichting'!B6</f>
        <v>1178.806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1178.806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1724.8579399999999</v>
      </c>
      <c r="C14" s="961" t="str">
        <f>'SECAP template'!D40</f>
        <v>NE</v>
      </c>
      <c r="D14" s="961">
        <f>'SECAP template'!E40</f>
        <v>2699.70066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4424.5586000000003</v>
      </c>
    </row>
    <row r="15" spans="1:18" s="393" customFormat="1">
      <c r="A15" s="391" t="s">
        <v>451</v>
      </c>
      <c r="B15" s="962">
        <f>SUM(B4:B14)</f>
        <v>211013.98505375718</v>
      </c>
      <c r="C15" s="962">
        <f t="shared" ref="C15:R15" si="1">SUM(C4:C14)</f>
        <v>4517.9841328263547</v>
      </c>
      <c r="D15" s="962">
        <f t="shared" si="1"/>
        <v>205480.86141618053</v>
      </c>
      <c r="E15" s="962">
        <f t="shared" si="1"/>
        <v>4774.7272155528944</v>
      </c>
      <c r="F15" s="962">
        <f t="shared" si="1"/>
        <v>86562.535675937004</v>
      </c>
      <c r="G15" s="962">
        <f t="shared" si="1"/>
        <v>172984.21705971306</v>
      </c>
      <c r="H15" s="962">
        <f t="shared" si="1"/>
        <v>64853.19921487799</v>
      </c>
      <c r="I15" s="962">
        <f t="shared" si="1"/>
        <v>0</v>
      </c>
      <c r="J15" s="962">
        <f t="shared" si="1"/>
        <v>1752.1070401149254</v>
      </c>
      <c r="K15" s="962">
        <f t="shared" si="1"/>
        <v>0</v>
      </c>
      <c r="L15" s="962">
        <f t="shared" si="1"/>
        <v>0</v>
      </c>
      <c r="M15" s="962">
        <f t="shared" si="1"/>
        <v>0</v>
      </c>
      <c r="N15" s="962">
        <f t="shared" si="1"/>
        <v>25922.34926409907</v>
      </c>
      <c r="O15" s="962">
        <f t="shared" si="1"/>
        <v>46056.201810345367</v>
      </c>
      <c r="P15" s="962">
        <f t="shared" si="1"/>
        <v>0</v>
      </c>
      <c r="Q15" s="962">
        <f t="shared" si="1"/>
        <v>0</v>
      </c>
      <c r="R15" s="962">
        <f t="shared" si="1"/>
        <v>823918.1678834043</v>
      </c>
    </row>
    <row r="17" spans="1:18">
      <c r="A17" s="394" t="s">
        <v>452</v>
      </c>
      <c r="B17" s="617">
        <f>huishoudens!B11</f>
        <v>0.17845588708811932</v>
      </c>
      <c r="C17" s="617">
        <f>huishoudens!C11</f>
        <v>0.2447225655459187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9209.6901313019498</v>
      </c>
      <c r="C22" s="955">
        <f t="shared" ref="C22:C32" si="2">IFERROR(C4*$C$17,C4)</f>
        <v>15.776551956051996</v>
      </c>
      <c r="D22" s="955">
        <f t="shared" ref="D22:D32" si="3">IFERROR(D4*$D$17,D4)</f>
        <v>24528.4840798777</v>
      </c>
      <c r="E22" s="955">
        <f t="shared" ref="E22:E32" si="4">IFERROR(E4*$E$17,E4)</f>
        <v>819.08425230879448</v>
      </c>
      <c r="F22" s="955">
        <f t="shared" ref="F22:F32" si="5">IFERROR(F4*$F$17,F4)</f>
        <v>15939.270567754407</v>
      </c>
      <c r="G22" s="955" t="str">
        <f t="shared" ref="G22:G32" si="6">IFERROR(G4*$G$17,G4)</f>
        <v>NE</v>
      </c>
      <c r="H22" s="955" t="str">
        <f t="shared" ref="H22:H32" si="7">IFERROR(H4*$H$17,H4)</f>
        <v>NE</v>
      </c>
      <c r="I22" s="955" t="str">
        <f t="shared" ref="I22:I32" si="8">IFERROR(I4*$I$17,I4)</f>
        <v xml:space="preserve">NE </v>
      </c>
      <c r="J22" s="955">
        <f t="shared" ref="J22:J32" si="9">IFERROR(J4*$J$17,J4)</f>
        <v>169.4096769626351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50681.715260161538</v>
      </c>
    </row>
    <row r="23" spans="1:18">
      <c r="A23" s="385" t="s">
        <v>136</v>
      </c>
      <c r="B23" s="955">
        <f t="shared" ref="B23:B32" si="17">B5*$B$17</f>
        <v>15928.794862955412</v>
      </c>
      <c r="C23" s="955">
        <f t="shared" si="2"/>
        <v>1086.4106096628959</v>
      </c>
      <c r="D23" s="955">
        <f t="shared" si="3"/>
        <v>13755.10336038181</v>
      </c>
      <c r="E23" s="955">
        <f t="shared" si="4"/>
        <v>51.135393124394447</v>
      </c>
      <c r="F23" s="955">
        <f t="shared" si="5"/>
        <v>3435.3122451239656</v>
      </c>
      <c r="G23" s="955" t="str">
        <f t="shared" si="6"/>
        <v>NE</v>
      </c>
      <c r="H23" s="955">
        <f t="shared" si="7"/>
        <v>0.55544046353314214</v>
      </c>
      <c r="I23" s="955" t="str">
        <f t="shared" si="8"/>
        <v>NE</v>
      </c>
      <c r="J23" s="955">
        <f t="shared" si="9"/>
        <v>3.7624834508661255E-2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34257.349536546521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250.5438410642623</v>
      </c>
      <c r="C25" s="955">
        <f t="shared" si="2"/>
        <v>0</v>
      </c>
      <c r="D25" s="955">
        <f t="shared" si="3"/>
        <v>22.384293389220002</v>
      </c>
      <c r="E25" s="955">
        <f t="shared" si="4"/>
        <v>11.574011751427175</v>
      </c>
      <c r="F25" s="955">
        <f t="shared" si="5"/>
        <v>1378.1566585690714</v>
      </c>
      <c r="G25" s="955" t="str">
        <f t="shared" si="6"/>
        <v>NE</v>
      </c>
      <c r="H25" s="955" t="str">
        <f t="shared" si="7"/>
        <v>NE</v>
      </c>
      <c r="I25" s="955" t="str">
        <f t="shared" si="8"/>
        <v>NE</v>
      </c>
      <c r="J25" s="955">
        <f t="shared" si="9"/>
        <v>58.113255308597481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1720.7720600825783</v>
      </c>
    </row>
    <row r="26" spans="1:18">
      <c r="A26" s="385" t="s">
        <v>492</v>
      </c>
      <c r="B26" s="955">
        <f t="shared" si="17"/>
        <v>10580.906239424563</v>
      </c>
      <c r="C26" s="955">
        <f t="shared" si="2"/>
        <v>3.4655064620703735</v>
      </c>
      <c r="D26" s="955">
        <f t="shared" si="3"/>
        <v>1350.9393012311346</v>
      </c>
      <c r="E26" s="955">
        <f t="shared" si="4"/>
        <v>106.1531732855087</v>
      </c>
      <c r="F26" s="955">
        <f t="shared" si="5"/>
        <v>2359.4575540277347</v>
      </c>
      <c r="G26" s="955" t="str">
        <f t="shared" si="6"/>
        <v>NE</v>
      </c>
      <c r="H26" s="955">
        <f t="shared" si="7"/>
        <v>0</v>
      </c>
      <c r="I26" s="955" t="str">
        <f t="shared" si="8"/>
        <v>NE</v>
      </c>
      <c r="J26" s="955">
        <f t="shared" si="9"/>
        <v>392.68533509494233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14793.607109525954</v>
      </c>
    </row>
    <row r="27" spans="1:18" s="389" customFormat="1">
      <c r="A27" s="388" t="s">
        <v>457</v>
      </c>
      <c r="B27" s="963">
        <f t="shared" si="17"/>
        <v>639.81464155728042</v>
      </c>
      <c r="C27" s="955" t="str">
        <f t="shared" si="2"/>
        <v>NO</v>
      </c>
      <c r="D27" s="955">
        <f t="shared" si="3"/>
        <v>181.34979077331857</v>
      </c>
      <c r="E27" s="955">
        <f t="shared" si="4"/>
        <v>95.91624746038238</v>
      </c>
      <c r="F27" s="955" t="str">
        <f t="shared" si="5"/>
        <v>NO</v>
      </c>
      <c r="G27" s="955">
        <f t="shared" si="6"/>
        <v>45578.607656192333</v>
      </c>
      <c r="H27" s="955">
        <f t="shared" si="7"/>
        <v>16147.891164041086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62643.579500024403</v>
      </c>
    </row>
    <row r="28" spans="1:18" ht="16.5" customHeight="1">
      <c r="A28" s="385" t="s">
        <v>447</v>
      </c>
      <c r="B28" s="955">
        <f t="shared" si="17"/>
        <v>11.026509528352779</v>
      </c>
      <c r="C28" s="955" t="str">
        <f t="shared" si="2"/>
        <v>NO</v>
      </c>
      <c r="D28" s="955" t="str">
        <f t="shared" si="3"/>
        <v>NO</v>
      </c>
      <c r="E28" s="955" t="str">
        <f t="shared" si="4"/>
        <v>NO</v>
      </c>
      <c r="F28" s="955" t="str">
        <f t="shared" si="5"/>
        <v>NO</v>
      </c>
      <c r="G28" s="955">
        <f t="shared" si="6"/>
        <v>608.17829875106111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619.2048082794139</v>
      </c>
    </row>
    <row r="29" spans="1:18">
      <c r="A29" s="385" t="s">
        <v>448</v>
      </c>
      <c r="B29" s="955">
        <f t="shared" si="17"/>
        <v>517.73574071708822</v>
      </c>
      <c r="C29" s="955">
        <f t="shared" si="2"/>
        <v>0</v>
      </c>
      <c r="D29" s="955">
        <f t="shared" si="3"/>
        <v>1123.5336470952782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1641.2693878123664</v>
      </c>
    </row>
    <row r="30" spans="1:18">
      <c r="A30" s="385" t="s">
        <v>449</v>
      </c>
      <c r="B30" s="955">
        <f t="shared" si="17"/>
        <v>210.36487043479761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210.36487043479761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307.81105378368608</v>
      </c>
      <c r="C32" s="955" t="str">
        <f t="shared" si="2"/>
        <v>NE</v>
      </c>
      <c r="D32" s="955">
        <f t="shared" si="3"/>
        <v>545.33953331999999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853.15058710368612</v>
      </c>
    </row>
    <row r="33" spans="1:18" s="393" customFormat="1">
      <c r="A33" s="391" t="s">
        <v>451</v>
      </c>
      <c r="B33" s="962">
        <f>SUM(B22:B32)</f>
        <v>37656.687890767382</v>
      </c>
      <c r="C33" s="962">
        <f t="shared" ref="C33:R33" si="22">SUM(C22:C32)</f>
        <v>1105.6526680810182</v>
      </c>
      <c r="D33" s="962">
        <f t="shared" si="22"/>
        <v>41507.13400606846</v>
      </c>
      <c r="E33" s="962">
        <f t="shared" si="22"/>
        <v>1083.8630779305072</v>
      </c>
      <c r="F33" s="962">
        <f t="shared" si="22"/>
        <v>23112.19702547518</v>
      </c>
      <c r="G33" s="962">
        <f t="shared" si="22"/>
        <v>46186.785954943392</v>
      </c>
      <c r="H33" s="962">
        <f t="shared" si="22"/>
        <v>16148.446604504619</v>
      </c>
      <c r="I33" s="962">
        <f t="shared" si="22"/>
        <v>0</v>
      </c>
      <c r="J33" s="962">
        <f t="shared" si="22"/>
        <v>620.24589220068356</v>
      </c>
      <c r="K33" s="392">
        <f t="shared" si="22"/>
        <v>0</v>
      </c>
      <c r="L33" s="392">
        <f t="shared" si="22"/>
        <v>0</v>
      </c>
      <c r="M33" s="392">
        <f t="shared" si="22"/>
        <v>0</v>
      </c>
      <c r="N33" s="392">
        <f t="shared" si="22"/>
        <v>0</v>
      </c>
      <c r="O33" s="392">
        <f t="shared" si="22"/>
        <v>0</v>
      </c>
      <c r="P33" s="392">
        <f t="shared" si="22"/>
        <v>0</v>
      </c>
      <c r="Q33" s="392">
        <f t="shared" si="22"/>
        <v>0</v>
      </c>
      <c r="R33" s="392">
        <f t="shared" si="22"/>
        <v>167421.01311997123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12440.031249246989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28576.786625070454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3680.6282162944503</v>
      </c>
      <c r="D8" s="791">
        <f>'SECAP template'!D103</f>
        <v>4426.0044644108666</v>
      </c>
      <c r="E8" s="791">
        <f>'SECAP template'!E103</f>
        <v>29.426775776570238</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900.73277991227656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41016.817874317443</v>
      </c>
      <c r="C10" s="793">
        <f>SUM(C4:C9)</f>
        <v>3680.6282162944503</v>
      </c>
      <c r="D10" s="793">
        <f t="shared" ref="D10:H10" si="0">SUM(D8:D9)</f>
        <v>4426.0044644108666</v>
      </c>
      <c r="E10" s="793">
        <f t="shared" si="0"/>
        <v>29.426775776570238</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900.73277991227656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0.17845588708811932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4517.9841328263547</v>
      </c>
      <c r="D17" s="792">
        <f>'SECAP template'!D114</f>
        <v>5432.9361095207041</v>
      </c>
      <c r="E17" s="792">
        <f>'SECAP template'!E114</f>
        <v>36.121471179893625</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1105.6526680810182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4517.9841328263547</v>
      </c>
      <c r="D20" s="793">
        <f t="shared" ref="D20:H20" si="2">SUM(D17:D19)</f>
        <v>5432.9361095207041</v>
      </c>
      <c r="E20" s="793">
        <f t="shared" si="2"/>
        <v>36.121471179893625</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1105.6526680810182</v>
      </c>
    </row>
    <row r="21" spans="1:15">
      <c r="B21" s="705"/>
    </row>
    <row r="22" spans="1:15">
      <c r="A22" s="394" t="s">
        <v>572</v>
      </c>
      <c r="B22" s="617" t="s">
        <v>570</v>
      </c>
      <c r="C22" s="617">
        <f>'EF ele_warmte'!B23</f>
        <v>0.2447225655459187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0.17845588708811932</v>
      </c>
      <c r="C29" s="405">
        <f>'EF ele_warmte'!B23</f>
        <v>0.2447225655459187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16466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3225.7099999999982</v>
      </c>
      <c r="C14" s="286"/>
      <c r="D14" s="286"/>
      <c r="E14" s="286"/>
      <c r="F14" s="286"/>
      <c r="G14" s="286"/>
    </row>
    <row r="15" spans="1:7">
      <c r="A15" s="979" t="s">
        <v>164</v>
      </c>
      <c r="B15" s="980">
        <v>174</v>
      </c>
      <c r="C15" s="286"/>
      <c r="D15" s="286"/>
      <c r="E15" s="286"/>
      <c r="F15" s="286"/>
      <c r="G15" s="286"/>
    </row>
    <row r="16" spans="1:7">
      <c r="A16" s="979" t="s">
        <v>6</v>
      </c>
      <c r="B16" s="980">
        <v>872</v>
      </c>
      <c r="C16" s="286"/>
      <c r="D16" s="286"/>
      <c r="E16" s="286"/>
      <c r="F16" s="286"/>
      <c r="G16" s="286"/>
    </row>
    <row r="17" spans="1:7">
      <c r="A17" s="979" t="s">
        <v>7</v>
      </c>
      <c r="B17" s="980">
        <v>209</v>
      </c>
      <c r="C17" s="286"/>
      <c r="D17" s="286"/>
      <c r="E17" s="286"/>
      <c r="F17" s="286"/>
      <c r="G17" s="286"/>
    </row>
    <row r="18" spans="1:7">
      <c r="A18" s="979" t="s">
        <v>8</v>
      </c>
      <c r="B18" s="980">
        <v>872</v>
      </c>
      <c r="C18" s="286"/>
      <c r="D18" s="286"/>
      <c r="E18" s="286"/>
      <c r="F18" s="286"/>
      <c r="G18" s="286"/>
    </row>
    <row r="19" spans="1:7">
      <c r="A19" s="979" t="s">
        <v>9</v>
      </c>
      <c r="B19" s="980">
        <v>809</v>
      </c>
      <c r="C19" s="286"/>
      <c r="D19" s="286"/>
      <c r="E19" s="286"/>
      <c r="F19" s="286"/>
      <c r="G19" s="286"/>
    </row>
    <row r="20" spans="1:7">
      <c r="A20" s="979" t="s">
        <v>10</v>
      </c>
      <c r="B20" s="980">
        <v>223</v>
      </c>
      <c r="C20" s="286"/>
      <c r="D20" s="286"/>
      <c r="E20" s="286"/>
      <c r="F20" s="286"/>
      <c r="G20" s="286"/>
    </row>
    <row r="21" spans="1:7">
      <c r="A21" s="979" t="s">
        <v>11</v>
      </c>
      <c r="B21" s="980">
        <v>430</v>
      </c>
      <c r="C21" s="286"/>
      <c r="D21" s="286"/>
      <c r="E21" s="286"/>
      <c r="F21" s="286"/>
      <c r="G21" s="286"/>
    </row>
    <row r="22" spans="1:7">
      <c r="A22" s="979" t="s">
        <v>12</v>
      </c>
      <c r="B22" s="980">
        <v>1577</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135</v>
      </c>
      <c r="C25" s="286"/>
      <c r="D25" s="286"/>
      <c r="E25" s="286"/>
      <c r="F25" s="286"/>
      <c r="G25" s="286"/>
    </row>
    <row r="26" spans="1:7">
      <c r="A26" s="979" t="s">
        <v>16</v>
      </c>
      <c r="B26" s="980">
        <v>157</v>
      </c>
      <c r="C26" s="286"/>
      <c r="D26" s="286"/>
      <c r="E26" s="286"/>
      <c r="F26" s="286"/>
      <c r="G26" s="286"/>
    </row>
    <row r="27" spans="1:7">
      <c r="A27" s="979" t="s">
        <v>17</v>
      </c>
      <c r="B27" s="980">
        <v>0</v>
      </c>
      <c r="C27" s="286"/>
      <c r="D27" s="286"/>
      <c r="E27" s="286"/>
      <c r="F27" s="286"/>
      <c r="G27" s="286"/>
    </row>
    <row r="28" spans="1:7">
      <c r="A28" s="983" t="s">
        <v>18</v>
      </c>
      <c r="B28" s="1240">
        <v>50902</v>
      </c>
      <c r="C28" s="286"/>
      <c r="D28" s="286"/>
      <c r="E28" s="286"/>
      <c r="F28" s="286"/>
      <c r="G28" s="286"/>
    </row>
    <row r="29" spans="1:7">
      <c r="A29" s="983" t="s">
        <v>534</v>
      </c>
      <c r="B29" s="1240">
        <v>177</v>
      </c>
      <c r="C29" s="286"/>
      <c r="D29" s="286"/>
      <c r="E29" s="286"/>
      <c r="F29" s="286"/>
      <c r="G29" s="286"/>
    </row>
    <row r="30" spans="1:7">
      <c r="A30" s="981" t="s">
        <v>535</v>
      </c>
      <c r="B30" s="982">
        <v>13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4</v>
      </c>
      <c r="F35" s="980">
        <v>12205.98</v>
      </c>
      <c r="G35" s="286"/>
    </row>
    <row r="36" spans="1:7">
      <c r="A36" s="979" t="s">
        <v>24</v>
      </c>
      <c r="B36" s="979" t="s">
        <v>26</v>
      </c>
      <c r="C36" s="980">
        <v>10</v>
      </c>
      <c r="D36" s="980">
        <v>2688876.62</v>
      </c>
      <c r="E36" s="980">
        <v>9</v>
      </c>
      <c r="F36" s="980">
        <v>79087.28</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11075</v>
      </c>
      <c r="D39" s="980">
        <v>134521436.08647269</v>
      </c>
      <c r="E39" s="980">
        <v>16614</v>
      </c>
      <c r="F39" s="980">
        <v>44256076.485196076</v>
      </c>
      <c r="G39" s="286"/>
    </row>
    <row r="40" spans="1:7">
      <c r="A40" s="979" t="s">
        <v>29</v>
      </c>
      <c r="B40" s="979" t="s">
        <v>28</v>
      </c>
      <c r="C40" s="980">
        <v>0</v>
      </c>
      <c r="D40" s="980">
        <v>0</v>
      </c>
      <c r="E40" s="980">
        <v>0</v>
      </c>
      <c r="F40" s="980">
        <v>0</v>
      </c>
      <c r="G40" s="286"/>
    </row>
    <row r="41" spans="1:7">
      <c r="A41" s="979" t="s">
        <v>31</v>
      </c>
      <c r="B41" s="979" t="s">
        <v>32</v>
      </c>
      <c r="C41" s="980">
        <v>128</v>
      </c>
      <c r="D41" s="980">
        <v>2034806.84</v>
      </c>
      <c r="E41" s="980">
        <v>351</v>
      </c>
      <c r="F41" s="980">
        <v>2073460.4300000002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12</v>
      </c>
      <c r="D44" s="980">
        <v>2043614.88</v>
      </c>
      <c r="E44" s="980">
        <v>29</v>
      </c>
      <c r="F44" s="980">
        <v>1759288.52</v>
      </c>
      <c r="G44" s="286"/>
    </row>
    <row r="45" spans="1:7">
      <c r="A45" s="979" t="s">
        <v>31</v>
      </c>
      <c r="B45" s="979" t="s">
        <v>36</v>
      </c>
      <c r="C45" s="980">
        <v>0</v>
      </c>
      <c r="D45" s="980">
        <v>0</v>
      </c>
      <c r="E45" s="980">
        <v>7</v>
      </c>
      <c r="F45" s="980">
        <v>49595126.32</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32020.52</v>
      </c>
      <c r="E48" s="980">
        <v>10</v>
      </c>
      <c r="F48" s="980">
        <v>154106.68</v>
      </c>
      <c r="G48" s="286"/>
    </row>
    <row r="49" spans="1:7">
      <c r="A49" s="979" t="s">
        <v>31</v>
      </c>
      <c r="B49" s="979" t="s">
        <v>39</v>
      </c>
      <c r="C49" s="980">
        <v>4</v>
      </c>
      <c r="D49" s="980">
        <v>117903.72</v>
      </c>
      <c r="E49" s="980">
        <v>4</v>
      </c>
      <c r="F49" s="980">
        <v>56966.85</v>
      </c>
      <c r="G49" s="286"/>
    </row>
    <row r="50" spans="1:7">
      <c r="A50" s="979" t="s">
        <v>31</v>
      </c>
      <c r="B50" s="979" t="s">
        <v>40</v>
      </c>
      <c r="C50" s="980">
        <v>15</v>
      </c>
      <c r="D50" s="980">
        <v>3227595.35</v>
      </c>
      <c r="E50" s="980">
        <v>35</v>
      </c>
      <c r="F50" s="980">
        <v>5275959.5</v>
      </c>
      <c r="G50" s="286"/>
    </row>
    <row r="51" spans="1:7">
      <c r="A51" s="979" t="s">
        <v>41</v>
      </c>
      <c r="B51" s="979" t="s">
        <v>42</v>
      </c>
      <c r="C51" s="980">
        <v>10</v>
      </c>
      <c r="D51" s="980">
        <v>122716.87</v>
      </c>
      <c r="E51" s="980">
        <v>61</v>
      </c>
      <c r="F51" s="980">
        <v>1302709.01</v>
      </c>
      <c r="G51" s="286"/>
    </row>
    <row r="52" spans="1:7">
      <c r="A52" s="979" t="s">
        <v>41</v>
      </c>
      <c r="B52" s="979" t="s">
        <v>28</v>
      </c>
      <c r="C52" s="980">
        <v>0</v>
      </c>
      <c r="D52" s="980">
        <v>0</v>
      </c>
      <c r="E52" s="980">
        <v>0</v>
      </c>
      <c r="F52" s="980">
        <v>0</v>
      </c>
      <c r="G52" s="286"/>
    </row>
    <row r="53" spans="1:7">
      <c r="A53" s="979" t="s">
        <v>43</v>
      </c>
      <c r="B53" s="979" t="s">
        <v>44</v>
      </c>
      <c r="C53" s="980">
        <v>254</v>
      </c>
      <c r="D53" s="980">
        <v>2699700.66</v>
      </c>
      <c r="E53" s="980">
        <v>656</v>
      </c>
      <c r="F53" s="980">
        <v>1724857.94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1178806</v>
      </c>
      <c r="G55" s="286"/>
    </row>
    <row r="56" spans="1:7">
      <c r="A56" s="979" t="s">
        <v>47</v>
      </c>
      <c r="B56" s="979" t="s">
        <v>28</v>
      </c>
      <c r="C56" s="980">
        <v>0</v>
      </c>
      <c r="D56" s="980">
        <v>0</v>
      </c>
      <c r="E56" s="980">
        <v>0</v>
      </c>
      <c r="F56" s="980">
        <v>0</v>
      </c>
      <c r="G56" s="286"/>
    </row>
    <row r="57" spans="1:7">
      <c r="A57" s="979" t="s">
        <v>48</v>
      </c>
      <c r="B57" s="979" t="s">
        <v>49</v>
      </c>
      <c r="C57" s="980">
        <v>96</v>
      </c>
      <c r="D57" s="980">
        <v>6463860.25</v>
      </c>
      <c r="E57" s="980">
        <v>223</v>
      </c>
      <c r="F57" s="980">
        <v>11359634.85</v>
      </c>
      <c r="G57" s="286"/>
    </row>
    <row r="58" spans="1:7">
      <c r="A58" s="979" t="s">
        <v>48</v>
      </c>
      <c r="B58" s="979" t="s">
        <v>50</v>
      </c>
      <c r="C58" s="980">
        <v>104</v>
      </c>
      <c r="D58" s="980">
        <v>7801463.0300000003</v>
      </c>
      <c r="E58" s="980">
        <v>151</v>
      </c>
      <c r="F58" s="980">
        <v>6310147.9299999997</v>
      </c>
      <c r="G58" s="286"/>
    </row>
    <row r="59" spans="1:7">
      <c r="A59" s="979" t="s">
        <v>48</v>
      </c>
      <c r="B59" s="979" t="s">
        <v>51</v>
      </c>
      <c r="C59" s="980">
        <v>261</v>
      </c>
      <c r="D59" s="980">
        <v>7451696.9800000004</v>
      </c>
      <c r="E59" s="980">
        <v>475</v>
      </c>
      <c r="F59" s="980">
        <v>13829042.920000002</v>
      </c>
      <c r="G59" s="286"/>
    </row>
    <row r="60" spans="1:7">
      <c r="A60" s="979" t="s">
        <v>48</v>
      </c>
      <c r="B60" s="979" t="s">
        <v>52</v>
      </c>
      <c r="C60" s="980">
        <v>144</v>
      </c>
      <c r="D60" s="980">
        <v>25640989.66</v>
      </c>
      <c r="E60" s="980">
        <v>216</v>
      </c>
      <c r="F60" s="980">
        <v>6156858.6500000004</v>
      </c>
      <c r="G60" s="286"/>
    </row>
    <row r="61" spans="1:7">
      <c r="A61" s="979" t="s">
        <v>48</v>
      </c>
      <c r="B61" s="979" t="s">
        <v>53</v>
      </c>
      <c r="C61" s="980">
        <v>329</v>
      </c>
      <c r="D61" s="980">
        <v>35695187.133527301</v>
      </c>
      <c r="E61" s="980">
        <v>874</v>
      </c>
      <c r="F61" s="980">
        <v>46969239.74480392</v>
      </c>
      <c r="G61" s="286"/>
    </row>
    <row r="62" spans="1:7">
      <c r="A62" s="979" t="s">
        <v>48</v>
      </c>
      <c r="B62" s="979" t="s">
        <v>54</v>
      </c>
      <c r="C62" s="980">
        <v>42</v>
      </c>
      <c r="D62" s="980">
        <v>9334338.9000000004</v>
      </c>
      <c r="E62" s="980">
        <v>41</v>
      </c>
      <c r="F62" s="980">
        <v>2503269.0299999998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3</v>
      </c>
      <c r="D65" s="980">
        <v>266706.88</v>
      </c>
      <c r="E65" s="980">
        <v>2</v>
      </c>
      <c r="F65" s="980">
        <v>30631.84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118352.27</v>
      </c>
      <c r="E68" s="982">
        <v>20</v>
      </c>
      <c r="F68" s="982">
        <v>590114.30000000005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159421585</v>
      </c>
      <c r="E73" s="384"/>
      <c r="F73" s="286"/>
      <c r="G73" s="286"/>
    </row>
    <row r="74" spans="1:7">
      <c r="A74" s="979" t="s">
        <v>63</v>
      </c>
      <c r="B74" s="979" t="s">
        <v>505</v>
      </c>
      <c r="C74" s="1250" t="s">
        <v>507</v>
      </c>
      <c r="D74" s="1251">
        <v>11510155.410571635</v>
      </c>
      <c r="E74" s="384"/>
      <c r="F74" s="286"/>
      <c r="G74" s="286"/>
    </row>
    <row r="75" spans="1:7">
      <c r="A75" s="979" t="s">
        <v>64</v>
      </c>
      <c r="B75" s="979" t="s">
        <v>504</v>
      </c>
      <c r="C75" s="1250" t="s">
        <v>508</v>
      </c>
      <c r="D75" s="1251">
        <v>48382752</v>
      </c>
      <c r="E75" s="384"/>
      <c r="F75" s="286"/>
      <c r="G75" s="286"/>
    </row>
    <row r="76" spans="1:7">
      <c r="A76" s="979" t="s">
        <v>64</v>
      </c>
      <c r="B76" s="979" t="s">
        <v>505</v>
      </c>
      <c r="C76" s="1250" t="s">
        <v>509</v>
      </c>
      <c r="D76" s="1251">
        <v>2054824.4105716352</v>
      </c>
      <c r="E76" s="384"/>
      <c r="F76" s="286"/>
      <c r="G76" s="286"/>
    </row>
    <row r="77" spans="1:7">
      <c r="A77" s="979" t="s">
        <v>65</v>
      </c>
      <c r="B77" s="979" t="s">
        <v>504</v>
      </c>
      <c r="C77" s="1250" t="s">
        <v>510</v>
      </c>
      <c r="D77" s="1251">
        <v>46620953</v>
      </c>
      <c r="E77" s="384"/>
      <c r="F77" s="286"/>
      <c r="G77" s="286"/>
    </row>
    <row r="78" spans="1:7">
      <c r="A78" s="981" t="s">
        <v>65</v>
      </c>
      <c r="B78" s="981" t="s">
        <v>505</v>
      </c>
      <c r="C78" s="981" t="s">
        <v>511</v>
      </c>
      <c r="D78" s="1252">
        <v>18865193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729071.17885672976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12440.031249246989</v>
      </c>
      <c r="C90" s="286" t="s">
        <v>629</v>
      </c>
      <c r="D90" s="286"/>
      <c r="E90" s="286"/>
      <c r="F90" s="286"/>
      <c r="G90" s="286"/>
    </row>
    <row r="91" spans="1:7">
      <c r="A91" s="979" t="s">
        <v>67</v>
      </c>
      <c r="B91" s="980">
        <v>24041.300971609995</v>
      </c>
      <c r="C91" s="286" t="s">
        <v>629</v>
      </c>
      <c r="D91" s="286"/>
      <c r="E91" s="286"/>
      <c r="F91" s="286"/>
      <c r="G91" s="286"/>
    </row>
    <row r="92" spans="1:7">
      <c r="A92" s="981" t="s">
        <v>68</v>
      </c>
      <c r="B92" s="986">
        <v>4535.4856534604569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2901197.3164070328</v>
      </c>
      <c r="C97" s="286"/>
      <c r="D97" s="286"/>
      <c r="E97" s="286"/>
      <c r="F97" s="286"/>
      <c r="G97" s="286"/>
    </row>
    <row r="98" spans="1:7">
      <c r="A98" s="286" t="s">
        <v>176</v>
      </c>
      <c r="B98" s="980">
        <v>0</v>
      </c>
      <c r="C98" s="286"/>
      <c r="D98" s="286"/>
      <c r="E98" s="286"/>
      <c r="F98" s="286"/>
      <c r="G98" s="286"/>
    </row>
    <row r="99" spans="1:7">
      <c r="A99" s="286" t="s">
        <v>179</v>
      </c>
      <c r="B99" s="980">
        <v>6159521.3265752131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1178806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7314.1388551481932</v>
      </c>
      <c r="C121" s="286"/>
      <c r="D121" s="286"/>
      <c r="E121" s="286"/>
      <c r="F121" s="286"/>
      <c r="G121" s="286"/>
    </row>
    <row r="122" spans="1:7">
      <c r="A122" s="286" t="s">
        <v>731</v>
      </c>
      <c r="B122" s="980">
        <v>352.39211693211109</v>
      </c>
      <c r="C122" s="286"/>
      <c r="D122" s="286"/>
      <c r="E122" s="286"/>
      <c r="F122" s="286"/>
      <c r="G122" s="286"/>
    </row>
    <row r="123" spans="1:7">
      <c r="A123" s="286" t="s">
        <v>3</v>
      </c>
      <c r="B123" s="980">
        <v>101.24490349878423</v>
      </c>
      <c r="C123" s="286"/>
      <c r="D123" s="286"/>
      <c r="E123" s="286"/>
      <c r="F123" s="286"/>
      <c r="G123" s="286"/>
    </row>
    <row r="124" spans="1:7">
      <c r="A124" s="981" t="s">
        <v>732</v>
      </c>
      <c r="B124" s="986">
        <v>1412.9598835486352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211013.98505375718</v>
      </c>
      <c r="C3" s="43" t="s">
        <v>150</v>
      </c>
      <c r="D3" s="43"/>
      <c r="E3" s="151"/>
      <c r="F3" s="43"/>
      <c r="G3" s="43"/>
      <c r="H3" s="43"/>
      <c r="I3" s="43"/>
      <c r="J3" s="43"/>
      <c r="K3" s="95"/>
    </row>
    <row r="4" spans="1:11">
      <c r="A4" s="304" t="s">
        <v>151</v>
      </c>
      <c r="B4" s="49">
        <f>IF(ISERROR('SECAP template'!B105+'SECAP template'!C105),0,'SECAP template'!B105+'SECAP template'!C105)</f>
        <v>44697.446090611891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900.73277991227656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0.17845588708811932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1105.6526680810182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4517.9841328263547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0.2447225655459187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2901.1973164070328</v>
      </c>
      <c r="C4" s="30">
        <f>kWh_eigengeb_warmtekoude/1000</f>
        <v>0</v>
      </c>
      <c r="D4" s="30">
        <f>kWh_eigengeb_aardgas/1000*0.903</f>
        <v>5562.0477578974169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2901.1973164070328</v>
      </c>
      <c r="C6" s="21">
        <f>SUM(C4:C4)</f>
        <v>0</v>
      </c>
      <c r="D6" s="21">
        <f>SUM(D4:D4)</f>
        <v>5562.0477578974169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0.17845588708811932</v>
      </c>
      <c r="C8" s="917">
        <f>'EF ele_warmte'!B23</f>
        <v>0.2447225655459187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517.73574071708822</v>
      </c>
      <c r="C10" s="23">
        <f>C6*C8</f>
        <v>0</v>
      </c>
      <c r="D10" s="23">
        <f>D6*D8</f>
        <v>1123.5336470952782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1178.806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1178.806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0.17845588708811932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210.36487043479761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1178.806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-1178.806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0.17845588708811932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44256.076485196078</v>
      </c>
      <c r="C5" s="17">
        <f>IF(ISERROR('Eigen informatie GS &amp; warmtenet'!B61),0,'Eigen informatie GS &amp; warmtenet'!B61)</f>
        <v>0</v>
      </c>
      <c r="D5" s="30">
        <f>(SUM(HH_hh_gas_kWh,HH_rest_gas_kWh)/1000)*0.903</f>
        <v>121472.85678608483</v>
      </c>
      <c r="E5" s="17">
        <f>B33*B42</f>
        <v>3673.8489179203161</v>
      </c>
      <c r="F5" s="17">
        <f>B37*B46</f>
        <v>59697.642575859201</v>
      </c>
      <c r="G5" s="18" t="s">
        <v>637</v>
      </c>
      <c r="H5" s="17" t="s">
        <v>637</v>
      </c>
      <c r="I5" s="17" t="s">
        <v>637</v>
      </c>
      <c r="J5" s="17">
        <f>B36*B45+C36*C45</f>
        <v>478.55840949896924</v>
      </c>
      <c r="K5" s="17" t="s">
        <v>637</v>
      </c>
      <c r="L5" s="884" t="s">
        <v>637</v>
      </c>
      <c r="M5" s="17" t="s">
        <v>637</v>
      </c>
      <c r="N5" s="17" t="s">
        <v>670</v>
      </c>
      <c r="O5" s="17">
        <f>B35*B44+C35*C44</f>
        <v>19938.405053203362</v>
      </c>
      <c r="P5" s="17" t="s">
        <v>637</v>
      </c>
      <c r="Q5" s="17" t="s">
        <v>637</v>
      </c>
    </row>
    <row r="6" spans="1:17" s="810" customFormat="1">
      <c r="A6" s="16" t="s">
        <v>633</v>
      </c>
      <c r="B6" s="17">
        <f>'lokale energieproductie'!N32</f>
        <v>37.441216002995297</v>
      </c>
      <c r="C6" s="17">
        <f>'lokale energieproductie'!O32</f>
        <v>64.467091217592483</v>
      </c>
      <c r="D6" s="17">
        <f>('lokale energieproductie'!P32)*(-1)</f>
        <v>-44.71777678929142</v>
      </c>
      <c r="E6" s="17">
        <f>('lokale energieproductie'!X32)*(-1)</f>
        <v>-65.548246956463871</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7314.1388551481932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51607.656556347269</v>
      </c>
      <c r="C9" s="21">
        <f>MAX((C5+C6+C7),0)</f>
        <v>64.467091217592483</v>
      </c>
      <c r="D9" s="21">
        <f t="shared" ref="D9:O9" si="0">MAX((D5+D6+D7),0)</f>
        <v>121428.13900929554</v>
      </c>
      <c r="E9" s="21">
        <f t="shared" si="0"/>
        <v>3608.3006709638521</v>
      </c>
      <c r="F9" s="21">
        <f t="shared" si="0"/>
        <v>59697.642575859201</v>
      </c>
      <c r="G9" s="21" t="s">
        <v>637</v>
      </c>
      <c r="H9" s="21" t="s">
        <v>637</v>
      </c>
      <c r="I9" s="21" t="s">
        <v>670</v>
      </c>
      <c r="J9" s="21">
        <f t="shared" si="0"/>
        <v>478.55840949896924</v>
      </c>
      <c r="K9" s="21" t="s">
        <v>637</v>
      </c>
      <c r="L9" s="21">
        <f>MAX((L6),0)</f>
        <v>0</v>
      </c>
      <c r="M9" s="21">
        <f>MAX((M6),0)</f>
        <v>0</v>
      </c>
      <c r="N9" s="21" t="s">
        <v>637</v>
      </c>
      <c r="O9" s="21">
        <f t="shared" si="0"/>
        <v>19938.405053203362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0.17845588708811932</v>
      </c>
      <c r="C11" s="25">
        <f>'EF ele_warmte'!B23</f>
        <v>0.2447225655459187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9209.6901313019498</v>
      </c>
      <c r="C13" s="23">
        <f>C11*C9</f>
        <v>15.776551956051996</v>
      </c>
      <c r="D13" s="23">
        <f>D9*D11</f>
        <v>24528.4840798777</v>
      </c>
      <c r="E13" s="23">
        <f>E11*E9</f>
        <v>819.08425230879448</v>
      </c>
      <c r="F13" s="23">
        <f>F11*F9</f>
        <v>15939.270567754407</v>
      </c>
      <c r="G13" s="23" t="s">
        <v>637</v>
      </c>
      <c r="H13" s="23" t="s">
        <v>637</v>
      </c>
      <c r="I13" s="23" t="s">
        <v>637</v>
      </c>
      <c r="J13" s="23">
        <f>J11*J9</f>
        <v>169.4096769626351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16466</v>
      </c>
      <c r="C27" s="36"/>
      <c r="D27" s="208"/>
      <c r="E27" s="1168"/>
      <c r="L27" s="812"/>
    </row>
    <row r="28" spans="1:12" s="15" customFormat="1" hidden="1">
      <c r="A28" s="210" t="s">
        <v>722</v>
      </c>
      <c r="B28" s="37">
        <f>SUM(HH_hh_gas_aantal,HH_rest_gas_aantal)</f>
        <v>11075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10521.25</v>
      </c>
      <c r="C32" s="34" t="s">
        <v>91</v>
      </c>
      <c r="D32" s="167"/>
      <c r="E32" s="1168"/>
    </row>
    <row r="33" spans="1:6" hidden="1">
      <c r="A33" s="164" t="s">
        <v>70</v>
      </c>
      <c r="B33" s="33">
        <f>IF((B22*($B$27-($B$28-0.05*$B$28)))&lt;0,0,(B22*($B$27-($B$28-0.05*$B$28))))</f>
        <v>95.865551689873882</v>
      </c>
      <c r="C33" s="34" t="s">
        <v>91</v>
      </c>
      <c r="D33" s="167"/>
      <c r="E33" s="1168"/>
    </row>
    <row r="34" spans="1:6" hidden="1">
      <c r="A34" s="164" t="s">
        <v>71</v>
      </c>
      <c r="B34" s="33">
        <f>IF((B23*($B$27-($B$28-0.05*$B$28)))&lt;0,0,B23*($B$27-($B$28-0.05*$B$28)))</f>
        <v>1556.6666956345036</v>
      </c>
      <c r="C34" s="34" t="s">
        <v>91</v>
      </c>
      <c r="D34" s="167"/>
      <c r="E34" s="1168"/>
    </row>
    <row r="35" spans="1:6" hidden="1">
      <c r="A35" s="164" t="s">
        <v>72</v>
      </c>
      <c r="B35" s="33">
        <f>IF((B25*($B$27-($B$28-0.05*$B$28)))&lt;0,0,B25*($B$27-($B$28-0.05*$B$28)))</f>
        <v>680.66199618068447</v>
      </c>
      <c r="C35" s="33">
        <f>B27*C25</f>
        <v>2766.2879999999991</v>
      </c>
      <c r="D35" s="213"/>
      <c r="E35" s="1168"/>
    </row>
    <row r="36" spans="1:6" hidden="1">
      <c r="A36" s="164" t="s">
        <v>73</v>
      </c>
      <c r="B36" s="33">
        <f>IF((B20*($B$27-($B$28-0.05*$B$28)))&lt;0,0,B20*($B$27-($B$28-0.05*$B$28)))</f>
        <v>41.672526769857463</v>
      </c>
      <c r="C36" s="33">
        <f>B36/2</f>
        <v>20.836263384928731</v>
      </c>
      <c r="D36" s="213"/>
      <c r="E36" s="1168"/>
    </row>
    <row r="37" spans="1:6" hidden="1">
      <c r="A37" s="164" t="s">
        <v>74</v>
      </c>
      <c r="B37" s="33">
        <f>IF((B19*($B$27-($B$28-0.05*$B$28)))&lt;0,0,B19*($B$27-($B$28-0.05*$B$28)))</f>
        <v>3150.1843295992071</v>
      </c>
      <c r="C37" s="34" t="s">
        <v>91</v>
      </c>
      <c r="D37" s="167"/>
      <c r="E37" s="1168"/>
    </row>
    <row r="38" spans="1:6" hidden="1">
      <c r="A38" s="164" t="s">
        <v>75</v>
      </c>
      <c r="B38" s="33">
        <f>IF((B24*($B$27-($B$28-0.05*$B$28)))&lt;0,0,B24*($B$27-($B$28-0.05*$B$28)))</f>
        <v>391.76997958810671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87128.193124803933</v>
      </c>
      <c r="C5" s="17">
        <f>IF(ISERROR('Eigen informatie GS &amp; warmtenet'!B62),0,'Eigen informatie GS &amp; warmtenet'!B62)</f>
        <v>0</v>
      </c>
      <c r="D5" s="30">
        <f>SUM(D6:D12)</f>
        <v>83425.944966035153</v>
      </c>
      <c r="E5" s="17">
        <f>SUM(E6:E12)</f>
        <v>225.26604900614294</v>
      </c>
      <c r="F5" s="17">
        <f>SUM(F6:F12)</f>
        <v>12866.337996718972</v>
      </c>
      <c r="G5" s="17" t="s">
        <v>637</v>
      </c>
      <c r="H5" s="17">
        <f t="shared" ref="H5" si="0">SUM(H6:H12)</f>
        <v>2.2306845925025787</v>
      </c>
      <c r="I5" s="17" t="s">
        <v>637</v>
      </c>
      <c r="J5" s="17">
        <f>SUM(J6:J12)</f>
        <v>0.1062848432448058</v>
      </c>
      <c r="K5" s="17" t="s">
        <v>637</v>
      </c>
      <c r="L5" s="884" t="s">
        <v>668</v>
      </c>
      <c r="M5" s="17" t="s">
        <v>668</v>
      </c>
      <c r="N5" s="17" t="s">
        <v>668</v>
      </c>
      <c r="O5" s="17">
        <f>SUM(O6:O12)</f>
        <v>4118.6240120616003</v>
      </c>
      <c r="P5" s="17" t="s">
        <v>637</v>
      </c>
      <c r="Q5" s="17" t="s">
        <v>637</v>
      </c>
      <c r="S5" s="32"/>
    </row>
    <row r="6" spans="1:19">
      <c r="A6" s="32" t="s">
        <v>53</v>
      </c>
      <c r="B6" s="37">
        <f>B27</f>
        <v>46969.239744803919</v>
      </c>
      <c r="C6" s="33"/>
      <c r="D6" s="37">
        <f>IF(ISERROR(TER_kantoor_gas_kWh/1000),0,TER_kantoor_gas_kWh/1000)*0.903</f>
        <v>32232.753981575155</v>
      </c>
      <c r="E6" s="33">
        <f>$C$27*'E Balans VL '!I12/100/3.6*1000000</f>
        <v>3.4918611532756875E-3</v>
      </c>
      <c r="F6" s="33">
        <f>$C$27*('E Balans VL '!L12+'E Balans VL '!N12)/100/3.6*1000000</f>
        <v>3879.723953284356</v>
      </c>
      <c r="G6" s="33"/>
      <c r="H6" s="33">
        <f>$C$27*('E Balans VL '!J12)/100/3.6*1000000</f>
        <v>0</v>
      </c>
      <c r="I6" s="33"/>
      <c r="J6" s="33">
        <f>$C$27*('E Balans VL '!D12+'E Balans VL '!E12)/100/3.6*1000000</f>
        <v>0</v>
      </c>
      <c r="K6" s="33"/>
      <c r="L6" s="33"/>
      <c r="M6" s="33"/>
      <c r="N6" s="33"/>
      <c r="O6" s="33">
        <f>$C$27*'E Balans VL '!Y12/100/3.6*1000000</f>
        <v>57.64894645666002</v>
      </c>
      <c r="P6" s="33"/>
      <c r="Q6" s="33"/>
      <c r="S6" s="32"/>
    </row>
    <row r="7" spans="1:19">
      <c r="A7" s="32" t="s">
        <v>52</v>
      </c>
      <c r="B7" s="37">
        <f t="shared" ref="B7:B12" si="1">B28</f>
        <v>6156.8586500000001</v>
      </c>
      <c r="C7" s="33"/>
      <c r="D7" s="37">
        <f>IF(ISERROR(TER_horeca_gas_kWh/1000),0,TER_horeca_gas_kWh/1000)*0.903</f>
        <v>23153.813662979999</v>
      </c>
      <c r="E7" s="33">
        <f>$C$28*'E Balans VL '!I9/100/3.6*1000000</f>
        <v>0</v>
      </c>
      <c r="F7" s="33">
        <f>$C$28*('E Balans VL '!L9+'E Balans VL '!N9)/100/3.6*1000000</f>
        <v>758.43841777844727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13829.042920000002</v>
      </c>
      <c r="C8" s="33"/>
      <c r="D8" s="37">
        <f>IF(ISERROR(TER_handel_gas_kWh/1000),0,TER_handel_gas_kWh/1000)*0.903</f>
        <v>6728.882372940001</v>
      </c>
      <c r="E8" s="33">
        <f>$C$29*'E Balans VL '!I13/100/3.6*1000000</f>
        <v>0.37963014781681415</v>
      </c>
      <c r="F8" s="33">
        <f>$C$29*('E Balans VL '!L13+'E Balans VL '!N13)/100/3.6*1000000</f>
        <v>1049.8461092365976</v>
      </c>
      <c r="G8" s="33"/>
      <c r="H8" s="33">
        <f>$C$29*('E Balans VL '!J13)/100/3.6*1000000</f>
        <v>0</v>
      </c>
      <c r="I8" s="33"/>
      <c r="J8" s="33">
        <f>$C$29*('E Balans VL '!D13+'E Balans VL '!E13)/100/3.6*1000000</f>
        <v>0</v>
      </c>
      <c r="K8" s="33"/>
      <c r="L8" s="33"/>
      <c r="M8" s="33"/>
      <c r="N8" s="33"/>
      <c r="O8" s="33">
        <f>$C$29*'E Balans VL '!Y13/100/3.6*1000000</f>
        <v>9.4105864907379431</v>
      </c>
      <c r="P8" s="33"/>
      <c r="Q8" s="33"/>
      <c r="S8" s="32"/>
    </row>
    <row r="9" spans="1:19">
      <c r="A9" s="32" t="s">
        <v>50</v>
      </c>
      <c r="B9" s="37">
        <f t="shared" si="1"/>
        <v>6310.1479300000001</v>
      </c>
      <c r="C9" s="33"/>
      <c r="D9" s="37">
        <f>IF(ISERROR(TER_gezond_gas_kWh/1000),0,TER_gezond_gas_kWh/1000)*0.903</f>
        <v>7044.7211160899997</v>
      </c>
      <c r="E9" s="33">
        <f>$C$30*'E Balans VL '!I10/100/3.6*1000000</f>
        <v>0</v>
      </c>
      <c r="F9" s="33">
        <f>$C$30*('E Balans VL '!L10+'E Balans VL '!N10)/100/3.6*1000000</f>
        <v>110.82419757232455</v>
      </c>
      <c r="G9" s="33"/>
      <c r="H9" s="33">
        <f>$C$30*('E Balans VL '!J10)/100/3.6*1000000</f>
        <v>0</v>
      </c>
      <c r="I9" s="33"/>
      <c r="J9" s="33">
        <f>$C$30*('E Balans VL '!D10+'E Balans VL '!E10)/100/3.6*1000000</f>
        <v>0</v>
      </c>
      <c r="K9" s="33"/>
      <c r="L9" s="33"/>
      <c r="M9" s="33"/>
      <c r="N9" s="33"/>
      <c r="O9" s="33">
        <f>$C$30*'E Balans VL '!Y10/100/3.6*1000000</f>
        <v>30.745311225638819</v>
      </c>
      <c r="P9" s="33"/>
      <c r="Q9" s="33"/>
      <c r="S9" s="32"/>
    </row>
    <row r="10" spans="1:19">
      <c r="A10" s="32" t="s">
        <v>49</v>
      </c>
      <c r="B10" s="37">
        <f t="shared" si="1"/>
        <v>11359.63485</v>
      </c>
      <c r="C10" s="33"/>
      <c r="D10" s="37">
        <f>IF(ISERROR(TER_ander_gas_kWh/1000),0,TER_ander_gas_kWh/1000)*0.903</f>
        <v>5836.8658057499997</v>
      </c>
      <c r="E10" s="33">
        <f>$C$31*'E Balans VL '!I14/100/3.6*1000000</f>
        <v>224.88292699717286</v>
      </c>
      <c r="F10" s="33">
        <f>$C$31*('E Balans VL '!L14+'E Balans VL '!N14)/100/3.6*1000000</f>
        <v>6884.0511474448522</v>
      </c>
      <c r="G10" s="33"/>
      <c r="H10" s="33">
        <f>$C$31*('E Balans VL '!J14)/100/3.6*1000000</f>
        <v>2.2306845925025787</v>
      </c>
      <c r="I10" s="33"/>
      <c r="J10" s="33">
        <f>$C$31*('E Balans VL '!D14+'E Balans VL '!E14)/100/3.6*1000000</f>
        <v>0.1062848432448058</v>
      </c>
      <c r="K10" s="33"/>
      <c r="L10" s="33"/>
      <c r="M10" s="33"/>
      <c r="N10" s="33"/>
      <c r="O10" s="33">
        <f>$C$31*'E Balans VL '!Y14/100/3.6*1000000</f>
        <v>4018.5105647991254</v>
      </c>
      <c r="P10" s="33"/>
      <c r="Q10" s="33"/>
      <c r="S10" s="32"/>
    </row>
    <row r="11" spans="1:19">
      <c r="A11" s="32" t="s">
        <v>54</v>
      </c>
      <c r="B11" s="37">
        <f t="shared" si="1"/>
        <v>2503.2690299999999</v>
      </c>
      <c r="C11" s="33"/>
      <c r="D11" s="37">
        <f>IF(ISERROR(TER_onderwijs_gas_kWh/1000),0,TER_onderwijs_gas_kWh/1000)*0.903</f>
        <v>8428.9080267000008</v>
      </c>
      <c r="E11" s="33">
        <f>$C$32*'E Balans VL '!I11/100/3.6*1000000</f>
        <v>0</v>
      </c>
      <c r="F11" s="33">
        <f>$C$32*('E Balans VL '!L11+'E Balans VL '!N11)/100/3.6*1000000</f>
        <v>183.45417140239422</v>
      </c>
      <c r="G11" s="33"/>
      <c r="H11" s="33">
        <f>$C$32*('E Balans VL '!J11)/100/3.6*1000000</f>
        <v>0</v>
      </c>
      <c r="I11" s="33"/>
      <c r="J11" s="33">
        <f>$C$32*('E Balans VL '!D11+'E Balans VL '!E11)/100/3.6*1000000</f>
        <v>0</v>
      </c>
      <c r="K11" s="33"/>
      <c r="L11" s="33"/>
      <c r="M11" s="33"/>
      <c r="N11" s="33"/>
      <c r="O11" s="33">
        <f>$C$32*'E Balans VL '!Y11/100/3.6*1000000</f>
        <v>2.3086030894385967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3619.049000289524</v>
      </c>
      <c r="C13" s="17">
        <f>'lokale energieproductie'!O34</f>
        <v>4439.3560816076297</v>
      </c>
      <c r="D13" s="920">
        <f>('lokale energieproductie'!P34)*(-1)</f>
        <v>-9769.3261171386894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1412.9598835486352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-2901.1973164070328</v>
      </c>
      <c r="C15" s="17">
        <f>('Eigen gebouwen'!C4)*(-1)</f>
        <v>0</v>
      </c>
      <c r="D15" s="17">
        <f>('Eigen gebouwen'!D4)*(-1)</f>
        <v>-5562.0477578974169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89259.004692235059</v>
      </c>
      <c r="C17" s="21">
        <f t="shared" ref="C17:O17" si="2">MAX((C5+C13+C15),0)</f>
        <v>4439.3560816076297</v>
      </c>
      <c r="D17" s="21">
        <f t="shared" si="2"/>
        <v>68094.571090999059</v>
      </c>
      <c r="E17" s="21">
        <f t="shared" si="2"/>
        <v>225.26604900614294</v>
      </c>
      <c r="F17" s="21">
        <f>MAX((F5+F13+F15),0)</f>
        <v>12866.337996718972</v>
      </c>
      <c r="G17" s="21" t="s">
        <v>637</v>
      </c>
      <c r="H17" s="21">
        <f t="shared" ref="H17" si="3">MAX((H5+H13+H15),0)</f>
        <v>2.2306845925025787</v>
      </c>
      <c r="I17" s="21" t="s">
        <v>637</v>
      </c>
      <c r="J17" s="21">
        <f t="shared" si="2"/>
        <v>0.1062848432448058</v>
      </c>
      <c r="K17" s="21" t="s">
        <v>637</v>
      </c>
      <c r="L17" s="21" t="s">
        <v>668</v>
      </c>
      <c r="M17" s="21" t="s">
        <v>668</v>
      </c>
      <c r="N17" s="21" t="s">
        <v>668</v>
      </c>
      <c r="O17" s="21">
        <f t="shared" si="2"/>
        <v>4118.6240120616003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0.17845588708811932</v>
      </c>
      <c r="C19" s="25">
        <f>'EF ele_warmte'!B23</f>
        <v>0.2447225655459187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15928.794862955412</v>
      </c>
      <c r="C21" s="23">
        <f t="shared" ref="C21:O21" si="4">C17*C19</f>
        <v>1086.4106096628959</v>
      </c>
      <c r="D21" s="23">
        <f t="shared" si="4"/>
        <v>13755.10336038181</v>
      </c>
      <c r="E21" s="23">
        <f t="shared" si="4"/>
        <v>51.135393124394447</v>
      </c>
      <c r="F21" s="23">
        <f t="shared" si="4"/>
        <v>3435.3122451239656</v>
      </c>
      <c r="G21" s="23" t="s">
        <v>637</v>
      </c>
      <c r="H21" s="23">
        <f t="shared" si="4"/>
        <v>0.55544046353314214</v>
      </c>
      <c r="I21" s="23" t="s">
        <v>637</v>
      </c>
      <c r="J21" s="23">
        <f t="shared" si="4"/>
        <v>3.7624834508661255E-2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46969.239744803919</v>
      </c>
      <c r="C27" s="39">
        <f>IF(ISERROR(B27*3.6/1000000/'E Balans VL '!Z12*100),0,B27*3.6/1000000/'E Balans VL '!Z12*100)</f>
        <v>1.4307436098309463</v>
      </c>
      <c r="D27" s="216" t="s">
        <v>734</v>
      </c>
      <c r="F27" s="6"/>
    </row>
    <row r="28" spans="1:19">
      <c r="A28" s="211" t="s">
        <v>52</v>
      </c>
      <c r="B28" s="33">
        <f>IF(ISERROR(TER_horeca_ele_kWh/1000),0,TER_horeca_ele_kWh/1000)</f>
        <v>6156.8586500000001</v>
      </c>
      <c r="C28" s="39">
        <f>IF(ISERROR(B28*3.6/1000000/'E Balans VL '!Z9*100),0,B28*3.6/1000000/'E Balans VL '!Z9*100)</f>
        <v>0.73335597795877128</v>
      </c>
      <c r="D28" s="216" t="s">
        <v>734</v>
      </c>
      <c r="F28" s="6"/>
    </row>
    <row r="29" spans="1:19">
      <c r="A29" s="164" t="s">
        <v>51</v>
      </c>
      <c r="B29" s="33">
        <f>IF(ISERROR(TER_handel_ele_kWh/1000),0,TER_handel_ele_kWh/1000)</f>
        <v>13829.042920000002</v>
      </c>
      <c r="C29" s="39">
        <f>IF(ISERROR(B29*3.6/1000000/'E Balans VL '!Z13*100),0,B29*3.6/1000000/'E Balans VL '!Z13*100)</f>
        <v>0.4752350625230789</v>
      </c>
      <c r="D29" s="216" t="s">
        <v>734</v>
      </c>
      <c r="F29" s="6"/>
    </row>
    <row r="30" spans="1:19">
      <c r="A30" s="211" t="s">
        <v>50</v>
      </c>
      <c r="B30" s="33">
        <f>IF(ISERROR(TER_gezond_ele_kWh/1000),0,TER_gezond_ele_kWh/1000)</f>
        <v>6310.1479300000001</v>
      </c>
      <c r="C30" s="39">
        <f>IF(ISERROR(B30*3.6/1000000/'E Balans VL '!Z10*100),0,B30*3.6/1000000/'E Balans VL '!Z10*100)</f>
        <v>0.60558857411532352</v>
      </c>
      <c r="D30" s="216" t="s">
        <v>734</v>
      </c>
      <c r="F30" s="6"/>
    </row>
    <row r="31" spans="1:19">
      <c r="A31" s="211" t="s">
        <v>49</v>
      </c>
      <c r="B31" s="33">
        <f>IF(ISERROR(TER_ander_ele_kWh/1000),0,TER_ander_ele_kWh/1000)</f>
        <v>11359.63485</v>
      </c>
      <c r="C31" s="39">
        <f>IF(ISERROR(B31*3.6/1000000/'E Balans VL '!Z14*100),0,B31*3.6/1000000/'E Balans VL '!Z14*100)</f>
        <v>0.43529628632684969</v>
      </c>
      <c r="D31" s="216" t="s">
        <v>734</v>
      </c>
      <c r="F31" s="6"/>
    </row>
    <row r="32" spans="1:19">
      <c r="A32" s="211" t="s">
        <v>54</v>
      </c>
      <c r="B32" s="33">
        <f>IF(ISERROR(TER_onderwijs_ele_kWh/1000),0,TER_onderwijs_ele_kWh/1000)</f>
        <v>2503.2690299999999</v>
      </c>
      <c r="C32" s="39">
        <f>IF(ISERROR(B32*3.6/1000000/'E Balans VL '!Z11*100),0,B32*3.6/1000000/'E Balans VL '!Z11*100)</f>
        <v>0.50123769665424323</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58914.908300000003</v>
      </c>
      <c r="C5" s="17">
        <f>IF(ISERROR('Eigen informatie GS &amp; warmtenet'!B63),0,'Eigen informatie GS &amp; warmtenet'!B63)</f>
        <v>0</v>
      </c>
      <c r="D5" s="30">
        <f>SUM(D6:D15)</f>
        <v>6732.7150029300001</v>
      </c>
      <c r="E5" s="17">
        <f>SUM(E6:E15)</f>
        <v>467.63512460576521</v>
      </c>
      <c r="F5" s="17">
        <f>SUM(F6:F15)</f>
        <v>8836.9196780064958</v>
      </c>
      <c r="G5" s="17" t="s">
        <v>637</v>
      </c>
      <c r="H5" s="17">
        <f t="shared" ref="H5" si="0">SUM(H6:H15)</f>
        <v>0</v>
      </c>
      <c r="I5" s="17" t="s">
        <v>637</v>
      </c>
      <c r="J5" s="17">
        <f>SUM(J6:J15)</f>
        <v>1109.2806076128315</v>
      </c>
      <c r="K5" s="17" t="s">
        <v>637</v>
      </c>
      <c r="L5" s="884" t="s">
        <v>668</v>
      </c>
      <c r="M5" s="17" t="s">
        <v>668</v>
      </c>
      <c r="N5" s="17" t="s">
        <v>668</v>
      </c>
      <c r="O5" s="17">
        <f>SUM(O6:O15)</f>
        <v>21999.172745080403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1759.2885200000001</v>
      </c>
      <c r="C8" s="33"/>
      <c r="D8" s="37">
        <f>IF( ISERROR(IND_metaal_Gas_kWH/1000),0,IND_metaal_Gas_kWH/1000)*0.903</f>
        <v>1845.3842366399999</v>
      </c>
      <c r="E8" s="33">
        <f>C31*'E Balans VL '!I18/100/3.6*1000000</f>
        <v>9.7570310954121791</v>
      </c>
      <c r="F8" s="33">
        <f>C31*'E Balans VL '!L18/100/3.6*1000000+C31*'E Balans VL '!N18/100/3.6*1000000</f>
        <v>103.97363546835753</v>
      </c>
      <c r="G8" s="33"/>
      <c r="H8" s="33">
        <f>E31*'E Balans VL '!J18/100/3.6*1000000</f>
        <v>0</v>
      </c>
      <c r="I8" s="33"/>
      <c r="J8" s="40">
        <f>C31*'E Balans VL '!D18/100/3.6*1000000+C31*'E Balans VL '!E18/100/3.6*1000000</f>
        <v>0</v>
      </c>
      <c r="K8" s="33"/>
      <c r="L8" s="33"/>
      <c r="M8" s="33"/>
      <c r="N8" s="33"/>
      <c r="O8" s="33">
        <f>C31*'E Balans VL '!Y18/100/3.6*1000000</f>
        <v>28.137084661185479</v>
      </c>
      <c r="P8" s="33"/>
      <c r="Q8" s="33"/>
      <c r="S8" s="32"/>
    </row>
    <row r="9" spans="1:19">
      <c r="A9" s="6" t="s">
        <v>32</v>
      </c>
      <c r="B9" s="37">
        <f t="shared" si="1"/>
        <v>2073.4604300000001</v>
      </c>
      <c r="C9" s="33"/>
      <c r="D9" s="37">
        <f>IF( ISERROR(IND_andere_gas_kWh/1000),0,IND_andere_gas_kWh/1000)*0.903</f>
        <v>1837.4305765200002</v>
      </c>
      <c r="E9" s="33">
        <f>C32*'E Balans VL '!I19/100/3.6*1000000</f>
        <v>13.055262654891807</v>
      </c>
      <c r="F9" s="33">
        <f>C32*'E Balans VL '!L19/100/3.6*1000000+C32*'E Balans VL '!N19/100/3.6*1000000</f>
        <v>2100.2378698840566</v>
      </c>
      <c r="G9" s="33"/>
      <c r="H9" s="33">
        <f>E32*'E Balans VL '!J19/100/3.6*1000000</f>
        <v>0</v>
      </c>
      <c r="I9" s="33"/>
      <c r="J9" s="40">
        <f>C32*'E Balans VL '!D19/100/3.6*1000000+C32*'E Balans VL '!E19/100/3.6*1000000</f>
        <v>0</v>
      </c>
      <c r="K9" s="33"/>
      <c r="L9" s="33"/>
      <c r="M9" s="33"/>
      <c r="N9" s="33"/>
      <c r="O9" s="33">
        <f>C32*'E Balans VL '!Y19/100/3.6*1000000</f>
        <v>133.59101184198258</v>
      </c>
      <c r="P9" s="33"/>
      <c r="Q9" s="33"/>
      <c r="S9" s="32"/>
    </row>
    <row r="10" spans="1:19">
      <c r="A10" s="6" t="s">
        <v>40</v>
      </c>
      <c r="B10" s="37">
        <f t="shared" si="1"/>
        <v>5275.9594999999999</v>
      </c>
      <c r="C10" s="33"/>
      <c r="D10" s="37">
        <f>IF( ISERROR(IND_voed_gas_kWh/1000),0,IND_voed_gas_kWh/1000)*0.903</f>
        <v>2914.5186010500001</v>
      </c>
      <c r="E10" s="33">
        <f>C33*'E Balans VL '!I20/100/3.6*1000000</f>
        <v>13.979240248871006</v>
      </c>
      <c r="F10" s="33">
        <f>C33*'E Balans VL '!L20/100/3.6*1000000+C33*'E Balans VL '!N20/100/3.6*1000000</f>
        <v>214.24745864862911</v>
      </c>
      <c r="G10" s="33"/>
      <c r="H10" s="33">
        <f>E33*'E Balans VL '!J20/100/3.6*1000000</f>
        <v>0</v>
      </c>
      <c r="I10" s="33"/>
      <c r="J10" s="40">
        <f>C33*'E Balans VL '!D20/100/3.6*1000000+C33*'E Balans VL '!E20/100/3.6*1000000</f>
        <v>0</v>
      </c>
      <c r="K10" s="33"/>
      <c r="L10" s="33"/>
      <c r="M10" s="33"/>
      <c r="N10" s="33"/>
      <c r="O10" s="33">
        <f>C33*'E Balans VL '!Y20/100/3.6*1000000</f>
        <v>346.80093885629293</v>
      </c>
      <c r="P10" s="33"/>
      <c r="Q10" s="33"/>
      <c r="S10" s="32"/>
    </row>
    <row r="11" spans="1:19">
      <c r="A11" s="6" t="s">
        <v>39</v>
      </c>
      <c r="B11" s="37">
        <f t="shared" si="1"/>
        <v>56.966850000000001</v>
      </c>
      <c r="C11" s="33"/>
      <c r="D11" s="37">
        <f>IF( ISERROR(IND_textiel_gas_kWh/1000),0,IND_textiel_gas_kWh/1000)*0.903</f>
        <v>106.46705916000001</v>
      </c>
      <c r="E11" s="33">
        <f>C34*'E Balans VL '!I21/100/3.6*1000000</f>
        <v>0.7555265178940801</v>
      </c>
      <c r="F11" s="33">
        <f>C34*'E Balans VL '!L21/100/3.6*1000000+C34*'E Balans VL '!N21/100/3.6*1000000</f>
        <v>2.2693475365398057</v>
      </c>
      <c r="G11" s="33"/>
      <c r="H11" s="33">
        <f>E34*'E Balans VL '!J21/100/3.6*1000000</f>
        <v>0</v>
      </c>
      <c r="I11" s="33"/>
      <c r="J11" s="40">
        <f>C34*'E Balans VL '!D21/100/3.6*1000000+C34*'E Balans VL '!E21/100/3.6*1000000</f>
        <v>0</v>
      </c>
      <c r="K11" s="33"/>
      <c r="L11" s="33"/>
      <c r="M11" s="33"/>
      <c r="N11" s="33"/>
      <c r="O11" s="33">
        <f>C34*'E Balans VL '!Y21/100/3.6*1000000</f>
        <v>7.0951342025651004E-3</v>
      </c>
      <c r="P11" s="33"/>
      <c r="Q11" s="33"/>
      <c r="S11" s="32"/>
    </row>
    <row r="12" spans="1:19">
      <c r="A12" s="6" t="s">
        <v>36</v>
      </c>
      <c r="B12" s="37">
        <f t="shared" si="1"/>
        <v>49595.126320000003</v>
      </c>
      <c r="C12" s="33"/>
      <c r="D12" s="37">
        <f>IF( ISERROR(IND_min_gas_kWh/1000),0,IND_min_gas_kWh/1000)*0.903</f>
        <v>0</v>
      </c>
      <c r="E12" s="33">
        <f>C35*'E Balans VL '!I22/100/3.6*1000000</f>
        <v>418.55677366801763</v>
      </c>
      <c r="F12" s="33">
        <f>C35*'E Balans VL '!L22/100/3.6*1000000+C35*'E Balans VL '!N22/100/3.6*1000000</f>
        <v>6381.853261876995</v>
      </c>
      <c r="G12" s="33"/>
      <c r="H12" s="33">
        <f>E35*'E Balans VL '!J22/100/3.6*1000000</f>
        <v>0</v>
      </c>
      <c r="I12" s="33"/>
      <c r="J12" s="40">
        <f>C35*'E Balans VL '!D22/100/3.6*1000000+C35*'E Balans VL '!E22/100/3.6*1000000</f>
        <v>1108.4451830647795</v>
      </c>
      <c r="K12" s="33"/>
      <c r="L12" s="33"/>
      <c r="M12" s="33"/>
      <c r="N12" s="33"/>
      <c r="O12" s="33">
        <f>C35*'E Balans VL '!Y22/100/3.6*1000000</f>
        <v>21483.316666325165</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154.10667999999998</v>
      </c>
      <c r="C15" s="33"/>
      <c r="D15" s="37">
        <f>IF( ISERROR(IND_rest_gas_kWh/1000),0,IND_rest_gas_kWh/1000)*0.903</f>
        <v>28.914529559999998</v>
      </c>
      <c r="E15" s="33">
        <f>C38*'E Balans VL '!I15/100/3.6*1000000</f>
        <v>11.531290420678506</v>
      </c>
      <c r="F15" s="33">
        <f>C38*'E Balans VL '!L15/100/3.6*1000000+C38*'E Balans VL '!N15/100/3.6*1000000</f>
        <v>34.338104591917087</v>
      </c>
      <c r="G15" s="33"/>
      <c r="H15" s="33">
        <f>E38*'E Balans VL '!J15/100/3.6*1000000</f>
        <v>0</v>
      </c>
      <c r="I15" s="33"/>
      <c r="J15" s="40">
        <f>C38*'E Balans VL '!D15/100/3.6*1000000+C38*'E Balans VL '!E15/100/3.6*1000000</f>
        <v>0.83542454805210997</v>
      </c>
      <c r="K15" s="33"/>
      <c r="L15" s="33"/>
      <c r="M15" s="33"/>
      <c r="N15" s="33"/>
      <c r="O15" s="33">
        <f>C38*'E Balans VL '!Y15/100/3.6*1000000</f>
        <v>7.3199482615734937</v>
      </c>
      <c r="P15" s="33"/>
      <c r="Q15" s="33"/>
      <c r="S15" s="32"/>
    </row>
    <row r="16" spans="1:19">
      <c r="A16" s="16" t="s">
        <v>626</v>
      </c>
      <c r="B16" s="17">
        <f>'lokale energieproductie'!N33</f>
        <v>24.13800000193104</v>
      </c>
      <c r="C16" s="17">
        <f>'lokale energieproductie'!O33</f>
        <v>14.160960001132878</v>
      </c>
      <c r="D16" s="920">
        <f>('lokale energieproductie'!P33)*(-1)</f>
        <v>-44.89668000359174</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352.39211693211109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59291.438416934048</v>
      </c>
      <c r="C19" s="21">
        <f>C5+C16</f>
        <v>14.160960001132878</v>
      </c>
      <c r="D19" s="21">
        <f>MAX((D5+D16),0)</f>
        <v>6687.8183229264087</v>
      </c>
      <c r="E19" s="21">
        <f>MAX((E5+E16),0)</f>
        <v>467.63512460576521</v>
      </c>
      <c r="F19" s="21">
        <f>MAX((F5+F16),0)</f>
        <v>8836.9196780064958</v>
      </c>
      <c r="G19" s="21" t="s">
        <v>637</v>
      </c>
      <c r="H19" s="21">
        <f t="shared" ref="H19" si="2">MAX((H5+H16),0)</f>
        <v>0</v>
      </c>
      <c r="I19" s="21" t="s">
        <v>637</v>
      </c>
      <c r="J19" s="21">
        <f>MAX((J5+J16),0)</f>
        <v>1109.2806076128315</v>
      </c>
      <c r="K19" s="21" t="s">
        <v>637</v>
      </c>
      <c r="L19" s="882" t="s">
        <v>668</v>
      </c>
      <c r="M19" s="21" t="s">
        <v>668</v>
      </c>
      <c r="N19" s="21" t="s">
        <v>668</v>
      </c>
      <c r="O19" s="21">
        <f>MAX((O5+O16),0)</f>
        <v>21999.172745080403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0.17845588708811932</v>
      </c>
      <c r="C21" s="25">
        <f>'EF ele_warmte'!B23</f>
        <v>0.2447225655459187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10580.906239424563</v>
      </c>
      <c r="C23" s="23">
        <f>C19*C21</f>
        <v>3.4655064620703735</v>
      </c>
      <c r="D23" s="23">
        <f>D19*D21</f>
        <v>1350.9393012311346</v>
      </c>
      <c r="E23" s="23">
        <f>E19*E21</f>
        <v>106.1531732855087</v>
      </c>
      <c r="F23" s="23">
        <f>F19*F21</f>
        <v>2359.4575540277347</v>
      </c>
      <c r="G23" s="23" t="s">
        <v>637</v>
      </c>
      <c r="H23" s="23">
        <f t="shared" ref="H23" si="3">H19*H21</f>
        <v>0</v>
      </c>
      <c r="I23" s="23" t="s">
        <v>637</v>
      </c>
      <c r="J23" s="23">
        <f>J19*J21</f>
        <v>392.68533509494233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1759.2885200000001</v>
      </c>
      <c r="C31" s="39">
        <f>IF(ISERROR(B31*3.6/1000000/'E Balans VL '!Z18*100),0,B31*3.6/1000000/'E Balans VL '!Z18*100)</f>
        <v>0.12350216831675917</v>
      </c>
      <c r="D31" s="216" t="s">
        <v>735</v>
      </c>
    </row>
    <row r="32" spans="1:19" ht="30">
      <c r="A32" s="6" t="s">
        <v>32</v>
      </c>
      <c r="B32" s="37">
        <f>IF( ISERROR(IND_ander_ele_kWh/1000),0,IND_ander_ele_kWh/1000)</f>
        <v>2073.4604300000001</v>
      </c>
      <c r="C32" s="39">
        <f>IF(ISERROR(B32*3.6/1000000/'E Balans VL '!Z19*100),0,B32*3.6/1000000/'E Balans VL '!Z19*100)</f>
        <v>0.11043059645954775</v>
      </c>
      <c r="D32" s="216" t="s">
        <v>735</v>
      </c>
    </row>
    <row r="33" spans="1:5" ht="30">
      <c r="A33" s="164" t="s">
        <v>40</v>
      </c>
      <c r="B33" s="37">
        <f>IF( ISERROR(IND_voed_ele_kWh/1000),0,IND_voed_ele_kWh/1000)</f>
        <v>5275.9594999999999</v>
      </c>
      <c r="C33" s="39">
        <f>IF(ISERROR(B33*3.6/1000000/'E Balans VL '!Z20*100),0,B33*3.6/1000000/'E Balans VL '!Z20*100)</f>
        <v>0.19118188356232216</v>
      </c>
      <c r="D33" s="216" t="s">
        <v>735</v>
      </c>
    </row>
    <row r="34" spans="1:5" ht="30">
      <c r="A34" s="164" t="s">
        <v>39</v>
      </c>
      <c r="B34" s="37">
        <f>IF( ISERROR(IND_textiel_ele_kWh/1000),0,IND_textiel_ele_kWh/1000)</f>
        <v>56.966850000000001</v>
      </c>
      <c r="C34" s="39">
        <f>IF(ISERROR(B34*3.6/1000000/'E Balans VL '!Z21*100),0,B34*3.6/1000000/'E Balans VL '!Z21*100)</f>
        <v>1.0241983691901985E-2</v>
      </c>
      <c r="D34" s="216" t="s">
        <v>735</v>
      </c>
    </row>
    <row r="35" spans="1:5" ht="30">
      <c r="A35" s="164" t="s">
        <v>36</v>
      </c>
      <c r="B35" s="37">
        <f>IF( ISERROR(IND_min_ele_kWh/1000),0,IND_min_ele_kWh/1000)</f>
        <v>49595.126320000003</v>
      </c>
      <c r="C35" s="39">
        <f>IF(ISERROR(B35*3.6/1000000/'E Balans VL '!Z22*100),0,B35*3.6/1000000/'E Balans VL '!Z22*100)</f>
        <v>12.884735741146914</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154.10667999999998</v>
      </c>
      <c r="C38" s="39">
        <f>IF(ISERROR(B38*3.6/1000000/'E Balans VL '!Z15*100),0,B38*3.6/1000000/'E Balans VL '!Z15*100)</f>
        <v>1.4818199153671238E-3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1302.70901</v>
      </c>
      <c r="C5" s="17">
        <f>'Eigen informatie GS &amp; warmtenet'!B64</f>
        <v>0</v>
      </c>
      <c r="D5" s="30">
        <f>IF(ISERROR(SUM(LB_lb_gas_kWh,LB_rest_gas_kWh)/1000),0,SUM(LB_lb_gas_kWh,LB_rest_gas_kWh)/1000)*0.903</f>
        <v>110.81333361</v>
      </c>
      <c r="E5" s="17">
        <f>B18*'E Balans VL '!I25/3.6*1000000/100</f>
        <v>50.986835909370811</v>
      </c>
      <c r="F5" s="17">
        <f>B18*('E Balans VL '!L25/3.6*1000000+'E Balans VL '!N25/3.6*1000000)/100</f>
        <v>5161.6354253523268</v>
      </c>
      <c r="G5" s="17" t="s">
        <v>637</v>
      </c>
      <c r="H5" s="17">
        <f>D18*('E Balans VL '!J25/3.6*1000000)/100</f>
        <v>0</v>
      </c>
      <c r="I5" s="17" t="s">
        <v>637</v>
      </c>
      <c r="J5" s="17">
        <f>('E Balans VL '!D25+'E Balans VL '!E25)/3.6*1000000*landbouw!B18/100</f>
        <v>164.16173815987989</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101.24490349878423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1403.9539134987842</v>
      </c>
      <c r="C9" s="21">
        <f>C5+C6</f>
        <v>0</v>
      </c>
      <c r="D9" s="21">
        <f>MAX((D5+D6),0)</f>
        <v>110.81333361</v>
      </c>
      <c r="E9" s="21">
        <f>MAX((E5+E6),0)</f>
        <v>50.986835909370811</v>
      </c>
      <c r="F9" s="21">
        <f>MAX((F5+F6),0)</f>
        <v>5161.6354253523268</v>
      </c>
      <c r="G9" s="21" t="s">
        <v>637</v>
      </c>
      <c r="H9" s="21" t="s">
        <v>637</v>
      </c>
      <c r="I9" s="21" t="s">
        <v>637</v>
      </c>
      <c r="J9" s="21">
        <f>MAX((J5+J6),0)</f>
        <v>164.16173815987989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0.17845588708811932</v>
      </c>
      <c r="C11" s="31">
        <f>'EF ele_warmte'!B23</f>
        <v>0.2447225655459187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250.5438410642623</v>
      </c>
      <c r="C13" s="23">
        <f>C9*C11</f>
        <v>0</v>
      </c>
      <c r="D13" s="23">
        <f>D9*D11</f>
        <v>22.384293389220002</v>
      </c>
      <c r="E13" s="23">
        <f>E9*E11</f>
        <v>11.574011751427175</v>
      </c>
      <c r="F13" s="23">
        <f>F9*F11</f>
        <v>1378.1566585690714</v>
      </c>
      <c r="G13" s="23" t="s">
        <v>637</v>
      </c>
      <c r="H13" s="23" t="s">
        <v>637</v>
      </c>
      <c r="I13" s="23" t="s">
        <v>637</v>
      </c>
      <c r="J13" s="23">
        <f>J9*J11</f>
        <v>58.113255308597481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0.22516325324825393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216.35993933993865</v>
      </c>
      <c r="C26" s="222">
        <f>B26*'GWP N2O_CH4'!B5</f>
        <v>6058.0783015182824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47.749387382523835</v>
      </c>
      <c r="C27" s="222">
        <f>B27*'GWP N2O_CH4'!B5</f>
        <v>1336.9828467106674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2.9342057934458907</v>
      </c>
      <c r="C28" s="222">
        <f>B28*'GWP N2O_CH4'!B4</f>
        <v>777.56453526316102</v>
      </c>
      <c r="D28" s="50"/>
    </row>
    <row r="29" spans="1:4">
      <c r="A29" s="41" t="s">
        <v>241</v>
      </c>
      <c r="B29" s="222">
        <f>B34*'ha_N2O bodem landbouw'!B4</f>
        <v>19.817529022838507</v>
      </c>
      <c r="C29" s="222">
        <f>B29*'GWP N2O_CH4'!B4</f>
        <v>5251.6451910522046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4.8196161489526138E-3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1.2907014429111281E-2</v>
      </c>
      <c r="C5" s="922" t="s">
        <v>667</v>
      </c>
      <c r="D5" s="924">
        <f>SUM(D6:D11)</f>
        <v>3.2319764692274595E-3</v>
      </c>
      <c r="E5" s="924">
        <f>SUM(E6:E11)</f>
        <v>1.5211387262439497E-3</v>
      </c>
      <c r="F5" s="923" t="s">
        <v>667</v>
      </c>
      <c r="G5" s="924">
        <f>SUM(G6:G11)</f>
        <v>0.61454302457787402</v>
      </c>
      <c r="H5" s="924">
        <f>SUM(H6:H11)</f>
        <v>0.23346348670902775</v>
      </c>
      <c r="I5" s="922" t="s">
        <v>667</v>
      </c>
      <c r="J5" s="922" t="s">
        <v>667</v>
      </c>
      <c r="K5" s="922" t="s">
        <v>667</v>
      </c>
      <c r="L5" s="922" t="s">
        <v>667</v>
      </c>
      <c r="M5" s="922" t="s">
        <v>667</v>
      </c>
      <c r="N5" s="924">
        <f>SUM(N6:N11)</f>
        <v>9.2338775635897305E-2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6.9647183424988972E-3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1.8118315534219991E-3</v>
      </c>
      <c r="E6" s="926">
        <f>vkm_GW_PW*SUMIFS(TableVerdeelsleutelVkm[LPG],TableVerdeelsleutelVkm[Voertuigtype],"Lichte voertuigen")*SUMIFS(TableECFTransport[EnergieConsumptieFactor (PJ per km)],TableECFTransport[Index],CONCATENATE($A6,"_LPG_LPG"))</f>
        <v>8.4512449133260909E-4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0.18363687436533693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0.13216519918018105</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3.2609205371015672E-2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1.1028546316750997E-5</v>
      </c>
      <c r="C7" s="926"/>
      <c r="D7" s="926">
        <f>vkm_GW_ZV*SUMIFS(TableVerdeelsleutelVkm[CNG],TableVerdeelsleutelVkm[Voertuigtype],"Zware voertuigen")*SUMIFS(TableECFTransport[EnergieConsumptieFactor (PJ per km)],TableECFTransport[Index],CONCATENATE($A7,"_CNG_CNG"))</f>
        <v>1.4982063547026766E-7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0.10703886440032806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3.4571391166448204E-7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1.2814184649707086E-2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2.6183976225801209E-3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9.4071574209270191E-4</v>
      </c>
      <c r="E8" s="927">
        <f>vkm_NGW_PW*SUMIFS(TableVerdeelsleutelVkm[LPG],TableVerdeelsleutelVkm[Voertuigtype],"Lichte voertuigen")*SUMIFS(TableECFTransport[EnergieConsumptieFactor (PJ per km)],TableECFTransport[Index],CONCATENATE($A8,"_LPG_LPG"))</f>
        <v>3.886606753732438E-4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7.903448338156556E-2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6.2028698964332371E-2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1.4448267700199038E-2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1.9688462385109001E-6</v>
      </c>
      <c r="C9" s="926"/>
      <c r="D9" s="927">
        <f>vkm_NGW_ZV*SUMIFS(TableVerdeelsleutelVkm[CNG],TableVerdeelsleutelVkm[Voertuigtype],"Zware voertuigen")*SUMIFS(TableECFTransport[EnergieConsumptieFactor (PJ per km)],TableECFTransport[Index],CONCATENATE($A9,"_CNG_CNG"))</f>
        <v>3.4724314705444582E-8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2.480867339458068E-2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7.449494967889109E-8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2.9699761400571981E-3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3.2928252378019961E-3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4.7901623636076432E-4</v>
      </c>
      <c r="E10" s="927">
        <f>vkm_SW_PW*SUMIFS(TableVerdeelsleutelVkm[LPG],TableVerdeelsleutelVkm[Voertuigtype],"Lichte voertuigen")*SUMIFS(TableECFTransport[EnergieConsumptieFactor (PJ per km)],TableECFTransport[Index],CONCATENATE($A10,"_LPG_LPG"))</f>
        <v>2.8735355953809686E-4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5.6849922414920574E-2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3.926858514243204E-2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9.9626959548870866E-3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1.8075833675004561E-5</v>
      </c>
      <c r="C11" s="929"/>
      <c r="D11" s="930">
        <f>vkm_SW_ZV*SUMIFS(TableVerdeelsleutelVkm[CNG],TableVerdeelsleutelVkm[Voertuigtype],"Zware voertuigen")*SUMIFS(TableECFTransport[EnergieConsumptieFactor (PJ per km)],TableECFTransport[Index],CONCATENATE($A11,"_CNG_CNG"))</f>
        <v>2.2839240181869255E-7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0.16317420662114215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5.8321322093897348E-7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1.9534445820031235E-2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3585.2817858642447</v>
      </c>
      <c r="C14" s="21" t="s">
        <v>667</v>
      </c>
      <c r="D14" s="21">
        <f>MAX(((D5)*10^9/3600)+D12,0)</f>
        <v>897.7712414520721</v>
      </c>
      <c r="E14" s="21">
        <f>MAX(((E5)*10^9/3600)+E12,0)</f>
        <v>422.5385350677638</v>
      </c>
      <c r="F14" s="21" t="s">
        <v>667</v>
      </c>
      <c r="G14" s="21">
        <f>MAX(((G5)*10^9/3600)+G12,0)</f>
        <v>170706.39571607613</v>
      </c>
      <c r="H14" s="21">
        <f>MAX(((H5)*10^9/3600)+H12,0)</f>
        <v>64850.968530285485</v>
      </c>
      <c r="I14" s="21" t="s">
        <v>667</v>
      </c>
      <c r="J14" s="21" t="s">
        <v>667</v>
      </c>
      <c r="K14" s="21" t="s">
        <v>667</v>
      </c>
      <c r="L14" s="882" t="s">
        <v>667</v>
      </c>
      <c r="M14" s="21" t="s">
        <v>667</v>
      </c>
      <c r="N14" s="21">
        <f>MAX(((N5)*10^9/3600)+N12,0)</f>
        <v>25649.659898860362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0.17845588708811932</v>
      </c>
      <c r="C16" s="55">
        <f>'EF ele_warmte'!B23</f>
        <v>0.2447225655459187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639.81464155728042</v>
      </c>
      <c r="C18" s="23" t="s">
        <v>667</v>
      </c>
      <c r="D18" s="23">
        <f t="shared" ref="D18:N18" si="0">D14*D16</f>
        <v>181.34979077331857</v>
      </c>
      <c r="E18" s="23">
        <f>E14*E16</f>
        <v>95.91624746038238</v>
      </c>
      <c r="F18" s="23" t="s">
        <v>667</v>
      </c>
      <c r="G18" s="23">
        <f t="shared" si="0"/>
        <v>45578.607656192333</v>
      </c>
      <c r="H18" s="23">
        <f t="shared" si="0"/>
        <v>16147.891164041086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2.2243835689471475E-4</v>
      </c>
      <c r="C50" s="937" t="s">
        <v>667</v>
      </c>
      <c r="D50" s="937" t="s">
        <v>667</v>
      </c>
      <c r="E50" s="937" t="s">
        <v>667</v>
      </c>
      <c r="F50" s="937" t="s">
        <v>667</v>
      </c>
      <c r="G50" s="937">
        <f t="shared" ref="G50:N50" si="1">SUM(G51:G52)</f>
        <v>8.2001568370929576E-3</v>
      </c>
      <c r="H50" s="937" t="s">
        <v>667</v>
      </c>
      <c r="I50" s="937" t="s">
        <v>667</v>
      </c>
      <c r="J50" s="937" t="s">
        <v>667</v>
      </c>
      <c r="K50" s="937" t="s">
        <v>667</v>
      </c>
      <c r="L50" s="937" t="s">
        <v>667</v>
      </c>
      <c r="M50" s="937" t="s">
        <v>667</v>
      </c>
      <c r="N50" s="937">
        <f t="shared" si="1"/>
        <v>9.8168171485934672E-4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2.2243835689471475E-4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8.2001568370929576E-3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9.8168171485934672E-4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61.788432470754103</v>
      </c>
      <c r="C54" s="21" t="s">
        <v>667</v>
      </c>
      <c r="D54" s="21" t="s">
        <v>667</v>
      </c>
      <c r="E54" s="21" t="s">
        <v>667</v>
      </c>
      <c r="F54" s="21" t="s">
        <v>667</v>
      </c>
      <c r="G54" s="21">
        <f t="shared" ref="G54:N54" si="2">(G50)*10^9/3600</f>
        <v>2277.8213436369329</v>
      </c>
      <c r="H54" s="21" t="s">
        <v>667</v>
      </c>
      <c r="I54" s="21" t="s">
        <v>667</v>
      </c>
      <c r="J54" s="21" t="s">
        <v>667</v>
      </c>
      <c r="K54" s="21" t="s">
        <v>667</v>
      </c>
      <c r="L54" s="21" t="s">
        <v>667</v>
      </c>
      <c r="M54" s="21" t="s">
        <v>667</v>
      </c>
      <c r="N54" s="21">
        <f t="shared" si="2"/>
        <v>272.68936523870741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0.17845588708811932</v>
      </c>
      <c r="C56" s="55">
        <f>'EF ele_warmte'!B23</f>
        <v>0.2447225655459187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11.026509528352779</v>
      </c>
      <c r="C58" s="23" t="s">
        <v>667</v>
      </c>
      <c r="D58" s="23" t="s">
        <v>667</v>
      </c>
      <c r="E58" s="23" t="s">
        <v>667</v>
      </c>
      <c r="F58" s="23" t="s">
        <v>667</v>
      </c>
      <c r="G58" s="23">
        <f t="shared" ref="G58:N58" si="3">G54*G56</f>
        <v>608.17829875106111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12440.031249246989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28576.786625070454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3680.6282162944503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4426.0044644108666</v>
      </c>
      <c r="D8" s="446">
        <f>J45</f>
        <v>29.426775776570238</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900.73277991227656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44697.446090611891</v>
      </c>
      <c r="C10" s="456">
        <f t="shared" ref="C10:M10" si="0">SUM(C8:C9)</f>
        <v>4426.0044644108666</v>
      </c>
      <c r="D10" s="456">
        <f t="shared" si="0"/>
        <v>29.426775776570238</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900.73277991227656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4517.9841328263547</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5432.9361095207041</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36.121471179893625</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1105.6526680810182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4517.9841328263547</v>
      </c>
      <c r="C20" s="455">
        <f>SUM(C17:C19)</f>
        <v>5432.9361095207041</v>
      </c>
      <c r="D20" s="455">
        <f t="shared" ref="D20:K20" si="2">SUM(D17:D19)</f>
        <v>36.121471179893625</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1105.6526680810182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13025</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334</v>
      </c>
    </row>
    <row r="29" spans="1:27" s="484" customFormat="1" ht="12.75">
      <c r="A29" s="483"/>
      <c r="B29" s="619">
        <v>13025</v>
      </c>
      <c r="C29" s="619"/>
      <c r="D29" s="526"/>
      <c r="E29" s="525"/>
      <c r="F29" s="525"/>
      <c r="G29" s="525"/>
      <c r="H29" s="525"/>
      <c r="I29" s="525"/>
      <c r="J29" s="618"/>
      <c r="K29" s="618"/>
      <c r="L29" s="525"/>
      <c r="M29" s="525">
        <v>8.347999999999999</v>
      </c>
      <c r="N29" s="525">
        <v>37.441216002995297</v>
      </c>
      <c r="O29" s="525">
        <v>64.467091217592483</v>
      </c>
      <c r="P29" s="525">
        <v>44.71777678929142</v>
      </c>
      <c r="Q29" s="525">
        <v>0</v>
      </c>
      <c r="R29" s="525">
        <v>0</v>
      </c>
      <c r="S29" s="525">
        <v>0</v>
      </c>
      <c r="T29" s="525">
        <v>0</v>
      </c>
      <c r="U29" s="525">
        <v>0</v>
      </c>
      <c r="V29" s="525">
        <v>0</v>
      </c>
      <c r="W29" s="525">
        <v>0</v>
      </c>
      <c r="X29" s="525">
        <v>65.548246956463871</v>
      </c>
      <c r="Y29" s="525">
        <v>0</v>
      </c>
      <c r="Z29" s="525"/>
      <c r="AA29" s="527" t="s">
        <v>135</v>
      </c>
    </row>
    <row r="30" spans="1:27" s="484" customFormat="1" ht="12.75">
      <c r="A30" s="483"/>
      <c r="B30" s="619">
        <v>13025</v>
      </c>
      <c r="C30" s="619"/>
      <c r="D30" s="526"/>
      <c r="E30" s="525"/>
      <c r="F30" s="525"/>
      <c r="G30" s="525"/>
      <c r="H30" s="525"/>
      <c r="I30" s="525"/>
      <c r="J30" s="618"/>
      <c r="K30" s="618"/>
      <c r="L30" s="525"/>
      <c r="M30" s="525">
        <v>625.45000000000005</v>
      </c>
      <c r="N30" s="525">
        <v>3619.049000289524</v>
      </c>
      <c r="O30" s="525">
        <v>4439.3560816076297</v>
      </c>
      <c r="P30" s="525">
        <v>9769.3261171386894</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636.798</v>
      </c>
      <c r="N31" s="487">
        <f>SUM(N28:N30)</f>
        <v>3680.6282162944503</v>
      </c>
      <c r="O31" s="487">
        <f>SUM(O28:O30)</f>
        <v>4517.9841328263547</v>
      </c>
      <c r="P31" s="487">
        <f>SUM(P28:P30)</f>
        <v>9858.9405739315716</v>
      </c>
      <c r="Q31" s="487">
        <f>SUM(Q28:Q30)</f>
        <v>0</v>
      </c>
      <c r="R31" s="487">
        <f>SUM(R28:R30)</f>
        <v>0</v>
      </c>
      <c r="S31" s="487">
        <f>SUM(S28:S30)</f>
        <v>0</v>
      </c>
      <c r="T31" s="487">
        <f>SUM(T28:T30)</f>
        <v>0</v>
      </c>
      <c r="U31" s="487">
        <f>SUM(U28:U30)</f>
        <v>0</v>
      </c>
      <c r="V31" s="487">
        <f>SUM(V28:V30)</f>
        <v>0</v>
      </c>
      <c r="W31" s="487">
        <f>SUM(W28:W30)</f>
        <v>0</v>
      </c>
      <c r="X31" s="487">
        <f>SUM(X28:X30)</f>
        <v>65.548246956463871</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8.347999999999999</v>
      </c>
      <c r="N32" s="487">
        <f>SUMIF($AA$28:$AA$30,"huishoudens",N28:N30)</f>
        <v>37.441216002995297</v>
      </c>
      <c r="O32" s="487">
        <f>SUMIF($AA$28:$AA$30,"huishoudens",O28:O30)</f>
        <v>64.467091217592483</v>
      </c>
      <c r="P32" s="487">
        <f>SUMIF($AA$28:$AA$30,"huishoudens",P28:P30)</f>
        <v>44.71777678929142</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65.548246956463871</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3</v>
      </c>
      <c r="N33" s="487">
        <f>SUMIF($AA$28:$AA$30,"industrie",N28:N30)</f>
        <v>24.13800000193104</v>
      </c>
      <c r="O33" s="487">
        <f>SUMIF($AA$28:$AA$30,"industrie",O28:O30)</f>
        <v>14.160960001132878</v>
      </c>
      <c r="P33" s="487">
        <f>SUMIF($AA$28:$AA$30,"industrie",P28:P30)</f>
        <v>44.89668000359174</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625.45000000000005</v>
      </c>
      <c r="N34" s="487">
        <f>SUMIF($AA$28:$AA$30,"tertiair",N28:N30)</f>
        <v>3619.049000289524</v>
      </c>
      <c r="O34" s="487">
        <f>SUMIF($AA$28:$AA$30,"tertiair",O28:O30)</f>
        <v>4439.3560816076297</v>
      </c>
      <c r="P34" s="487">
        <f>SUMIF($AA$28:$AA$30,"tertiair",P28:P30)</f>
        <v>9769.3261171386894</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0.55106692943115543</v>
      </c>
      <c r="C42" s="510">
        <f>IF(ISERROR(N31/(O31+N31)),0,N31/(N31+O31))</f>
        <v>0.44893307056884446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4426.0044644108666</v>
      </c>
      <c r="C45" s="519">
        <f t="shared" si="3"/>
        <v>0</v>
      </c>
      <c r="D45" s="519">
        <f t="shared" si="3"/>
        <v>0</v>
      </c>
      <c r="E45" s="519">
        <f t="shared" si="3"/>
        <v>0</v>
      </c>
      <c r="F45" s="519">
        <f t="shared" si="3"/>
        <v>0</v>
      </c>
      <c r="G45" s="519">
        <f t="shared" si="3"/>
        <v>0</v>
      </c>
      <c r="H45" s="519">
        <f t="shared" si="3"/>
        <v>0</v>
      </c>
      <c r="I45" s="519">
        <f t="shared" si="3"/>
        <v>0</v>
      </c>
      <c r="J45" s="519">
        <f t="shared" si="3"/>
        <v>29.426775776570238</v>
      </c>
      <c r="K45" s="480"/>
      <c r="L45" s="515"/>
      <c r="M45" s="515"/>
      <c r="N45" s="515"/>
      <c r="O45" s="502"/>
      <c r="P45" s="502"/>
    </row>
    <row r="46" spans="1:28" ht="15.75" thickBot="1">
      <c r="A46" s="520" t="s">
        <v>247</v>
      </c>
      <c r="B46" s="521">
        <f t="shared" ref="B46:J46" si="4">$B$42*P31</f>
        <v>5432.9361095207041</v>
      </c>
      <c r="C46" s="521">
        <f t="shared" si="4"/>
        <v>0</v>
      </c>
      <c r="D46" s="521">
        <f t="shared" si="4"/>
        <v>0</v>
      </c>
      <c r="E46" s="521">
        <f t="shared" si="4"/>
        <v>0</v>
      </c>
      <c r="F46" s="521">
        <f t="shared" si="4"/>
        <v>0</v>
      </c>
      <c r="G46" s="521">
        <f t="shared" si="4"/>
        <v>0</v>
      </c>
      <c r="H46" s="521">
        <f t="shared" si="4"/>
        <v>0</v>
      </c>
      <c r="I46" s="521">
        <f t="shared" si="4"/>
        <v>0</v>
      </c>
      <c r="J46" s="521">
        <f t="shared" si="4"/>
        <v>36.121471179893625</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2024-08-06T13:04:14Z</dcterms:modified>
</cp:coreProperties>
</file>