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A45A7D8-9195-4225-AA98-EA888CA7552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B7" i="15"/>
  <c r="C36" i="16"/>
  <c r="E13" i="16" s="1"/>
  <c r="O115" i="14"/>
  <c r="C42" i="18"/>
  <c r="B42" i="18"/>
  <c r="O13"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F21" i="15" s="1"/>
  <c r="G61" i="14" s="1"/>
  <c r="G59"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F33" i="48" s="1"/>
  <c r="O31" i="14"/>
  <c r="O30" i="14" s="1"/>
  <c r="O37" i="14" s="1"/>
  <c r="O42" i="14"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15" i="48"/>
  <c r="R8" i="48"/>
  <c r="S17" i="14"/>
  <c r="E15" i="48"/>
  <c r="R9" i="48" l="1"/>
  <c r="R15" i="48"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2" i="59"/>
  <c r="C29" i="20"/>
  <c r="C56" i="22"/>
  <c r="C11" i="17"/>
  <c r="C13" i="17" s="1"/>
  <c r="D85" i="14" s="1"/>
  <c r="D87" i="14" s="1"/>
  <c r="C19" i="15"/>
  <c r="C21" i="15" s="1"/>
  <c r="D61" i="14" s="1"/>
  <c r="D59" i="14" s="1"/>
  <c r="B4" i="6"/>
  <c r="D72" i="14" l="1"/>
  <c r="D71" i="14" s="1"/>
  <c r="D83" i="14" s="1"/>
  <c r="D88" i="14" s="1"/>
  <c r="D90" i="14" s="1"/>
  <c r="D73" i="14"/>
  <c r="C17" i="48"/>
  <c r="C13" i="13"/>
  <c r="D62" i="14" s="1"/>
  <c r="D66" i="14" s="1"/>
  <c r="B13" i="6"/>
  <c r="B56" i="22" s="1"/>
  <c r="C30" i="48" l="1"/>
  <c r="C31" i="48"/>
  <c r="C22" i="48"/>
  <c r="C26" i="48"/>
  <c r="C23" i="48"/>
  <c r="C25" i="48"/>
  <c r="C32" i="48"/>
  <c r="C24" i="48"/>
  <c r="C29" i="48"/>
  <c r="C27"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<sst xmlns="http://schemas.openxmlformats.org/spreadsheetml/2006/main" count="3029" uniqueCount="783">
  <si>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</si>
  <si>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</si>
  <si>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</si>
  <si>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</si>
  <si>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</si>
  <si>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</si>
  <si>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</si>
  <si>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</si>
  <si>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</si>
  <si>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</si>
  <si>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</si>
  <si>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</si>
  <si>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</si>
  <si>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</si>
  <si>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</si>
  <si>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</si>
  <si>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</si>
  <si>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</si>
  <si>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</si>
  <si>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</si>
  <si>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</si>
  <si>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</si>
  <si>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</si>
  <si>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</si>
  <si>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</si>
  <si>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</si>
  <si>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</si>
  <si>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</si>
  <si>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</si>
  <si>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</si>
  <si>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</si>
  <si>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</si>
  <si>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</si>
  <si>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</si>
  <si>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</si>
  <si>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</si>
  <si>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</si>
  <si>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</si>
  <si>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</si>
  <si>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</si>
  <si>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</si>
  <si>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</si>
  <si>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</si>
  <si>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</si>
  <si>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</si>
  <si>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</si>
  <si>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</si>
  <si>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</si>
  <si>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</si>
  <si>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</si>
  <si>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</si>
  <si>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</si>
  <si>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</si>
  <si>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</si>
  <si>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</si>
  <si>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</si>
  <si>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</si>
  <si>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</si>
  <si>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</si>
  <si>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</si>
  <si>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</si>
  <si>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</si>
  <si>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</si>
  <si>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</si>
  <si>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</si>
  <si>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</si>
  <si>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</si>
  <si>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</si>
  <si>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</si>
  <si>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</si>
  <si>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</si>
  <si>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</si>
  <si>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</si>
  <si>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</si>
  <si>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</si>
  <si>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</si>
  <si>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</si>
  <si>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</si>
  <si>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</si>
  <si>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</si>
  <si>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</si>
  <si>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</si>
  <si>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</si>
  <si>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</si>
  <si>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</si>
  <si>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</si>
  <si>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</si>
  <si>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</si>
  <si>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</si>
  <si>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</si>
  <si>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</si>
  <si>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</si>
  <si>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</si>
  <si>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</si>
  <si>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</si>
  <si>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</si>
  <si>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</si>
  <si>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</si>
  <si>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</si>
  <si>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</si>
  <si>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</si>
  <si>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</si>
  <si>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</si>
  <si>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</si>
  <si>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</si>
  <si>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</si>
  <si>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</si>
  <si>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</si>
  <si>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</si>
  <si>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</si>
  <si>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</si>
  <si>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</si>
  <si>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</si>
  <si>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</si>
  <si>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</si>
  <si>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</si>
  <si>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</si>
  <si>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</si>
  <si>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</si>
  <si>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</si>
  <si>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</si>
  <si>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</si>
  <si>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</si>
  <si>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</si>
  <si>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</si>
  <si>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</si>
  <si>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</si>
  <si>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</si>
  <si>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</si>
  <si>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</si>
  <si>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</si>
  <si>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</si>
  <si>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</si>
  <si>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</si>
  <si>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</si>
  <si>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</si>
  <si>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</si>
  <si>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</si>
  <si>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</si>
  <si>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</si>
  <si>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</si>
  <si>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</si>
  <si>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</si>
  <si>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</si>
  <si>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</si>
  <si>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</si>
  <si>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</si>
  <si>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</si>
  <si>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</si>
  <si>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</si>
  <si>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</si>
  <si>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</si>
  <si>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</si>
  <si>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</si>
  <si>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</si>
  <si>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</si>
  <si>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</si>
  <si>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</si>
  <si>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</si>
  <si>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</si>
  <si>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</si>
  <si>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</si>
  <si>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</si>
  <si>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</si>
  <si>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</si>
  <si>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</si>
  <si>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</si>
  <si>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</si>
  <si>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</si>
  <si>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</si>
  <si>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</si>
  <si>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</si>
  <si>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</si>
  <si>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</si>
  <si>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</si>
  <si>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</si>
  <si>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</si>
  <si>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</si>
  <si>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</si>
  <si>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</si>
  <si>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</si>
  <si>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</si>
  <si>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</si>
  <si>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</si>
  <si>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</si>
  <si>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</si>
  <si>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</si>
  <si>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</si>
  <si>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</si>
  <si>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</si>
  <si>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</si>
  <si>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</si>
  <si>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</si>
  <si>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</si>
  <si>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</si>
  <si>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</si>
  <si>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</si>
  <si>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</si>
  <si>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</si>
  <si>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</si>
  <si>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</si>
  <si>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</si>
  <si>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</si>
  <si>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</si>
  <si>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</si>
  <si>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</si>
  <si>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</si>
  <si>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</si>
  <si>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</si>
  <si>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</si>
  <si>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</si>
  <si>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</si>
  <si>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</si>
  <si>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</si>
  <si>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</si>
  <si>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</si>
  <si>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</si>
  <si>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</si>
  <si>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</si>
  <si>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</si>
  <si>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</si>
  <si>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</si>
  <si>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</si>
  <si>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</si>
  <si>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</si>
  <si>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</si>
  <si>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</si>
  <si>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</si>
  <si>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</si>
  <si>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</si>
  <si>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</si>
  <si>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</si>
  <si>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</si>
  <si>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</si>
  <si>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</si>
  <si>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</si>
  <si>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</si>
  <si>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</si>
  <si>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</si>
  <si>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</si>
  <si>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</si>
  <si>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</si>
  <si>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</si>
  <si>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</si>
  <si>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</si>
  <si>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</si>
  <si>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</si>
  <si>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</si>
  <si>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</si>
  <si>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</si>
  <si>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</si>
  <si>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</si>
  <si>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</si>
  <si>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</si>
  <si>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</si>
  <si>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</si>
  <si>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</si>
  <si>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</si>
  <si>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</si>
  <si>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</si>
  <si>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</si>
  <si>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</si>
  <si>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</si>
  <si>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</si>
  <si>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</si>
  <si>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</si>
  <si>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</si>
  <si>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</si>
  <si>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</si>
  <si>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</si>
  <si>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</si>
  <si>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</si>
  <si>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</si>
  <si>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</si>
  <si>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</si>
  <si>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</si>
  <si>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</si>
  <si>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</si>
  <si>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</si>
  <si>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</si>
  <si>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</si>
  <si>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</si>
  <si>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</si>
  <si>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</si>
  <si>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</si>
  <si>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</si>
  <si>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</si>
  <si>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</si>
  <si>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</si>
  <si>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</si>
  <si>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</si>
  <si>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</si>
  <si>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</si>
  <si>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</si>
  <si>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</si>
  <si>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</si>
  <si>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</si>
  <si>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</si>
  <si>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</si>
  <si>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</si>
  <si>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</si>
  <si>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</si>
  <si>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</si>
  <si>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</si>
  <si>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</si>
  <si>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</si>
  <si>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</si>
  <si>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</si>
  <si>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</si>
  <si>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</si>
  <si>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</si>
  <si>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</si>
  <si>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</si>
  <si>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</si>
  <si>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</si>
  <si>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</si>
  <si>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</si>
  <si>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</si>
  <si>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</si>
  <si>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</si>
  <si>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</si>
  <si>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</si>
  <si>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</si>
  <si>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</si>
  <si>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</si>
  <si>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</si>
  <si>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</si>
  <si>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</si>
  <si>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</si>
  <si>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</si>
  <si>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</si>
  <si>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</si>
  <si>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</si>
  <si>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</si>
  <si>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</si>
  <si>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</si>
  <si>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</si>
  <si>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</si>
  <si>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</si>
  <si>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</si>
  <si>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</si>
  <si>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</si>
  <si>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</si>
  <si>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</si>
  <si>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</si>
  <si>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</si>
  <si>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</si>
  <si>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</si>
  <si>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</si>
  <si>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</si>
  <si>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</si>
  <si>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</si>
  <si>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</si>
  <si>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</si>
  <si>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</si>
  <si>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</si>
  <si>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</si>
  <si>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</si>
  <si>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</si>
  <si>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</si>
  <si>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</si>
  <si>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</si>
  <si>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</si>
  <si>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</si>
  <si>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</si>
  <si>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</si>
  <si>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</si>
  <si>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</si>
  <si>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</si>
  <si>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</si>
  <si>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</si>
  <si>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</si>
  <si>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</si>
  <si>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</si>
  <si>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</si>
  <si>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</si>
  <si>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</si>
  <si>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</si>
  <si>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</si>
  <si>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</si>
  <si>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</si>
  <si>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</si>
  <si>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</si>
  <si>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</si>
  <si>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</si>
  <si>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</si>
  <si>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</si>
  <si>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</si>
  <si>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</si>
  <si>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</si>
  <si>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</si>
  <si>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</si>
  <si>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</si>
  <si>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</si>
  <si>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</si>
  <si>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</si>
  <si>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</si>
  <si>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</si>
  <si>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</si>
  <si>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</si>
  <si>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</si>
  <si>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</si>
  <si>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</si>
  <si>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</si>
  <si>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</si>
  <si>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</si>
  <si>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</si>
  <si>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</si>
  <si>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</si>
  <si>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</si>
  <si>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</si>
  <si>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</si>
  <si>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</si>
  <si>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</si>
  <si>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</si>
  <si>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</si>
  <si>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</si>
  <si>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</si>
  <si>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</si>
  <si>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</si>
  <si>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</si>
  <si>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</si>
  <si>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</si>
  <si>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</si>
  <si>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</si>
  <si>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</si>
  <si>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</si>
  <si>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</si>
  <si>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</si>
  <si>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</si>
  <si>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</si>
  <si>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</si>
  <si>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</si>
  <si>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</si>
  <si>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</si>
  <si>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</si>
  <si>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</si>
  <si>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</si>
  <si>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</si>
  <si>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</si>
  <si>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</si>
  <si>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</si>
  <si>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</si>
  <si>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</si>
  <si>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</si>
  <si>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</si>
  <si>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</si>
  <si>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</si>
  <si>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</si>
  <si>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</si>
  <si>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</si>
  <si>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</si>
  <si>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</si>
  <si>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</si>
  <si>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</si>
  <si>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</si>
  <si>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</si>
  <si>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</si>
  <si>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</si>
  <si>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</si>
  <si>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</si>
  <si>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</si>
  <si>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</si>
  <si>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</si>
  <si>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</si>
  <si>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</si>
  <si>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</si>
  <si>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</si>
  <si>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</si>
  <si>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</si>
  <si>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</si>
  <si>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</si>
  <si>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</si>
  <si>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</si>
  <si>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</si>
  <si>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</si>
  <si>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</si>
  <si>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</si>
  <si>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</si>
  <si>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</si>
  <si>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</si>
  <si>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</si>
  <si>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</si>
  <si>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</si>
  <si>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</si>
  <si>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</si>
  <si>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</si>
  <si>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</si>
  <si>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</si>
  <si>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</si>
  <si>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</si>
  <si>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</si>
  <si>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</si>
  <si>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</si>
  <si>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</si>
  <si>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</si>
  <si>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</si>
  <si>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</si>
  <si>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</si>
  <si>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</si>
  <si>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</si>
  <si>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</si>
  <si>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</si>
  <si>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</si>
  <si>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</si>
  <si>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</si>
  <si>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</si>
  <si>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</si>
  <si>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</si>
  <si>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</si>
  <si>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</si>
  <si>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</si>
  <si>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</si>
  <si>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</si>
  <si>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</si>
  <si>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</si>
  <si>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</si>
  <si>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</si>
  <si>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</si>
  <si>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</si>
  <si>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</si>
  <si>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</si>
  <si>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</si>
  <si>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</si>
  <si>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</si>
  <si>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</si>
  <si>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</si>
  <si>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</si>
  <si>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</si>
  <si>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</si>
  <si>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</si>
  <si>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</si>
  <si>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</si>
  <si>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</si>
  <si>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</si>
  <si>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</si>
  <si>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</si>
  <si>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</si>
  <si>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</si>
  <si>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</si>
  <si>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</si>
  <si>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</si>
  <si>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</si>
  <si>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</si>
  <si>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</si>
  <si>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</si>
  <si>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</si>
  <si>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</si>
  <si>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</si>
  <si>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</si>
  <si>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</si>
  <si>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</si>
  <si>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</si>
  <si>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</si>
  <si>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</si>
  <si>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</si>
  <si>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</si>
  <si>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</si>
  <si>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</si>
  <si>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</si>
  <si>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</si>
  <si>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</si>
  <si>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</si>
  <si>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</si>
  <si>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</si>
  <si>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</si>
  <si>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</si>
  <si>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</si>
  <si>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</si>
  <si>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</si>
  <si>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</si>
  <si>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</si>
  <si>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</si>
  <si>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</si>
  <si>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</si>
  <si>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</si>
  <si>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</si>
  <si>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</si>
  <si>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</si>
  <si>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</si>
  <si>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</si>
  <si>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</si>
  <si>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</si>
  <si>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</si>
  <si>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</si>
  <si>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</si>
  <si>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</si>
  <si>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</si>
  <si>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</si>
  <si>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</si>
  <si>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</si>
  <si>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</si>
  <si>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</si>
  <si>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</si>
  <si>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</si>
  <si>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</si>
  <si>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</si>
  <si>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</si>
  <si>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</si>
  <si>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</si>
  <si>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</si>
  <si>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</si>
  <si>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</si>
  <si>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</si>
  <si>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</si>
  <si>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</si>
  <si>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</si>
  <si>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</si>
  <si>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</si>
  <si>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</si>
  <si>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</si>
  <si>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</si>
  <si>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</si>
  <si>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</si>
  <si>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</si>
  <si>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</si>
  <si>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</si>
  <si>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</si>
  <si>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</si>
  <si>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</si>
  <si>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</si>
  <si>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</si>
  <si>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</si>
  <si>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</si>
  <si>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</si>
  <si>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</si>
  <si>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</si>
  <si>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</si>
  <si>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</si>
  <si>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</si>
  <si>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</si>
  <si>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</si>
  <si>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</si>
  <si>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</si>
  <si>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</si>
  <si>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</si>
  <si>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</si>
  <si>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</si>
  <si>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</si>
  <si>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</si>
  <si>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</si>
  <si>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</si>
  <si>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</si>
  <si>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</si>
  <si>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</si>
  <si>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</si>
  <si>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</si>
  <si>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</si>
  <si>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</si>
  <si>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</si>
  <si>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</si>
  <si>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</si>
  <si>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</si>
  <si>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</si>
  <si>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</si>
  <si>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</si>
  <si>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</si>
  <si>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</si>
  <si>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</si>
  <si>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</si>
  <si>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</si>
  <si>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</si>
  <si>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</si>
  <si>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</si>
  <si>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</si>
  <si>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</si>
  <si>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</si>
  <si>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</si>
  <si>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</si>
  <si>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</si>
  <si>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</si>
  <si>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</si>
  <si>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</si>
  <si>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</si>
  <si>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</si>
  <si>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</si>
  <si>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</si>
  <si>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</si>
  <si>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</si>
  <si>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</si>
  <si>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</si>
  <si>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</si>
  <si>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</si>
  <si>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</si>
  <si>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</si>
  <si>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</si>
  <si>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</si>
  <si>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</si>
  <si>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</si>
  <si>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</si>
  <si>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</si>
  <si>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</si>
  <si>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</si>
  <si>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</si>
  <si>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</si>
  <si>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</si>
  <si>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</si>
  <si>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</si>
  <si>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</si>
  <si>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</si>
  <si>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</si>
  <si>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</si>
  <si>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</si>
  <si>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</si>
  <si>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</si>
  <si>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</si>
  <si>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</si>
  <si>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</si>
  <si>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</si>
  <si>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</si>
  <si>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</si>
  <si>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</si>
  <si>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</si>
  <si>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</si>
  <si>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</si>
  <si>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</si>
  <si>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</si>
  <si>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</si>
  <si>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</si>
  <si>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</si>
  <si>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</si>
  <si>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</si>
  <si>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</si>
  <si>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</si>
  <si>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</si>
  <si>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</si>
  <si>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</si>
  <si>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</si>
  <si>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</si>
  <si>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</si>
  <si>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</si>
  <si>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</si>
  <si>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</si>
  <si>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</si>
  <si>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</si>
  <si>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</si>
  <si>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</si>
  <si>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</si>
  <si>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</si>
  <si>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</si>
  <si>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</si>
  <si>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</si>
  <si>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</si>
  <si>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</si>
  <si>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</si>
  <si>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</si>
  <si>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</si>
  <si>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</si>
  <si>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</si>
  <si>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</si>
  <si>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</si>
  <si>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</si>
  <si>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</si>
  <si>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</si>
  <si>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</si>
  <si>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</si>
  <si>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</si>
  <si>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</si>
  <si>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</si>
  <si>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</si>
  <si>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</si>
  <si>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</si>
  <si>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</si>
  <si>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</si>
  <si>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</si>
  <si>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</si>
  <si>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</si>
  <si>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</si>
  <si>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</si>
  <si>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</si>
  <si>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</si>
  <si>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</si>
  <si>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</si>
  <si>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</si>
  <si>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</si>
  <si>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</si>
  <si>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</si>
  <si>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</si>
  <si>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</si>
  <si>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</si>
  <si>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13013</t>
  </si>
  <si>
    <t>HERSELT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</si>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</sst>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06A3CF2-48BE-47DD-8723-D6D9A1DB82B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008340A-378D-4D65-8DD8-DA3046030DD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100006.76509993519</c:v>
                </c:pt>
                <c:pt idx="1">
                  <c:v>17471.600087214181</c:v>
                </c:pt>
                <c:pt idx="2">
                  <c:v>2.2737367544323206E-13</c:v>
                </c:pt>
                <c:pt idx="3">
                  <c:v>33813.46631643334</c:v>
                </c:pt>
                <c:pt idx="4">
                  <c:v>6955.3257423737132</c:v>
                </c:pt>
                <c:pt idx="5">
                  <c:v>86578.77468334361</c:v>
                </c:pt>
                <c:pt idx="6">
                  <c:v>1112.7037126083251</c:v>
                </c:pt>
                <c:pt idx="7">
                  <c:v>893.37867493648946</c:v>
                </c:pt>
                <c:pt idx="8">
                  <c:v>625.99999999999977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100006.76509993519</c:v>
                </c:pt>
                <c:pt idx="1">
                  <c:v>17471.600087214181</c:v>
                </c:pt>
                <c:pt idx="2">
                  <c:v>2.2737367544323206E-13</c:v>
                </c:pt>
                <c:pt idx="3">
                  <c:v>33813.46631643334</c:v>
                </c:pt>
                <c:pt idx="4">
                  <c:v>6955.3257423737132</c:v>
                </c:pt>
                <c:pt idx="5">
                  <c:v>86578.77468334361</c:v>
                </c:pt>
                <c:pt idx="6">
                  <c:v>1112.7037126083251</c:v>
                </c:pt>
                <c:pt idx="7">
                  <c:v>893.37867493648946</c:v>
                </c:pt>
                <c:pt idx="8">
                  <c:v>625.99999999999977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19411.722500508204</c:v>
                </c:pt>
                <c:pt idx="1">
                  <c:v>2866.296442800598</c:v>
                </c:pt>
                <c:pt idx="2">
                  <c:v>0</c:v>
                </c:pt>
                <c:pt idx="3">
                  <c:v>5900.049280227272</c:v>
                </c:pt>
                <c:pt idx="4">
                  <c:v>1129.0255867851354</c:v>
                </c:pt>
                <c:pt idx="5">
                  <c:v>20251.426298821025</c:v>
                </c:pt>
                <c:pt idx="6">
                  <c:v>262.44159793422443</c:v>
                </c:pt>
                <c:pt idx="7">
                  <c:v>164.89426182654603</c:v>
                </c:pt>
                <c:pt idx="8">
                  <c:v>80.614452852837331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19411.722500508204</c:v>
                </c:pt>
                <c:pt idx="1">
                  <c:v>2866.296442800598</c:v>
                </c:pt>
                <c:pt idx="2">
                  <c:v>0</c:v>
                </c:pt>
                <c:pt idx="3">
                  <c:v>5900.049280227272</c:v>
                </c:pt>
                <c:pt idx="4">
                  <c:v>1129.0255867851354</c:v>
                </c:pt>
                <c:pt idx="5">
                  <c:v>20251.426298821025</c:v>
                </c:pt>
                <c:pt idx="6">
                  <c:v>262.44159793422443</c:v>
                </c:pt>
                <c:pt idx="7">
                  <c:v>164.89426182654603</c:v>
                </c:pt>
                <c:pt idx="8">
                  <c:v>80.614452852837331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13013</v>
      </c>
      <c r="B6" s="336"/>
      <c r="C6" s="337"/>
    </row>
    <row r="7" spans="1:7" s="334" customFormat="1" ht="15.75" customHeight="1">
      <c r="A7" s="338" t="str">
        <f>txtMunicipality</f>
        <v>HERSELT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838.6141756312195</v>
      </c>
      <c r="D9" s="531">
        <f t="shared" ref="D9:R9" si="0">SUM(D10:D11)</f>
        <v>0</v>
      </c>
      <c r="E9" s="531">
        <f t="shared" si="0"/>
        <v>680.76449930526974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1519.3786749364892</v>
      </c>
      <c r="T9" s="66"/>
    </row>
    <row r="10" spans="1:20" s="382" customFormat="1">
      <c r="A10" s="870" t="s">
        <v>197</v>
      </c>
      <c r="B10" s="639"/>
      <c r="C10" s="531">
        <f>'Eigen gebouwen'!B6</f>
        <v>212.61417563121978</v>
      </c>
      <c r="D10" s="531">
        <f>'Eigen gebouwen'!C6</f>
        <v>0</v>
      </c>
      <c r="E10" s="531">
        <f>'Eigen gebouwen'!D6</f>
        <v>680.76449930526974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893.37867493648946</v>
      </c>
      <c r="T10" s="66"/>
    </row>
    <row r="11" spans="1:20" s="382" customFormat="1">
      <c r="A11" s="870" t="s">
        <v>410</v>
      </c>
      <c r="B11" s="639"/>
      <c r="C11" s="531">
        <f>'Eigen openbare verlichting'!B6</f>
        <v>625.99999999999977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625.99999999999977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8798.6121915952117</v>
      </c>
      <c r="D13" s="868">
        <f t="shared" ref="D13:P13" si="1">SUM(D14:D15)</f>
        <v>253.14105191959169</v>
      </c>
      <c r="E13" s="868">
        <f t="shared" si="1"/>
        <v>6769.096683631632</v>
      </c>
      <c r="F13" s="868">
        <f t="shared" si="1"/>
        <v>22.165183620705708</v>
      </c>
      <c r="G13" s="868">
        <f t="shared" si="1"/>
        <v>1225.0312240428004</v>
      </c>
      <c r="H13" s="868">
        <f t="shared" si="1"/>
        <v>0</v>
      </c>
      <c r="I13" s="868">
        <f t="shared" si="1"/>
        <v>0.21892717508894777</v>
      </c>
      <c r="J13" s="868">
        <f t="shared" si="1"/>
        <v>0</v>
      </c>
      <c r="K13" s="868">
        <f t="shared" si="1"/>
        <v>1.0431165645095596E-2</v>
      </c>
      <c r="L13" s="868">
        <f t="shared" si="1"/>
        <v>0</v>
      </c>
      <c r="M13" s="868">
        <f t="shared" si="1"/>
        <v>0</v>
      </c>
      <c r="N13" s="868">
        <f t="shared" si="1"/>
        <v>0</v>
      </c>
      <c r="O13" s="868">
        <f t="shared" si="1"/>
        <v>0</v>
      </c>
      <c r="P13" s="868">
        <f t="shared" si="1"/>
        <v>403.32439406350358</v>
      </c>
      <c r="Q13" s="868">
        <f t="shared" ref="Q13" si="2">SUM(Q14:Q15)</f>
        <v>0</v>
      </c>
      <c r="R13" s="869">
        <f t="shared" ref="R13" si="3">SUM(R14:R15)</f>
        <v>0</v>
      </c>
      <c r="S13" s="562">
        <f t="shared" ref="S13" si="4">SUM(C13:R13)</f>
        <v>17471.600087214181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8798.6121915952117</v>
      </c>
      <c r="D15" s="531">
        <f>tertiair!C17</f>
        <v>253.14105191959169</v>
      </c>
      <c r="E15" s="531">
        <f>tertiair!D17</f>
        <v>6769.096683631632</v>
      </c>
      <c r="F15" s="531">
        <f>tertiair!E17</f>
        <v>22.165183620705708</v>
      </c>
      <c r="G15" s="531">
        <f>tertiair!F17</f>
        <v>1225.0312240428004</v>
      </c>
      <c r="H15" s="531" t="str">
        <f>tertiair!G17</f>
        <v>NE</v>
      </c>
      <c r="I15" s="531">
        <f>tertiair!H17</f>
        <v>0.21892717508894777</v>
      </c>
      <c r="J15" s="531" t="str">
        <f>tertiair!I17</f>
        <v>NE</v>
      </c>
      <c r="K15" s="531">
        <f>tertiair!J17</f>
        <v>1.0431165645095596E-2</v>
      </c>
      <c r="L15" s="531" t="str">
        <f>tertiair!K17</f>
        <v>NE</v>
      </c>
      <c r="M15" s="531" t="str">
        <f>tertiair!L17</f>
        <v>IE</v>
      </c>
      <c r="N15" s="531" t="str">
        <f>tertiair!M17</f>
        <v>IE</v>
      </c>
      <c r="O15" s="531" t="str">
        <f>tertiair!N17</f>
        <v>IE</v>
      </c>
      <c r="P15" s="531">
        <f>tertiair!O17</f>
        <v>403.32439406350358</v>
      </c>
      <c r="Q15" s="531" t="str">
        <f>tertiair!P17</f>
        <v>NE</v>
      </c>
      <c r="R15" s="869" t="str">
        <f>tertiair!Q17</f>
        <v>NE</v>
      </c>
      <c r="S15" s="562">
        <f>SUM(C15:R15)</f>
        <v>17471.600087214181</v>
      </c>
      <c r="T15" s="66"/>
    </row>
    <row r="16" spans="1:20" s="382" customFormat="1">
      <c r="A16" s="634" t="s">
        <v>644</v>
      </c>
      <c r="B16" s="639"/>
      <c r="C16" s="531">
        <f>huishoudens!B9</f>
        <v>20413.478869532835</v>
      </c>
      <c r="D16" s="531">
        <f>huishoudens!C9</f>
        <v>6.1237000004898965</v>
      </c>
      <c r="E16" s="531">
        <f>huishoudens!D9</f>
        <v>30449.700963531235</v>
      </c>
      <c r="F16" s="531">
        <f>huishoudens!E9</f>
        <v>2305.290369834267</v>
      </c>
      <c r="G16" s="531">
        <f>huishoudens!F9</f>
        <v>37459.461073821236</v>
      </c>
      <c r="H16" s="531" t="str">
        <f>huishoudens!G9</f>
        <v>NE</v>
      </c>
      <c r="I16" s="531" t="str">
        <f>huishoudens!H9</f>
        <v>NE</v>
      </c>
      <c r="J16" s="531" t="str">
        <f>huishoudens!I9</f>
        <v xml:space="preserve">NE </v>
      </c>
      <c r="K16" s="531">
        <f>huishoudens!J9</f>
        <v>300.28891156626105</v>
      </c>
      <c r="L16" s="531" t="str">
        <f>huishoudens!K9</f>
        <v>NE</v>
      </c>
      <c r="M16" s="531">
        <f>huishoudens!L9</f>
        <v>0</v>
      </c>
      <c r="N16" s="531">
        <f>huishoudens!M9</f>
        <v>0</v>
      </c>
      <c r="O16" s="531" t="str">
        <f>huishoudens!N9</f>
        <v>NE</v>
      </c>
      <c r="P16" s="531">
        <f>huishoudens!O9</f>
        <v>9072.4212116488652</v>
      </c>
      <c r="Q16" s="531" t="str">
        <f>huishoudens!P9</f>
        <v>NE</v>
      </c>
      <c r="R16" s="869" t="str">
        <f>huishoudens!Q9</f>
        <v>NE</v>
      </c>
      <c r="S16" s="562">
        <f>SUM(C16:R16)</f>
        <v>100006.76509993519</v>
      </c>
      <c r="T16" s="66"/>
    </row>
    <row r="17" spans="1:20" s="382" customFormat="1">
      <c r="A17" s="634" t="s">
        <v>495</v>
      </c>
      <c r="B17" s="643" t="s">
        <v>493</v>
      </c>
      <c r="C17" s="531">
        <f>industrie!B19</f>
        <v>4086.7916489999952</v>
      </c>
      <c r="D17" s="531">
        <f>industrie!C19</f>
        <v>0</v>
      </c>
      <c r="E17" s="531">
        <f>industrie!D19</f>
        <v>1472.61608424</v>
      </c>
      <c r="F17" s="531">
        <f>industrie!E19</f>
        <v>16.591408243658972</v>
      </c>
      <c r="G17" s="531">
        <f>industrie!F19</f>
        <v>1128.9908152159612</v>
      </c>
      <c r="H17" s="531" t="str">
        <f>industrie!G19</f>
        <v>NE</v>
      </c>
      <c r="I17" s="531">
        <f>industrie!H19</f>
        <v>0</v>
      </c>
      <c r="J17" s="531" t="str">
        <f>industrie!I19</f>
        <v>NE</v>
      </c>
      <c r="K17" s="531">
        <f>industrie!J19</f>
        <v>0.18429452731945301</v>
      </c>
      <c r="L17" s="531" t="str">
        <f>industrie!K19</f>
        <v>NE</v>
      </c>
      <c r="M17" s="531" t="str">
        <f>industrie!L19</f>
        <v>IE</v>
      </c>
      <c r="N17" s="531" t="str">
        <f>industrie!M19</f>
        <v>IE</v>
      </c>
      <c r="O17" s="531" t="str">
        <f>industrie!N19</f>
        <v>IE</v>
      </c>
      <c r="P17" s="531">
        <f>industrie!O19</f>
        <v>250.15149114677712</v>
      </c>
      <c r="Q17" s="531" t="str">
        <f>industrie!P19</f>
        <v>NE</v>
      </c>
      <c r="R17" s="869" t="str">
        <f>industrie!Q19</f>
        <v>NE</v>
      </c>
      <c r="S17" s="562">
        <f>SUM(C17:R17)</f>
        <v>6955.3257423737132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34137.496885759261</v>
      </c>
      <c r="D20" s="564">
        <f>SUM(D9,D13,D16,D17,D18,D19)</f>
        <v>259.26475192008161</v>
      </c>
      <c r="E20" s="564">
        <f t="shared" ref="E20:R20" si="5">SUM(E9,E13,E16,E17,E18,E19)</f>
        <v>39372.178230708138</v>
      </c>
      <c r="F20" s="564">
        <f t="shared" si="5"/>
        <v>2344.0469616986315</v>
      </c>
      <c r="G20" s="564">
        <f t="shared" si="5"/>
        <v>39813.483113080001</v>
      </c>
      <c r="H20" s="564">
        <f t="shared" si="5"/>
        <v>0</v>
      </c>
      <c r="I20" s="564">
        <f t="shared" si="5"/>
        <v>0.21892717508894777</v>
      </c>
      <c r="J20" s="564">
        <f t="shared" si="5"/>
        <v>0</v>
      </c>
      <c r="K20" s="564">
        <f t="shared" si="5"/>
        <v>300.48363725922565</v>
      </c>
      <c r="L20" s="564">
        <f t="shared" si="5"/>
        <v>0</v>
      </c>
      <c r="M20" s="564">
        <f t="shared" si="5"/>
        <v>0</v>
      </c>
      <c r="N20" s="564">
        <f t="shared" si="5"/>
        <v>0</v>
      </c>
      <c r="O20" s="564">
        <f t="shared" si="5"/>
        <v>0</v>
      </c>
      <c r="P20" s="564">
        <f t="shared" si="5"/>
        <v>9725.8970968591457</v>
      </c>
      <c r="Q20" s="564">
        <f t="shared" si="5"/>
        <v>0</v>
      </c>
      <c r="R20" s="564">
        <f t="shared" si="5"/>
        <v>0</v>
      </c>
      <c r="S20" s="564">
        <f>SUM(C20:R20)</f>
        <v>125953.06960445957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26.31866202391414</v>
      </c>
      <c r="D25" s="531">
        <f t="shared" ref="D25:R25" si="7">SUM(D26:D29)</f>
        <v>0</v>
      </c>
      <c r="E25" s="531">
        <f t="shared" si="7"/>
        <v>0</v>
      </c>
      <c r="F25" s="531">
        <f t="shared" si="7"/>
        <v>0</v>
      </c>
      <c r="G25" s="531">
        <f t="shared" si="7"/>
        <v>0</v>
      </c>
      <c r="H25" s="531">
        <f t="shared" si="7"/>
        <v>970.23354852728755</v>
      </c>
      <c r="I25" s="531">
        <f t="shared" si="7"/>
        <v>0</v>
      </c>
      <c r="J25" s="531">
        <f t="shared" si="7"/>
        <v>0</v>
      </c>
      <c r="K25" s="531">
        <f t="shared" si="7"/>
        <v>0</v>
      </c>
      <c r="L25" s="531">
        <f t="shared" si="7"/>
        <v>0</v>
      </c>
      <c r="M25" s="531">
        <f t="shared" si="7"/>
        <v>0</v>
      </c>
      <c r="N25" s="531">
        <f t="shared" si="7"/>
        <v>0</v>
      </c>
      <c r="O25" s="531">
        <f t="shared" si="7"/>
        <v>116.15150205712334</v>
      </c>
      <c r="P25" s="531">
        <f t="shared" si="7"/>
        <v>0</v>
      </c>
      <c r="Q25" s="531">
        <f t="shared" si="7"/>
        <v>0</v>
      </c>
      <c r="R25" s="869">
        <f t="shared" si="7"/>
        <v>0</v>
      </c>
      <c r="S25" s="562">
        <f>SUM(C25:R25)</f>
        <v>1112.7037126083251</v>
      </c>
      <c r="T25" s="66"/>
    </row>
    <row r="26" spans="1:20" s="382" customFormat="1">
      <c r="A26" s="870" t="s">
        <v>645</v>
      </c>
      <c r="B26" s="867"/>
      <c r="C26" s="868">
        <f>transport!B51*10^9/3600</f>
        <v>26.31866202391414</v>
      </c>
      <c r="D26" s="868">
        <f>transport!C51*10^9/3600</f>
        <v>0</v>
      </c>
      <c r="E26" s="868">
        <f>transport!D51*10^9/3600</f>
        <v>0</v>
      </c>
      <c r="F26" s="868">
        <f>transport!E51*10^9/3600</f>
        <v>0</v>
      </c>
      <c r="G26" s="868">
        <f>transport!F51*10^9/3600</f>
        <v>0</v>
      </c>
      <c r="H26" s="868">
        <f>transport!G51*10^9/3600</f>
        <v>970.23354852728755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116.15150205712334</v>
      </c>
      <c r="P26" s="868">
        <f>transport!O51*10^9/3600</f>
        <v>0</v>
      </c>
      <c r="Q26" s="868">
        <f>transport!P51*10^9/3600</f>
        <v>0</v>
      </c>
      <c r="R26" s="868">
        <f>transport!Q51*10^9/3600</f>
        <v>0</v>
      </c>
      <c r="S26" s="562">
        <f>SUM(C26:R26)</f>
        <v>1112.7037126083251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1367.8578601131403</v>
      </c>
      <c r="D30" s="868">
        <f t="shared" ref="D30:R30" si="9">SUM(D31:D35)</f>
        <v>0</v>
      </c>
      <c r="E30" s="868">
        <f t="shared" si="9"/>
        <v>366.83500156950009</v>
      </c>
      <c r="F30" s="868">
        <f t="shared" si="9"/>
        <v>168.90998250087915</v>
      </c>
      <c r="G30" s="868">
        <f t="shared" si="9"/>
        <v>0</v>
      </c>
      <c r="H30" s="868">
        <f t="shared" si="9"/>
        <v>50082.007592524176</v>
      </c>
      <c r="I30" s="868">
        <f t="shared" si="9"/>
        <v>26469.631696800003</v>
      </c>
      <c r="J30" s="868">
        <f t="shared" si="9"/>
        <v>0</v>
      </c>
      <c r="K30" s="868">
        <f t="shared" si="9"/>
        <v>0</v>
      </c>
      <c r="L30" s="868">
        <f t="shared" si="9"/>
        <v>0</v>
      </c>
      <c r="M30" s="868">
        <f t="shared" si="9"/>
        <v>0</v>
      </c>
      <c r="N30" s="868">
        <f t="shared" si="9"/>
        <v>0</v>
      </c>
      <c r="O30" s="868">
        <f t="shared" si="9"/>
        <v>8123.532549835908</v>
      </c>
      <c r="P30" s="868">
        <f t="shared" si="9"/>
        <v>0</v>
      </c>
      <c r="Q30" s="868">
        <f t="shared" si="9"/>
        <v>0</v>
      </c>
      <c r="R30" s="869">
        <f t="shared" si="9"/>
        <v>0</v>
      </c>
      <c r="S30" s="562">
        <f>SUM(C30:R30)</f>
        <v>86578.77468334361</v>
      </c>
      <c r="T30" s="66"/>
    </row>
    <row r="31" spans="1:20" s="382" customFormat="1">
      <c r="A31" s="870" t="s">
        <v>645</v>
      </c>
      <c r="B31" s="639"/>
      <c r="C31" s="531">
        <f>transport!B14</f>
        <v>1367.8578601131403</v>
      </c>
      <c r="D31" s="531" t="str">
        <f>transport!C14</f>
        <v>NO</v>
      </c>
      <c r="E31" s="531">
        <f>transport!D14</f>
        <v>366.83500156950009</v>
      </c>
      <c r="F31" s="531">
        <f>transport!E14</f>
        <v>168.90998250087915</v>
      </c>
      <c r="G31" s="531" t="str">
        <f>transport!F14</f>
        <v>NO</v>
      </c>
      <c r="H31" s="531">
        <f>transport!G14</f>
        <v>50082.007592524176</v>
      </c>
      <c r="I31" s="531">
        <f>transport!H14</f>
        <v>26469.631696800003</v>
      </c>
      <c r="J31" s="531" t="str">
        <f>transport!I14</f>
        <v>NO</v>
      </c>
      <c r="K31" s="531" t="str">
        <f>transport!J14</f>
        <v>NO</v>
      </c>
      <c r="L31" s="531" t="str">
        <f>transport!K14</f>
        <v>NO</v>
      </c>
      <c r="M31" s="531" t="str">
        <f>transport!L14</f>
        <v>NO</v>
      </c>
      <c r="N31" s="531" t="str">
        <f>transport!M14</f>
        <v>NO</v>
      </c>
      <c r="O31" s="531">
        <f>transport!N14</f>
        <v>8123.532549835908</v>
      </c>
      <c r="P31" s="531" t="str">
        <f>transport!O14</f>
        <v>NO</v>
      </c>
      <c r="Q31" s="531" t="str">
        <f>transport!P14</f>
        <v>NO</v>
      </c>
      <c r="R31" s="869" t="str">
        <f>transport!Q14</f>
        <v>NO</v>
      </c>
      <c r="S31" s="562">
        <f>SUM(C31:R31)</f>
        <v>86578.77468334361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1394.1765221370545</v>
      </c>
      <c r="D37" s="637">
        <f t="shared" ref="D37:R37" si="10">SUM(D22,D25,D30,D36)</f>
        <v>0</v>
      </c>
      <c r="E37" s="637">
        <f t="shared" si="10"/>
        <v>366.83500156950009</v>
      </c>
      <c r="F37" s="637">
        <f t="shared" si="10"/>
        <v>168.90998250087915</v>
      </c>
      <c r="G37" s="637">
        <f t="shared" si="10"/>
        <v>0</v>
      </c>
      <c r="H37" s="637">
        <f t="shared" si="10"/>
        <v>51052.241141051461</v>
      </c>
      <c r="I37" s="637">
        <f t="shared" si="10"/>
        <v>26469.631696800003</v>
      </c>
      <c r="J37" s="637">
        <f t="shared" si="10"/>
        <v>0</v>
      </c>
      <c r="K37" s="637">
        <f t="shared" si="10"/>
        <v>0</v>
      </c>
      <c r="L37" s="637">
        <f t="shared" si="10"/>
        <v>0</v>
      </c>
      <c r="M37" s="637">
        <f t="shared" si="10"/>
        <v>0</v>
      </c>
      <c r="N37" s="637">
        <f t="shared" si="10"/>
        <v>0</v>
      </c>
      <c r="O37" s="637">
        <f t="shared" si="10"/>
        <v>8239.6840518930312</v>
      </c>
      <c r="P37" s="637">
        <f t="shared" si="10"/>
        <v>0</v>
      </c>
      <c r="Q37" s="637">
        <f t="shared" si="10"/>
        <v>0</v>
      </c>
      <c r="R37" s="637">
        <f t="shared" si="10"/>
        <v>0</v>
      </c>
      <c r="S37" s="637">
        <f>SUM(C37:R37)</f>
        <v>87691.478395951926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1173.2473808716845</v>
      </c>
      <c r="D39" s="531">
        <f>+landbouw!C9</f>
        <v>16634.288740812335</v>
      </c>
      <c r="E39" s="531">
        <f>+landbouw!D9</f>
        <v>11533.779450723636</v>
      </c>
      <c r="F39" s="531">
        <f>+landbouw!E9</f>
        <v>42.408401782950193</v>
      </c>
      <c r="G39" s="531">
        <f>+landbouw!F9</f>
        <v>4293.2004912903358</v>
      </c>
      <c r="H39" s="531" t="str">
        <f>+landbouw!G9</f>
        <v>NE</v>
      </c>
      <c r="I39" s="531" t="str">
        <f>+landbouw!H9</f>
        <v>NE</v>
      </c>
      <c r="J39" s="531" t="str">
        <f>+landbouw!I9</f>
        <v>NE</v>
      </c>
      <c r="K39" s="531">
        <f>+landbouw!J9</f>
        <v>136.5418509523974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33813.46631643334</v>
      </c>
      <c r="T39" s="66"/>
    </row>
    <row r="40" spans="1:20" s="382" customFormat="1" ht="15" thickBot="1">
      <c r="A40" s="654" t="s">
        <v>537</v>
      </c>
      <c r="B40" s="748"/>
      <c r="C40" s="749">
        <f>IF(Onbekend_ele_kWh="---",0,Onbekend_ele_kWh)/1000+IF(REST_rest_ele_kWh="---",0,REST_rest_ele_kWh)/1000</f>
        <v>586.61158</v>
      </c>
      <c r="D40" s="749" t="s">
        <v>637</v>
      </c>
      <c r="E40" s="749">
        <f>IF(onbekend_gas_kWh="---",0,onbekend_gas_kWh)/1000+IF(REST_rest_gas_kWh="---",0,REST_rest_gas_kWh)/1000</f>
        <v>4829.9898499999999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5416.6014299999997</v>
      </c>
      <c r="T40" s="66"/>
    </row>
    <row r="41" spans="1:20" s="382" customFormat="1" ht="15.75" thickBot="1">
      <c r="A41" s="537" t="s">
        <v>538</v>
      </c>
      <c r="B41" s="642"/>
      <c r="C41" s="637">
        <f>SUM(C39:C40)</f>
        <v>1759.8589608716845</v>
      </c>
      <c r="D41" s="637">
        <f t="shared" ref="D41:R41" si="11">SUM(D39:D40)</f>
        <v>16634.288740812335</v>
      </c>
      <c r="E41" s="637">
        <f t="shared" si="11"/>
        <v>16363.769300723636</v>
      </c>
      <c r="F41" s="637">
        <f t="shared" si="11"/>
        <v>42.408401782950193</v>
      </c>
      <c r="G41" s="637">
        <f t="shared" si="11"/>
        <v>4293.2004912903358</v>
      </c>
      <c r="H41" s="637">
        <f t="shared" si="11"/>
        <v>0</v>
      </c>
      <c r="I41" s="637">
        <f t="shared" si="11"/>
        <v>0</v>
      </c>
      <c r="J41" s="637">
        <f t="shared" si="11"/>
        <v>0</v>
      </c>
      <c r="K41" s="637">
        <f t="shared" si="11"/>
        <v>136.5418509523974</v>
      </c>
      <c r="L41" s="637">
        <f t="shared" si="11"/>
        <v>0</v>
      </c>
      <c r="M41" s="637">
        <f t="shared" si="11"/>
        <v>0</v>
      </c>
      <c r="N41" s="637">
        <f t="shared" si="11"/>
        <v>0</v>
      </c>
      <c r="O41" s="637">
        <f t="shared" si="11"/>
        <v>0</v>
      </c>
      <c r="P41" s="637">
        <f t="shared" si="11"/>
        <v>0</v>
      </c>
      <c r="Q41" s="637">
        <f t="shared" si="11"/>
        <v>0</v>
      </c>
      <c r="R41" s="637">
        <f t="shared" si="11"/>
        <v>0</v>
      </c>
      <c r="S41" s="637">
        <f>SUM(C41:R41)</f>
        <v>39230.067746433335</v>
      </c>
      <c r="T41" s="66"/>
    </row>
    <row r="42" spans="1:20" s="382" customFormat="1" ht="17.25" thickTop="1" thickBot="1">
      <c r="A42" s="538" t="s">
        <v>96</v>
      </c>
      <c r="B42" s="630"/>
      <c r="C42" s="539">
        <f t="shared" ref="C42:S42" si="12">C37+C20+C41</f>
        <v>37291.532368767999</v>
      </c>
      <c r="D42" s="539">
        <f t="shared" si="12"/>
        <v>16893.553492732415</v>
      </c>
      <c r="E42" s="539">
        <f t="shared" si="12"/>
        <v>56102.782533001278</v>
      </c>
      <c r="F42" s="539">
        <f t="shared" si="12"/>
        <v>2555.3653459824609</v>
      </c>
      <c r="G42" s="539">
        <f t="shared" si="12"/>
        <v>44106.683604370337</v>
      </c>
      <c r="H42" s="539">
        <f t="shared" si="12"/>
        <v>51052.241141051461</v>
      </c>
      <c r="I42" s="539">
        <f t="shared" si="12"/>
        <v>26469.850623975093</v>
      </c>
      <c r="J42" s="539">
        <f t="shared" si="12"/>
        <v>0</v>
      </c>
      <c r="K42" s="539">
        <f t="shared" si="12"/>
        <v>437.02548821162304</v>
      </c>
      <c r="L42" s="539">
        <f t="shared" si="12"/>
        <v>0</v>
      </c>
      <c r="M42" s="539">
        <f t="shared" si="12"/>
        <v>0</v>
      </c>
      <c r="N42" s="539">
        <f t="shared" si="12"/>
        <v>0</v>
      </c>
      <c r="O42" s="539">
        <f t="shared" si="12"/>
        <v>8239.6840518930312</v>
      </c>
      <c r="P42" s="539">
        <f t="shared" si="12"/>
        <v>9725.8970968591457</v>
      </c>
      <c r="Q42" s="539">
        <f t="shared" si="12"/>
        <v>0</v>
      </c>
      <c r="R42" s="539">
        <f t="shared" si="12"/>
        <v>0</v>
      </c>
      <c r="S42" s="539">
        <f t="shared" si="12"/>
        <v>252874.61574684482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107.99428581971888</v>
      </c>
      <c r="D55" s="531">
        <f t="shared" ref="D55:R55" si="13">SUM(D56:D58)</f>
        <v>0</v>
      </c>
      <c r="E55" s="531">
        <f t="shared" si="13"/>
        <v>137.51442885966449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245.50871467938339</v>
      </c>
    </row>
    <row r="56" spans="1:19">
      <c r="A56" s="899" t="s">
        <v>197</v>
      </c>
      <c r="B56" s="652"/>
      <c r="C56" s="531">
        <f>'Eigen gebouwen'!B10</f>
        <v>27.379832966881548</v>
      </c>
      <c r="D56" s="531">
        <f>'Eigen gebouwen'!C10</f>
        <v>0</v>
      </c>
      <c r="E56" s="531">
        <f>'Eigen gebouwen'!D10</f>
        <v>137.51442885966449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164.89426182654603</v>
      </c>
    </row>
    <row r="57" spans="1:19">
      <c r="A57" s="900" t="s">
        <v>410</v>
      </c>
      <c r="B57" s="652"/>
      <c r="C57" s="531">
        <f>'Eigen openbare verlichting'!B10</f>
        <v>80.614452852837331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80.614452852837331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1133.0595969484859</v>
      </c>
      <c r="D59" s="868">
        <f t="shared" ref="D59:R59" si="15">SUM(D60:D61)</f>
        <v>33.706276757958811</v>
      </c>
      <c r="E59" s="868">
        <f t="shared" si="15"/>
        <v>1367.3575300935897</v>
      </c>
      <c r="F59" s="868">
        <f t="shared" si="15"/>
        <v>5.0314966819001956</v>
      </c>
      <c r="G59" s="868">
        <f t="shared" si="15"/>
        <v>327.08333681942776</v>
      </c>
      <c r="H59" s="868">
        <f t="shared" si="15"/>
        <v>0</v>
      </c>
      <c r="I59" s="868">
        <f t="shared" si="15"/>
        <v>5.4512866597147991E-2</v>
      </c>
      <c r="J59" s="868">
        <f t="shared" si="15"/>
        <v>0</v>
      </c>
      <c r="K59" s="868">
        <f t="shared" si="15"/>
        <v>3.6926326383638409E-3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2866.296442800598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1133.0595969484859</v>
      </c>
      <c r="D61" s="531">
        <f>tertiair!C21</f>
        <v>33.706276757958811</v>
      </c>
      <c r="E61" s="531">
        <f>tertiair!D21</f>
        <v>1367.3575300935897</v>
      </c>
      <c r="F61" s="531">
        <f>tertiair!E21</f>
        <v>5.0314966819001956</v>
      </c>
      <c r="G61" s="531">
        <f>tertiair!F21</f>
        <v>327.08333681942776</v>
      </c>
      <c r="H61" s="531" t="str">
        <f>tertiair!G21</f>
        <v>NE</v>
      </c>
      <c r="I61" s="531">
        <f>tertiair!H21</f>
        <v>5.4512866597147991E-2</v>
      </c>
      <c r="J61" s="531" t="str">
        <f>tertiair!I21</f>
        <v>NE</v>
      </c>
      <c r="K61" s="531">
        <f>tertiair!J21</f>
        <v>3.6926326383638409E-3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2866.296442800598</v>
      </c>
    </row>
    <row r="62" spans="1:19" ht="14.45" customHeight="1">
      <c r="A62" s="647" t="s">
        <v>644</v>
      </c>
      <c r="B62" s="652"/>
      <c r="C62" s="531">
        <f>huishoudens!B13</f>
        <v>2628.7882266618954</v>
      </c>
      <c r="D62" s="531">
        <f>huishoudens!C13</f>
        <v>0.81538385589386198</v>
      </c>
      <c r="E62" s="531">
        <f>huishoudens!D13</f>
        <v>6150.8395946333103</v>
      </c>
      <c r="F62" s="531">
        <f>huishoudens!E13</f>
        <v>523.30091395237866</v>
      </c>
      <c r="G62" s="531">
        <f>huishoudens!F13</f>
        <v>10001.676106710271</v>
      </c>
      <c r="H62" s="531" t="str">
        <f>huishoudens!G13</f>
        <v>NE</v>
      </c>
      <c r="I62" s="531" t="str">
        <f>huishoudens!H13</f>
        <v>NE</v>
      </c>
      <c r="J62" s="531" t="str">
        <f>huishoudens!I13</f>
        <v>NE</v>
      </c>
      <c r="K62" s="531">
        <f>huishoudens!J13</f>
        <v>106.3022746944564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19411.722500508204</v>
      </c>
    </row>
    <row r="63" spans="1:19">
      <c r="A63" s="647" t="s">
        <v>496</v>
      </c>
      <c r="B63" s="660" t="s">
        <v>493</v>
      </c>
      <c r="C63" s="531">
        <f>industrie!B23</f>
        <v>526.28510017201211</v>
      </c>
      <c r="D63" s="531">
        <f>industrie!C23</f>
        <v>0</v>
      </c>
      <c r="E63" s="531">
        <f>industrie!D23</f>
        <v>297.46844901648001</v>
      </c>
      <c r="F63" s="531">
        <f>industrie!E23</f>
        <v>3.7662496713105869</v>
      </c>
      <c r="G63" s="531">
        <f>industrie!F23</f>
        <v>301.44054766266169</v>
      </c>
      <c r="H63" s="531" t="str">
        <f>industrie!G23</f>
        <v>NE</v>
      </c>
      <c r="I63" s="531">
        <f>industrie!H23</f>
        <v>0</v>
      </c>
      <c r="J63" s="531" t="str">
        <f>industrie!I23</f>
        <v>NE</v>
      </c>
      <c r="K63" s="531">
        <f>industrie!J23</f>
        <v>6.524026267108636E-2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1129.0255867851354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4396.1272096021121</v>
      </c>
      <c r="D66" s="564">
        <f t="shared" ref="D66:E66" si="17">SUM(D55,D59,D62,D63,D64,D65)</f>
        <v>34.521660613852674</v>
      </c>
      <c r="E66" s="564">
        <f t="shared" si="17"/>
        <v>7953.1800026030451</v>
      </c>
      <c r="F66" s="564">
        <f t="shared" ref="F66" si="18">SUM(F55,F59,F62,F63,F64,F65)</f>
        <v>532.09866030558942</v>
      </c>
      <c r="G66" s="564">
        <f t="shared" ref="G66" si="19">SUM(G55,G59,G62,G63,G64,G65)</f>
        <v>10630.199991192359</v>
      </c>
      <c r="H66" s="564">
        <f t="shared" ref="H66" si="20">SUM(H55,H59,H62,H63,H64,H65)</f>
        <v>0</v>
      </c>
      <c r="I66" s="564">
        <f t="shared" ref="I66" si="21">SUM(I55,I59,I62,I63,I64,I65)</f>
        <v>5.4512866597147991E-2</v>
      </c>
      <c r="J66" s="564">
        <f t="shared" ref="J66" si="22">SUM(J55,J59,J62,J63,J64,J65)</f>
        <v>0</v>
      </c>
      <c r="K66" s="564">
        <f t="shared" ref="K66" si="23">SUM(K55,K59,K62,K63,K64,K65)</f>
        <v>106.37120758976585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23652.553244773324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3.389240477438638</v>
      </c>
      <c r="D71" s="531">
        <f t="shared" ref="D71:R71" si="32">SUM(D72:D75)</f>
        <v>0</v>
      </c>
      <c r="E71" s="531">
        <f t="shared" si="32"/>
        <v>0</v>
      </c>
      <c r="F71" s="531">
        <f t="shared" si="32"/>
        <v>0</v>
      </c>
      <c r="G71" s="531">
        <f t="shared" si="32"/>
        <v>0</v>
      </c>
      <c r="H71" s="531">
        <f t="shared" si="32"/>
        <v>259.05235745678573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262.44159793422438</v>
      </c>
    </row>
    <row r="72" spans="1:19">
      <c r="A72" s="904" t="s">
        <v>645</v>
      </c>
      <c r="B72" s="903"/>
      <c r="C72" s="876">
        <f>transport!B51*transport!B56*10^9/3600</f>
        <v>3.389240477438638</v>
      </c>
      <c r="D72" s="876">
        <f>transport!C51*transport!C56*10^9/3600</f>
        <v>0</v>
      </c>
      <c r="E72" s="876">
        <f>transport!D51*transport!D56*10^9/3600</f>
        <v>0</v>
      </c>
      <c r="F72" s="876">
        <f>transport!E51*transport!E56*10^9/3600</f>
        <v>0</v>
      </c>
      <c r="G72" s="876">
        <f>transport!F51*transport!F56*10^9/3600</f>
        <v>0</v>
      </c>
      <c r="H72" s="876">
        <f>transport!G51*transport!G56*10^9/3600</f>
        <v>259.05235745678573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262.44159793422438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176.14874276912738</v>
      </c>
      <c r="D76" s="876">
        <f t="shared" ref="D76:R76" si="34">SUM(D77:D81)</f>
        <v>0</v>
      </c>
      <c r="E76" s="876">
        <f t="shared" si="34"/>
        <v>74.100670317039018</v>
      </c>
      <c r="F76" s="876">
        <f t="shared" si="34"/>
        <v>38.342566027699569</v>
      </c>
      <c r="G76" s="876">
        <f t="shared" si="34"/>
        <v>0</v>
      </c>
      <c r="H76" s="876">
        <f t="shared" si="34"/>
        <v>13371.896027203957</v>
      </c>
      <c r="I76" s="876">
        <f t="shared" si="34"/>
        <v>6590.9382925032005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20251.426298821025</v>
      </c>
    </row>
    <row r="77" spans="1:19">
      <c r="A77" s="905" t="s">
        <v>645</v>
      </c>
      <c r="B77" s="658"/>
      <c r="C77" s="536">
        <f>transport!B18</f>
        <v>176.14874276912738</v>
      </c>
      <c r="D77" s="536" t="str">
        <f>transport!C18</f>
        <v>NO</v>
      </c>
      <c r="E77" s="536">
        <f>transport!D18</f>
        <v>74.100670317039018</v>
      </c>
      <c r="F77" s="536">
        <f>transport!E18</f>
        <v>38.342566027699569</v>
      </c>
      <c r="G77" s="536" t="str">
        <f>transport!F18</f>
        <v>NO</v>
      </c>
      <c r="H77" s="536">
        <f>transport!G18</f>
        <v>13371.896027203957</v>
      </c>
      <c r="I77" s="536">
        <f>transport!H18</f>
        <v>6590.9382925032005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20251.426298821025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179.53798324656603</v>
      </c>
      <c r="D83" s="564">
        <f t="shared" ref="D83:R83" si="35">SUM(D68,D71,D76,D82)</f>
        <v>0</v>
      </c>
      <c r="E83" s="564">
        <f t="shared" si="35"/>
        <v>74.100670317039018</v>
      </c>
      <c r="F83" s="564">
        <f t="shared" si="35"/>
        <v>38.342566027699569</v>
      </c>
      <c r="G83" s="564">
        <f t="shared" si="35"/>
        <v>0</v>
      </c>
      <c r="H83" s="564">
        <f t="shared" si="35"/>
        <v>13630.948384660742</v>
      </c>
      <c r="I83" s="564">
        <f t="shared" si="35"/>
        <v>6590.9382925032005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20513.867896755248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151.08737327475291</v>
      </c>
      <c r="D85" s="536">
        <f>+landbouw!C13</f>
        <v>2214.8914042899469</v>
      </c>
      <c r="E85" s="536">
        <f>+landbouw!D13</f>
        <v>2329.8234490461746</v>
      </c>
      <c r="F85" s="536">
        <f>+landbouw!E13</f>
        <v>9.6267072047296942</v>
      </c>
      <c r="G85" s="536">
        <f>+landbouw!F13</f>
        <v>1146.2845311745198</v>
      </c>
      <c r="H85" s="536" t="str">
        <f>+landbouw!G13</f>
        <v>NE</v>
      </c>
      <c r="I85" s="536" t="str">
        <f>+landbouw!H13</f>
        <v>NE</v>
      </c>
      <c r="J85" s="536" t="str">
        <f>+landbouw!I13</f>
        <v>NE</v>
      </c>
      <c r="K85" s="536">
        <f>+landbouw!J13</f>
        <v>48.335815237148672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5900.049280227272</v>
      </c>
    </row>
    <row r="86" spans="1:20" ht="15" thickBot="1">
      <c r="A86" s="650" t="s">
        <v>537</v>
      </c>
      <c r="B86" s="658"/>
      <c r="C86" s="536">
        <f>C40*'EF ele_warmte'!B13</f>
        <v>75.542127090796214</v>
      </c>
      <c r="D86" s="536" t="s">
        <v>637</v>
      </c>
      <c r="E86" s="536">
        <f>E40*EF_CO2_aardgas</f>
        <v>975.65794970000002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1051.2000767907962</v>
      </c>
    </row>
    <row r="87" spans="1:20" ht="15.75" thickBot="1">
      <c r="A87" s="648" t="s">
        <v>538</v>
      </c>
      <c r="B87" s="659"/>
      <c r="C87" s="564">
        <f>SUM(C85:C86)</f>
        <v>226.62950036554912</v>
      </c>
      <c r="D87" s="564">
        <f t="shared" ref="D87:R87" si="36">SUM(D85:D86)</f>
        <v>2214.8914042899469</v>
      </c>
      <c r="E87" s="564">
        <f t="shared" si="36"/>
        <v>3305.4813987461748</v>
      </c>
      <c r="F87" s="564">
        <f t="shared" si="36"/>
        <v>9.6267072047296942</v>
      </c>
      <c r="G87" s="564">
        <f t="shared" si="36"/>
        <v>1146.2845311745198</v>
      </c>
      <c r="H87" s="564">
        <f t="shared" si="36"/>
        <v>0</v>
      </c>
      <c r="I87" s="564">
        <f t="shared" si="36"/>
        <v>0</v>
      </c>
      <c r="J87" s="564">
        <f t="shared" si="36"/>
        <v>0</v>
      </c>
      <c r="K87" s="564">
        <f t="shared" si="36"/>
        <v>48.335815237148672</v>
      </c>
      <c r="L87" s="564">
        <f t="shared" si="36"/>
        <v>0</v>
      </c>
      <c r="M87" s="564">
        <f t="shared" si="36"/>
        <v>0</v>
      </c>
      <c r="N87" s="564">
        <f t="shared" si="36"/>
        <v>0</v>
      </c>
      <c r="O87" s="564">
        <f t="shared" si="36"/>
        <v>0</v>
      </c>
      <c r="P87" s="564">
        <f t="shared" si="36"/>
        <v>0</v>
      </c>
      <c r="Q87" s="564">
        <f t="shared" si="36"/>
        <v>0</v>
      </c>
      <c r="R87" s="565">
        <f t="shared" si="36"/>
        <v>0</v>
      </c>
      <c r="S87" s="566">
        <f>SUM(S85:S86)</f>
        <v>6951.2493570180686</v>
      </c>
    </row>
    <row r="88" spans="1:20" ht="16.5" thickBot="1">
      <c r="A88" s="661" t="s">
        <v>96</v>
      </c>
      <c r="B88" s="662"/>
      <c r="C88" s="569">
        <f t="shared" ref="C88:S88" si="37">C66+C83+C87</f>
        <v>4802.2946932142277</v>
      </c>
      <c r="D88" s="569">
        <f t="shared" si="37"/>
        <v>2249.4130649037998</v>
      </c>
      <c r="E88" s="569">
        <f t="shared" si="37"/>
        <v>11332.762071666259</v>
      </c>
      <c r="F88" s="569">
        <f t="shared" si="37"/>
        <v>580.06793353801868</v>
      </c>
      <c r="G88" s="569">
        <f t="shared" si="37"/>
        <v>11776.48452236688</v>
      </c>
      <c r="H88" s="569">
        <f t="shared" si="37"/>
        <v>13630.948384660742</v>
      </c>
      <c r="I88" s="569">
        <f t="shared" si="37"/>
        <v>6590.9928053697977</v>
      </c>
      <c r="J88" s="569">
        <f t="shared" si="37"/>
        <v>0</v>
      </c>
      <c r="K88" s="569">
        <f t="shared" si="37"/>
        <v>154.70702282691451</v>
      </c>
      <c r="L88" s="569">
        <f t="shared" si="37"/>
        <v>0</v>
      </c>
      <c r="M88" s="569">
        <f t="shared" si="37"/>
        <v>0</v>
      </c>
      <c r="N88" s="569">
        <f t="shared" si="37"/>
        <v>0</v>
      </c>
      <c r="O88" s="569">
        <f t="shared" si="37"/>
        <v>0</v>
      </c>
      <c r="P88" s="569">
        <f t="shared" si="37"/>
        <v>0</v>
      </c>
      <c r="Q88" s="569">
        <f t="shared" si="37"/>
        <v>0</v>
      </c>
      <c r="R88" s="569">
        <f t="shared" si="37"/>
        <v>0</v>
      </c>
      <c r="S88" s="569">
        <f t="shared" si="37"/>
        <v>51117.670498546635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0.12877708123456449</v>
      </c>
      <c r="D90" s="613">
        <f t="shared" si="38"/>
        <v>0.1331521556948628</v>
      </c>
      <c r="E90" s="758">
        <f t="shared" si="38"/>
        <v>0.20200000000000001</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11163.571983291256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3546.0364283241634</v>
      </c>
      <c r="C103" s="582">
        <f>'lokale energieproductie'!B8*IFERROR(SUM(D103:F103,I103)/SUM(D103:F103,I103:L103),0)</f>
        <v>7518.3734005609895</v>
      </c>
      <c r="D103" s="754">
        <f>'lokale energieproductie'!C8</f>
        <v>7293.3169317202264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3439.8886760883138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1473.2500202074859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14709.60841161542</v>
      </c>
      <c r="C105" s="587">
        <f>SUM(C99:C104)</f>
        <v>7518.3734005609895</v>
      </c>
      <c r="D105" s="588">
        <f t="shared" ref="D105:N105" si="39">SUM(D103:D104)</f>
        <v>7293.3169317202264</v>
      </c>
      <c r="E105" s="588">
        <f t="shared" si="39"/>
        <v>0</v>
      </c>
      <c r="F105" s="588">
        <f t="shared" si="39"/>
        <v>0</v>
      </c>
      <c r="G105" s="588">
        <f t="shared" si="39"/>
        <v>0</v>
      </c>
      <c r="H105" s="588">
        <f t="shared" si="39"/>
        <v>0</v>
      </c>
      <c r="I105" s="588">
        <f t="shared" si="39"/>
        <v>0</v>
      </c>
      <c r="J105" s="588">
        <f t="shared" si="39"/>
        <v>0</v>
      </c>
      <c r="K105" s="588">
        <f t="shared" si="39"/>
        <v>0</v>
      </c>
      <c r="L105" s="588">
        <f t="shared" si="39"/>
        <v>3439.8886760883138</v>
      </c>
      <c r="M105" s="588">
        <f t="shared" si="39"/>
        <v>0</v>
      </c>
      <c r="N105" s="588">
        <f t="shared" si="39"/>
        <v>0</v>
      </c>
      <c r="O105" s="589">
        <f>SUM(O103:O104)</f>
        <v>1473.2500202074859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5414.2206421784422</v>
      </c>
      <c r="C114" s="600">
        <f>'lokale energieproductie'!B17*IFERROR(SUM(D114:F114,I114)/SUM(D114:F114,I114:L114),0)</f>
        <v>11479.33285055397</v>
      </c>
      <c r="D114" s="610">
        <f>'lokale energieproductie'!C17</f>
        <v>11135.708242098015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5252.1502960630805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2249.4130649037993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5414.2206421784422</v>
      </c>
      <c r="C117" s="587">
        <f>SUM(C114:C116)</f>
        <v>11479.33285055397</v>
      </c>
      <c r="D117" s="587">
        <f t="shared" ref="D117:N117" si="40">SUM(D114:D116)</f>
        <v>11135.708242098015</v>
      </c>
      <c r="E117" s="587">
        <f t="shared" si="40"/>
        <v>0</v>
      </c>
      <c r="F117" s="587">
        <f t="shared" si="40"/>
        <v>0</v>
      </c>
      <c r="G117" s="587">
        <f t="shared" si="40"/>
        <v>0</v>
      </c>
      <c r="H117" s="587">
        <f t="shared" si="40"/>
        <v>0</v>
      </c>
      <c r="I117" s="587">
        <f t="shared" si="40"/>
        <v>0</v>
      </c>
      <c r="J117" s="587">
        <f t="shared" si="40"/>
        <v>0</v>
      </c>
      <c r="K117" s="587">
        <f t="shared" si="40"/>
        <v>0</v>
      </c>
      <c r="L117" s="587">
        <f t="shared" si="40"/>
        <v>5252.1502960630805</v>
      </c>
      <c r="M117" s="587">
        <f t="shared" si="40"/>
        <v>0</v>
      </c>
      <c r="N117" s="587">
        <f t="shared" si="40"/>
        <v>0</v>
      </c>
      <c r="O117" s="587">
        <f>SUM(O114:O116)</f>
        <v>2249.4130649037993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20413.478869532835</v>
      </c>
      <c r="C4" s="955">
        <f>huishoudens!C9</f>
        <v>6.1237000004898965</v>
      </c>
      <c r="D4" s="955">
        <f>huishoudens!D9</f>
        <v>30449.700963531235</v>
      </c>
      <c r="E4" s="955">
        <f>huishoudens!E9</f>
        <v>2305.290369834267</v>
      </c>
      <c r="F4" s="955">
        <f>huishoudens!F9</f>
        <v>37459.461073821236</v>
      </c>
      <c r="G4" s="955" t="str">
        <f>huishoudens!G9</f>
        <v>NE</v>
      </c>
      <c r="H4" s="955" t="str">
        <f>huishoudens!H9</f>
        <v>NE</v>
      </c>
      <c r="I4" s="955" t="str">
        <f>huishoudens!I9</f>
        <v xml:space="preserve">NE </v>
      </c>
      <c r="J4" s="955">
        <f>huishoudens!J9</f>
        <v>300.28891156626105</v>
      </c>
      <c r="K4" s="955" t="str">
        <f>huishoudens!K9</f>
        <v>NE</v>
      </c>
      <c r="L4" s="955">
        <f>huishoudens!L9</f>
        <v>0</v>
      </c>
      <c r="M4" s="955">
        <f>huishoudens!M9</f>
        <v>0</v>
      </c>
      <c r="N4" s="955" t="str">
        <f>huishoudens!N9</f>
        <v>NE</v>
      </c>
      <c r="O4" s="955">
        <f>huishoudens!O9</f>
        <v>9072.4212116488652</v>
      </c>
      <c r="P4" s="955" t="str">
        <f>huishoudens!P9</f>
        <v>NE</v>
      </c>
      <c r="Q4" s="956" t="str">
        <f>huishoudens!Q9</f>
        <v>NE</v>
      </c>
      <c r="R4" s="957">
        <f>SUM(B4:Q4)</f>
        <v>100006.76509993519</v>
      </c>
    </row>
    <row r="5" spans="1:18">
      <c r="A5" s="385" t="s">
        <v>136</v>
      </c>
      <c r="B5" s="955">
        <f>tertiair!B17</f>
        <v>8798.6121915952117</v>
      </c>
      <c r="C5" s="955">
        <f>tertiair!C17</f>
        <v>253.14105191959169</v>
      </c>
      <c r="D5" s="955">
        <f>tertiair!D17</f>
        <v>6769.096683631632</v>
      </c>
      <c r="E5" s="955">
        <f>tertiair!E17</f>
        <v>22.165183620705708</v>
      </c>
      <c r="F5" s="955">
        <f>tertiair!F17</f>
        <v>1225.0312240428004</v>
      </c>
      <c r="G5" s="955" t="str">
        <f>tertiair!G17</f>
        <v>NE</v>
      </c>
      <c r="H5" s="955">
        <f>tertiair!H17</f>
        <v>0.21892717508894777</v>
      </c>
      <c r="I5" s="955" t="str">
        <f>tertiair!I17</f>
        <v>NE</v>
      </c>
      <c r="J5" s="955">
        <f>tertiair!J17</f>
        <v>1.0431165645095596E-2</v>
      </c>
      <c r="K5" s="955" t="str">
        <f>tertiair!K17</f>
        <v>NE</v>
      </c>
      <c r="L5" s="955" t="str">
        <f>tertiair!L17</f>
        <v>IE</v>
      </c>
      <c r="M5" s="955" t="str">
        <f>tertiair!M17</f>
        <v>IE</v>
      </c>
      <c r="N5" s="955" t="str">
        <f>tertiair!N17</f>
        <v>IE</v>
      </c>
      <c r="O5" s="955">
        <f>tertiair!O17</f>
        <v>403.32439406350358</v>
      </c>
      <c r="P5" s="955" t="str">
        <f>tertiair!P17</f>
        <v>NE</v>
      </c>
      <c r="Q5" s="956" t="str">
        <f>tertiair!Q17</f>
        <v>NE</v>
      </c>
      <c r="R5" s="958">
        <f t="shared" ref="R5:R14" si="0">SUM(B5:Q5)</f>
        <v>17471.600087214181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1173.2473808716845</v>
      </c>
      <c r="C7" s="955">
        <f>landbouw!C9</f>
        <v>16634.288740812335</v>
      </c>
      <c r="D7" s="955">
        <f>landbouw!D9</f>
        <v>11533.779450723636</v>
      </c>
      <c r="E7" s="955">
        <f>landbouw!E9</f>
        <v>42.408401782950193</v>
      </c>
      <c r="F7" s="955">
        <f>landbouw!F9</f>
        <v>4293.2004912903358</v>
      </c>
      <c r="G7" s="955" t="str">
        <f>landbouw!G9</f>
        <v>NE</v>
      </c>
      <c r="H7" s="955" t="str">
        <f>landbouw!H9</f>
        <v>NE</v>
      </c>
      <c r="I7" s="955" t="str">
        <f>landbouw!I9</f>
        <v>NE</v>
      </c>
      <c r="J7" s="955">
        <f>landbouw!J9</f>
        <v>136.5418509523974</v>
      </c>
      <c r="K7" s="955" t="str">
        <f>landbouw!K9</f>
        <v>NE</v>
      </c>
      <c r="L7" s="955" t="str">
        <f>landbouw!L9</f>
        <v>IE</v>
      </c>
      <c r="M7" s="955" t="str">
        <f>landbouw!M9</f>
        <v>IE</v>
      </c>
      <c r="N7" s="955" t="str">
        <f>landbouw!N9</f>
        <v>IE</v>
      </c>
      <c r="O7" s="955">
        <f>landbouw!O9</f>
        <v>0</v>
      </c>
      <c r="P7" s="955" t="str">
        <f>landbouw!P9</f>
        <v>NE</v>
      </c>
      <c r="Q7" s="956" t="str">
        <f>landbouw!Q9</f>
        <v>NE</v>
      </c>
      <c r="R7" s="958">
        <f t="shared" si="0"/>
        <v>33813.46631643334</v>
      </c>
    </row>
    <row r="8" spans="1:18">
      <c r="A8" s="385" t="s">
        <v>492</v>
      </c>
      <c r="B8" s="955">
        <f>industrie!B19</f>
        <v>4086.7916489999952</v>
      </c>
      <c r="C8" s="955">
        <f>industrie!C19</f>
        <v>0</v>
      </c>
      <c r="D8" s="955">
        <f>industrie!D19</f>
        <v>1472.61608424</v>
      </c>
      <c r="E8" s="955">
        <f>industrie!E19</f>
        <v>16.591408243658972</v>
      </c>
      <c r="F8" s="955">
        <f>industrie!F19</f>
        <v>1128.9908152159612</v>
      </c>
      <c r="G8" s="955" t="str">
        <f>industrie!G19</f>
        <v>NE</v>
      </c>
      <c r="H8" s="955">
        <f>industrie!H19</f>
        <v>0</v>
      </c>
      <c r="I8" s="955" t="str">
        <f>industrie!I19</f>
        <v>NE</v>
      </c>
      <c r="J8" s="955">
        <f>industrie!J19</f>
        <v>0.18429452731945301</v>
      </c>
      <c r="K8" s="955" t="str">
        <f>industrie!K19</f>
        <v>NE</v>
      </c>
      <c r="L8" s="955" t="str">
        <f>industrie!L19</f>
        <v>IE</v>
      </c>
      <c r="M8" s="955" t="str">
        <f>industrie!M19</f>
        <v>IE</v>
      </c>
      <c r="N8" s="955" t="str">
        <f>industrie!N19</f>
        <v>IE</v>
      </c>
      <c r="O8" s="955">
        <f>industrie!O19</f>
        <v>250.15149114677712</v>
      </c>
      <c r="P8" s="955" t="str">
        <f>industrie!P19</f>
        <v>NE</v>
      </c>
      <c r="Q8" s="956" t="str">
        <f>industrie!Q19</f>
        <v>NE</v>
      </c>
      <c r="R8" s="958">
        <f t="shared" si="0"/>
        <v>6955.3257423737132</v>
      </c>
    </row>
    <row r="9" spans="1:18" s="389" customFormat="1">
      <c r="A9" s="388" t="s">
        <v>457</v>
      </c>
      <c r="B9" s="959">
        <f>transport!B14</f>
        <v>1367.8578601131403</v>
      </c>
      <c r="C9" s="959" t="str">
        <f>transport!C14</f>
        <v>NO</v>
      </c>
      <c r="D9" s="959">
        <f>transport!D14</f>
        <v>366.83500156950009</v>
      </c>
      <c r="E9" s="959">
        <f>transport!E14</f>
        <v>168.90998250087915</v>
      </c>
      <c r="F9" s="959" t="str">
        <f>transport!F14</f>
        <v>NO</v>
      </c>
      <c r="G9" s="959">
        <f>transport!G14</f>
        <v>50082.007592524176</v>
      </c>
      <c r="H9" s="959">
        <f>transport!H14</f>
        <v>26469.631696800003</v>
      </c>
      <c r="I9" s="959" t="str">
        <f>transport!I14</f>
        <v>NO</v>
      </c>
      <c r="J9" s="959" t="str">
        <f>transport!J14</f>
        <v>NO</v>
      </c>
      <c r="K9" s="959" t="str">
        <f>transport!K14</f>
        <v>NO</v>
      </c>
      <c r="L9" s="959" t="str">
        <f>transport!L14</f>
        <v>NO</v>
      </c>
      <c r="M9" s="959" t="str">
        <f>transport!M14</f>
        <v>NO</v>
      </c>
      <c r="N9" s="959">
        <f>transport!N14</f>
        <v>8123.532549835908</v>
      </c>
      <c r="O9" s="959" t="str">
        <f>transport!O14</f>
        <v>NO</v>
      </c>
      <c r="P9" s="959" t="str">
        <f>transport!P14</f>
        <v>NO</v>
      </c>
      <c r="Q9" s="959" t="str">
        <f>transport!Q14</f>
        <v>NO</v>
      </c>
      <c r="R9" s="960">
        <f>SUM(B9:Q9)</f>
        <v>86578.77468334361</v>
      </c>
    </row>
    <row r="10" spans="1:18">
      <c r="A10" s="385" t="s">
        <v>447</v>
      </c>
      <c r="B10" s="955">
        <f>transport!B54</f>
        <v>26.31866202391414</v>
      </c>
      <c r="C10" s="955" t="str">
        <f>transport!C54</f>
        <v>NO</v>
      </c>
      <c r="D10" s="955" t="str">
        <f>transport!D54</f>
        <v>NO</v>
      </c>
      <c r="E10" s="955" t="str">
        <f>transport!E54</f>
        <v>NO</v>
      </c>
      <c r="F10" s="955" t="str">
        <f>transport!F54</f>
        <v>NO</v>
      </c>
      <c r="G10" s="955">
        <f>transport!G54</f>
        <v>970.23354852728755</v>
      </c>
      <c r="H10" s="955" t="str">
        <f>transport!H54</f>
        <v>NO</v>
      </c>
      <c r="I10" s="955" t="str">
        <f>transport!I54</f>
        <v>NO</v>
      </c>
      <c r="J10" s="955" t="str">
        <f>transport!J54</f>
        <v>NO</v>
      </c>
      <c r="K10" s="955" t="str">
        <f>transport!K54</f>
        <v>NO</v>
      </c>
      <c r="L10" s="955" t="str">
        <f>transport!L54</f>
        <v>NO</v>
      </c>
      <c r="M10" s="955" t="str">
        <f>transport!M54</f>
        <v>NO</v>
      </c>
      <c r="N10" s="955">
        <f>transport!N54</f>
        <v>116.15150205712334</v>
      </c>
      <c r="O10" s="955" t="str">
        <f>transport!O54</f>
        <v>NO</v>
      </c>
      <c r="P10" s="955" t="str">
        <f>transport!P54</f>
        <v>NO</v>
      </c>
      <c r="Q10" s="956" t="str">
        <f>transport!Q54</f>
        <v xml:space="preserve">NO </v>
      </c>
      <c r="R10" s="958">
        <f t="shared" si="0"/>
        <v>1112.7037126083251</v>
      </c>
    </row>
    <row r="11" spans="1:18">
      <c r="A11" s="385" t="s">
        <v>448</v>
      </c>
      <c r="B11" s="955">
        <f>'Eigen gebouwen'!B6</f>
        <v>212.61417563121978</v>
      </c>
      <c r="C11" s="955">
        <f>'Eigen gebouwen'!C6</f>
        <v>0</v>
      </c>
      <c r="D11" s="955">
        <f>'Eigen gebouwen'!D6</f>
        <v>680.76449930526974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893.37867493648946</v>
      </c>
    </row>
    <row r="12" spans="1:18">
      <c r="A12" s="385" t="s">
        <v>449</v>
      </c>
      <c r="B12" s="955">
        <f>'Eigen openbare verlichting'!B6</f>
        <v>625.99999999999977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625.99999999999977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586.61158</v>
      </c>
      <c r="C14" s="961" t="str">
        <f>'SECAP template'!D40</f>
        <v>NE</v>
      </c>
      <c r="D14" s="961">
        <f>'SECAP template'!E40</f>
        <v>4829.9898499999999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5416.6014299999997</v>
      </c>
    </row>
    <row r="15" spans="1:18" s="393" customFormat="1">
      <c r="A15" s="391" t="s">
        <v>451</v>
      </c>
      <c r="B15" s="962">
        <f>SUM(B4:B14)</f>
        <v>37291.532368767999</v>
      </c>
      <c r="C15" s="962">
        <f t="shared" ref="C15:R15" si="1">SUM(C4:C14)</f>
        <v>16893.553492732415</v>
      </c>
      <c r="D15" s="962">
        <f t="shared" si="1"/>
        <v>56102.782533001271</v>
      </c>
      <c r="E15" s="962">
        <f t="shared" si="1"/>
        <v>2555.3653459824609</v>
      </c>
      <c r="F15" s="962">
        <f t="shared" si="1"/>
        <v>44106.683604370337</v>
      </c>
      <c r="G15" s="962">
        <f t="shared" si="1"/>
        <v>51052.241141051461</v>
      </c>
      <c r="H15" s="962">
        <f t="shared" si="1"/>
        <v>26469.850623975093</v>
      </c>
      <c r="I15" s="962">
        <f t="shared" si="1"/>
        <v>0</v>
      </c>
      <c r="J15" s="962">
        <f t="shared" si="1"/>
        <v>437.02548821162304</v>
      </c>
      <c r="K15" s="962">
        <f t="shared" si="1"/>
        <v>0</v>
      </c>
      <c r="L15" s="962">
        <f t="shared" si="1"/>
        <v>0</v>
      </c>
      <c r="M15" s="962">
        <f t="shared" si="1"/>
        <v>0</v>
      </c>
      <c r="N15" s="962">
        <f t="shared" si="1"/>
        <v>8239.6840518930312</v>
      </c>
      <c r="O15" s="962">
        <f t="shared" si="1"/>
        <v>9725.8970968591457</v>
      </c>
      <c r="P15" s="962">
        <f t="shared" si="1"/>
        <v>0</v>
      </c>
      <c r="Q15" s="962">
        <f t="shared" si="1"/>
        <v>0</v>
      </c>
      <c r="R15" s="962">
        <f t="shared" si="1"/>
        <v>252874.61574684482</v>
      </c>
    </row>
    <row r="17" spans="1:18">
      <c r="A17" s="394" t="s">
        <v>452</v>
      </c>
      <c r="B17" s="617">
        <f>huishoudens!B11</f>
        <v>0.12877708123456447</v>
      </c>
      <c r="C17" s="617">
        <f>huishoudens!C11</f>
        <v>0.13315215569486277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2628.7882266618954</v>
      </c>
      <c r="C22" s="955">
        <f t="shared" ref="C22:C32" si="2">IFERROR(C4*$C$17,C4)</f>
        <v>0.81538385589386198</v>
      </c>
      <c r="D22" s="955">
        <f t="shared" ref="D22:D32" si="3">IFERROR(D4*$D$17,D4)</f>
        <v>6150.8395946333103</v>
      </c>
      <c r="E22" s="955">
        <f t="shared" ref="E22:E32" si="4">IFERROR(E4*$E$17,E4)</f>
        <v>523.30091395237866</v>
      </c>
      <c r="F22" s="955">
        <f t="shared" ref="F22:F32" si="5">IFERROR(F4*$F$17,F4)</f>
        <v>10001.676106710271</v>
      </c>
      <c r="G22" s="955" t="str">
        <f t="shared" ref="G22:G32" si="6">IFERROR(G4*$G$17,G4)</f>
        <v>NE</v>
      </c>
      <c r="H22" s="955" t="str">
        <f t="shared" ref="H22:H32" si="7">IFERROR(H4*$H$17,H4)</f>
        <v>NE</v>
      </c>
      <c r="I22" s="955" t="str">
        <f t="shared" ref="I22:I32" si="8">IFERROR(I4*$I$17,I4)</f>
        <v xml:space="preserve">NE </v>
      </c>
      <c r="J22" s="955">
        <f t="shared" ref="J22:J32" si="9">IFERROR(J4*$J$17,J4)</f>
        <v>106.3022746944564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19411.722500508204</v>
      </c>
    </row>
    <row r="23" spans="1:18">
      <c r="A23" s="385" t="s">
        <v>136</v>
      </c>
      <c r="B23" s="955">
        <f t="shared" ref="B23:B32" si="17">B5*$B$17</f>
        <v>1133.0595969484859</v>
      </c>
      <c r="C23" s="955">
        <f t="shared" si="2"/>
        <v>33.706276757958811</v>
      </c>
      <c r="D23" s="955">
        <f t="shared" si="3"/>
        <v>1367.3575300935897</v>
      </c>
      <c r="E23" s="955">
        <f t="shared" si="4"/>
        <v>5.0314966819001956</v>
      </c>
      <c r="F23" s="955">
        <f t="shared" si="5"/>
        <v>327.08333681942776</v>
      </c>
      <c r="G23" s="955" t="str">
        <f t="shared" si="6"/>
        <v>NE</v>
      </c>
      <c r="H23" s="955">
        <f t="shared" si="7"/>
        <v>5.4512866597147991E-2</v>
      </c>
      <c r="I23" s="955" t="str">
        <f t="shared" si="8"/>
        <v>NE</v>
      </c>
      <c r="J23" s="955">
        <f t="shared" si="9"/>
        <v>3.6926326383638409E-3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2866.296442800598</v>
      </c>
    </row>
    <row r="24" spans="1:18">
      <c r="A24" s="385" t="s">
        <v>174</v>
      </c>
      <c r="B24" s="955">
        <f t="shared" si="17"/>
        <v>2.9280518273154591E-14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151.08737327475291</v>
      </c>
      <c r="C25" s="955">
        <f t="shared" si="2"/>
        <v>2214.8914042899469</v>
      </c>
      <c r="D25" s="955">
        <f t="shared" si="3"/>
        <v>2329.8234490461746</v>
      </c>
      <c r="E25" s="955">
        <f t="shared" si="4"/>
        <v>9.6267072047296942</v>
      </c>
      <c r="F25" s="955">
        <f t="shared" si="5"/>
        <v>1146.2845311745198</v>
      </c>
      <c r="G25" s="955" t="str">
        <f t="shared" si="6"/>
        <v>NE</v>
      </c>
      <c r="H25" s="955" t="str">
        <f t="shared" si="7"/>
        <v>NE</v>
      </c>
      <c r="I25" s="955" t="str">
        <f t="shared" si="8"/>
        <v>NE</v>
      </c>
      <c r="J25" s="955">
        <f t="shared" si="9"/>
        <v>48.335815237148672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5900.049280227272</v>
      </c>
    </row>
    <row r="26" spans="1:18">
      <c r="A26" s="385" t="s">
        <v>492</v>
      </c>
      <c r="B26" s="955">
        <f t="shared" si="17"/>
        <v>526.28510017201211</v>
      </c>
      <c r="C26" s="955">
        <f t="shared" si="2"/>
        <v>0</v>
      </c>
      <c r="D26" s="955">
        <f t="shared" si="3"/>
        <v>297.46844901648001</v>
      </c>
      <c r="E26" s="955">
        <f t="shared" si="4"/>
        <v>3.7662496713105869</v>
      </c>
      <c r="F26" s="955">
        <f t="shared" si="5"/>
        <v>301.44054766266169</v>
      </c>
      <c r="G26" s="955" t="str">
        <f t="shared" si="6"/>
        <v>NE</v>
      </c>
      <c r="H26" s="955">
        <f t="shared" si="7"/>
        <v>0</v>
      </c>
      <c r="I26" s="955" t="str">
        <f t="shared" si="8"/>
        <v>NE</v>
      </c>
      <c r="J26" s="955">
        <f t="shared" si="9"/>
        <v>6.524026267108636E-2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1129.0255867851354</v>
      </c>
    </row>
    <row r="27" spans="1:18" s="389" customFormat="1">
      <c r="A27" s="388" t="s">
        <v>457</v>
      </c>
      <c r="B27" s="963">
        <f t="shared" si="17"/>
        <v>176.14874276912738</v>
      </c>
      <c r="C27" s="955" t="str">
        <f t="shared" si="2"/>
        <v>NO</v>
      </c>
      <c r="D27" s="955">
        <f t="shared" si="3"/>
        <v>74.100670317039018</v>
      </c>
      <c r="E27" s="955">
        <f t="shared" si="4"/>
        <v>38.342566027699569</v>
      </c>
      <c r="F27" s="955" t="str">
        <f t="shared" si="5"/>
        <v>NO</v>
      </c>
      <c r="G27" s="955">
        <f t="shared" si="6"/>
        <v>13371.896027203957</v>
      </c>
      <c r="H27" s="955">
        <f t="shared" si="7"/>
        <v>6590.9382925032005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20251.426298821025</v>
      </c>
    </row>
    <row r="28" spans="1:18" ht="16.5" customHeight="1">
      <c r="A28" s="385" t="s">
        <v>447</v>
      </c>
      <c r="B28" s="955">
        <f t="shared" si="17"/>
        <v>3.389240477438638</v>
      </c>
      <c r="C28" s="955" t="str">
        <f t="shared" si="2"/>
        <v>NO</v>
      </c>
      <c r="D28" s="955" t="str">
        <f t="shared" si="3"/>
        <v>NO</v>
      </c>
      <c r="E28" s="955" t="str">
        <f t="shared" si="4"/>
        <v>NO</v>
      </c>
      <c r="F28" s="955" t="str">
        <f t="shared" si="5"/>
        <v>NO</v>
      </c>
      <c r="G28" s="955">
        <f t="shared" si="6"/>
        <v>259.05235745678578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262.44159793422443</v>
      </c>
    </row>
    <row r="29" spans="1:18">
      <c r="A29" s="385" t="s">
        <v>448</v>
      </c>
      <c r="B29" s="955">
        <f t="shared" si="17"/>
        <v>27.379832966881548</v>
      </c>
      <c r="C29" s="955">
        <f t="shared" si="2"/>
        <v>0</v>
      </c>
      <c r="D29" s="955">
        <f t="shared" si="3"/>
        <v>137.51442885966449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164.89426182654603</v>
      </c>
    </row>
    <row r="30" spans="1:18">
      <c r="A30" s="385" t="s">
        <v>449</v>
      </c>
      <c r="B30" s="955">
        <f t="shared" si="17"/>
        <v>80.614452852837331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80.614452852837331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75.542127090796214</v>
      </c>
      <c r="C32" s="955" t="str">
        <f t="shared" si="2"/>
        <v>NE</v>
      </c>
      <c r="D32" s="955">
        <f t="shared" si="3"/>
        <v>975.65794970000002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1051.2000767907962</v>
      </c>
    </row>
    <row r="33" spans="1:18" s="393" customFormat="1">
      <c r="A33" s="391" t="s">
        <v>451</v>
      </c>
      <c r="B33" s="962">
        <f>SUM(B22:B32)</f>
        <v>4802.2946932142277</v>
      </c>
      <c r="C33" s="962">
        <f t="shared" ref="C33:R33" si="22">SUM(C22:C32)</f>
        <v>2249.4130649037998</v>
      </c>
      <c r="D33" s="962">
        <f t="shared" si="22"/>
        <v>11332.762071666259</v>
      </c>
      <c r="E33" s="962">
        <f t="shared" si="22"/>
        <v>580.06793353801868</v>
      </c>
      <c r="F33" s="962">
        <f t="shared" si="22"/>
        <v>11776.48452236688</v>
      </c>
      <c r="G33" s="962">
        <f t="shared" si="22"/>
        <v>13630.948384660742</v>
      </c>
      <c r="H33" s="962">
        <f t="shared" si="22"/>
        <v>6590.9928053697977</v>
      </c>
      <c r="I33" s="962">
        <f t="shared" si="22"/>
        <v>0</v>
      </c>
      <c r="J33" s="962">
        <f t="shared" si="22"/>
        <v>154.70702282691454</v>
      </c>
      <c r="K33" s="392">
        <f t="shared" si="22"/>
        <v>0</v>
      </c>
      <c r="L33" s="392">
        <f t="shared" si="22"/>
        <v>0</v>
      </c>
      <c r="M33" s="392">
        <f t="shared" si="22"/>
        <v>0</v>
      </c>
      <c r="N33" s="392">
        <f t="shared" si="22"/>
        <v>0</v>
      </c>
      <c r="O33" s="392">
        <f t="shared" si="22"/>
        <v>0</v>
      </c>
      <c r="P33" s="392">
        <f t="shared" si="22"/>
        <v>0</v>
      </c>
      <c r="Q33" s="392">
        <f t="shared" si="22"/>
        <v>0</v>
      </c>
      <c r="R33" s="392">
        <f t="shared" si="22"/>
        <v>51117.670498546635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11163.571983291256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3546.0364283241634</v>
      </c>
      <c r="C8" s="791">
        <f>'SECAP template'!C103</f>
        <v>7518.3734005609895</v>
      </c>
      <c r="D8" s="791">
        <f>'SECAP template'!D103</f>
        <v>7293.3169317202264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3439.8886760883138</v>
      </c>
      <c r="M8" s="791">
        <f>'SECAP template'!M103</f>
        <v>0</v>
      </c>
      <c r="N8" s="791">
        <f>'SECAP template'!N103</f>
        <v>0</v>
      </c>
      <c r="O8" s="792">
        <f>'SECAP template'!O103</f>
        <v>1473.2500202074859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14709.60841161542</v>
      </c>
      <c r="C10" s="793">
        <f>SUM(C4:C9)</f>
        <v>7518.3734005609895</v>
      </c>
      <c r="D10" s="793">
        <f t="shared" ref="D10:H10" si="0">SUM(D8:D9)</f>
        <v>7293.3169317202264</v>
      </c>
      <c r="E10" s="793">
        <f t="shared" si="0"/>
        <v>0</v>
      </c>
      <c r="F10" s="793">
        <f t="shared" si="0"/>
        <v>0</v>
      </c>
      <c r="G10" s="793">
        <f t="shared" si="0"/>
        <v>0</v>
      </c>
      <c r="H10" s="793">
        <f t="shared" si="0"/>
        <v>0</v>
      </c>
      <c r="I10" s="793">
        <f t="shared" ref="I10:O10" si="1">SUM(I8:I9)</f>
        <v>0</v>
      </c>
      <c r="J10" s="793">
        <f t="shared" si="1"/>
        <v>0</v>
      </c>
      <c r="K10" s="793">
        <f t="shared" si="1"/>
        <v>0</v>
      </c>
      <c r="L10" s="793">
        <f t="shared" si="1"/>
        <v>3439.8886760883138</v>
      </c>
      <c r="M10" s="793">
        <f t="shared" si="1"/>
        <v>0</v>
      </c>
      <c r="N10" s="793">
        <f t="shared" si="1"/>
        <v>0</v>
      </c>
      <c r="O10" s="793">
        <f t="shared" si="1"/>
        <v>1473.2500202074859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0.12877708123456447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5414.2206421784422</v>
      </c>
      <c r="C17" s="794">
        <f>'SECAP template'!C114</f>
        <v>11479.33285055397</v>
      </c>
      <c r="D17" s="792">
        <f>'SECAP template'!D114</f>
        <v>11135.708242098015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5252.1502960630805</v>
      </c>
      <c r="M17" s="792">
        <f>'SECAP template'!M114</f>
        <v>0</v>
      </c>
      <c r="N17" s="792">
        <f>'SECAP template'!N114</f>
        <v>0</v>
      </c>
      <c r="O17" s="792">
        <f>'SECAP template'!O114</f>
        <v>2249.4130649037993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5414.2206421784422</v>
      </c>
      <c r="C20" s="793">
        <f>SUM(C17:C19)</f>
        <v>11479.33285055397</v>
      </c>
      <c r="D20" s="793">
        <f t="shared" ref="D20:H20" si="2">SUM(D17:D19)</f>
        <v>11135.708242098015</v>
      </c>
      <c r="E20" s="793">
        <f t="shared" si="2"/>
        <v>0</v>
      </c>
      <c r="F20" s="793">
        <f t="shared" si="2"/>
        <v>0</v>
      </c>
      <c r="G20" s="793">
        <f t="shared" si="2"/>
        <v>0</v>
      </c>
      <c r="H20" s="793">
        <f t="shared" si="2"/>
        <v>0</v>
      </c>
      <c r="I20" s="793">
        <f t="shared" ref="I20:O20" si="3">SUM(I17:I19)</f>
        <v>0</v>
      </c>
      <c r="J20" s="793">
        <f t="shared" si="3"/>
        <v>0</v>
      </c>
      <c r="K20" s="793">
        <f t="shared" si="3"/>
        <v>0</v>
      </c>
      <c r="L20" s="793">
        <f t="shared" si="3"/>
        <v>5252.1502960630805</v>
      </c>
      <c r="M20" s="793">
        <f t="shared" si="3"/>
        <v>0</v>
      </c>
      <c r="N20" s="793">
        <f t="shared" si="3"/>
        <v>0</v>
      </c>
      <c r="O20" s="793">
        <f t="shared" si="3"/>
        <v>2249.4130649037993</v>
      </c>
    </row>
    <row r="21" spans="1:15">
      <c r="B21" s="705"/>
    </row>
    <row r="22" spans="1:15">
      <c r="A22" s="394" t="s">
        <v>572</v>
      </c>
      <c r="B22" s="617" t="s">
        <v>570</v>
      </c>
      <c r="C22" s="617">
        <f>'EF ele_warmte'!B23</f>
        <v>0.13315215569486277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0.12877708123456447</v>
      </c>
      <c r="C29" s="405">
        <f>'EF ele_warmte'!B23</f>
        <v>0.13315215569486277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6300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1709.9200000000003</v>
      </c>
      <c r="C14" s="286"/>
      <c r="D14" s="286"/>
      <c r="E14" s="286"/>
      <c r="F14" s="286"/>
      <c r="G14" s="286"/>
    </row>
    <row r="15" spans="1:7">
      <c r="A15" s="979" t="s">
        <v>164</v>
      </c>
      <c r="B15" s="980">
        <v>4363</v>
      </c>
      <c r="C15" s="286"/>
      <c r="D15" s="286"/>
      <c r="E15" s="286"/>
      <c r="F15" s="286"/>
      <c r="G15" s="286"/>
    </row>
    <row r="16" spans="1:7">
      <c r="A16" s="979" t="s">
        <v>6</v>
      </c>
      <c r="B16" s="980">
        <v>1046</v>
      </c>
      <c r="C16" s="286"/>
      <c r="D16" s="286"/>
      <c r="E16" s="286"/>
      <c r="F16" s="286"/>
      <c r="G16" s="286"/>
    </row>
    <row r="17" spans="1:7">
      <c r="A17" s="979" t="s">
        <v>7</v>
      </c>
      <c r="B17" s="980">
        <v>108</v>
      </c>
      <c r="C17" s="286"/>
      <c r="D17" s="286"/>
      <c r="E17" s="286"/>
      <c r="F17" s="286"/>
      <c r="G17" s="286"/>
    </row>
    <row r="18" spans="1:7">
      <c r="A18" s="979" t="s">
        <v>8</v>
      </c>
      <c r="B18" s="980">
        <v>431</v>
      </c>
      <c r="C18" s="286"/>
      <c r="D18" s="286"/>
      <c r="E18" s="286"/>
      <c r="F18" s="286"/>
      <c r="G18" s="286"/>
    </row>
    <row r="19" spans="1:7">
      <c r="A19" s="979" t="s">
        <v>9</v>
      </c>
      <c r="B19" s="980">
        <v>468</v>
      </c>
      <c r="C19" s="286"/>
      <c r="D19" s="286"/>
      <c r="E19" s="286"/>
      <c r="F19" s="286"/>
      <c r="G19" s="286"/>
    </row>
    <row r="20" spans="1:7">
      <c r="A20" s="979" t="s">
        <v>10</v>
      </c>
      <c r="B20" s="980">
        <v>242</v>
      </c>
      <c r="C20" s="286"/>
      <c r="D20" s="286"/>
      <c r="E20" s="286"/>
      <c r="F20" s="286"/>
      <c r="G20" s="286"/>
    </row>
    <row r="21" spans="1:7">
      <c r="A21" s="979" t="s">
        <v>11</v>
      </c>
      <c r="B21" s="980">
        <v>2535</v>
      </c>
      <c r="C21" s="286"/>
      <c r="D21" s="286"/>
      <c r="E21" s="286"/>
      <c r="F21" s="286"/>
      <c r="G21" s="286"/>
    </row>
    <row r="22" spans="1:7">
      <c r="A22" s="979" t="s">
        <v>12</v>
      </c>
      <c r="B22" s="980">
        <v>0</v>
      </c>
      <c r="C22" s="286"/>
      <c r="D22" s="286"/>
      <c r="E22" s="286"/>
      <c r="F22" s="286"/>
      <c r="G22" s="286"/>
    </row>
    <row r="23" spans="1:7">
      <c r="A23" s="979" t="s">
        <v>13</v>
      </c>
      <c r="B23" s="980">
        <v>197</v>
      </c>
      <c r="C23" s="286"/>
      <c r="D23" s="286"/>
      <c r="E23" s="286"/>
      <c r="F23" s="286"/>
      <c r="G23" s="286"/>
    </row>
    <row r="24" spans="1:7">
      <c r="A24" s="979" t="s">
        <v>14</v>
      </c>
      <c r="B24" s="980">
        <v>4</v>
      </c>
      <c r="C24" s="286"/>
      <c r="D24" s="286"/>
      <c r="E24" s="286"/>
      <c r="F24" s="286"/>
      <c r="G24" s="286"/>
    </row>
    <row r="25" spans="1:7">
      <c r="A25" s="979" t="s">
        <v>15</v>
      </c>
      <c r="B25" s="980">
        <v>756</v>
      </c>
      <c r="C25" s="286"/>
      <c r="D25" s="286"/>
      <c r="E25" s="286"/>
      <c r="F25" s="286"/>
      <c r="G25" s="286"/>
    </row>
    <row r="26" spans="1:7">
      <c r="A26" s="979" t="s">
        <v>16</v>
      </c>
      <c r="B26" s="980">
        <v>74</v>
      </c>
      <c r="C26" s="286"/>
      <c r="D26" s="286"/>
      <c r="E26" s="286"/>
      <c r="F26" s="286"/>
      <c r="G26" s="286"/>
    </row>
    <row r="27" spans="1:7">
      <c r="A27" s="979" t="s">
        <v>17</v>
      </c>
      <c r="B27" s="980">
        <v>52</v>
      </c>
      <c r="C27" s="286"/>
      <c r="D27" s="286"/>
      <c r="E27" s="286"/>
      <c r="F27" s="286"/>
      <c r="G27" s="286"/>
    </row>
    <row r="28" spans="1:7">
      <c r="A28" s="983" t="s">
        <v>18</v>
      </c>
      <c r="B28" s="1240">
        <v>13747</v>
      </c>
      <c r="C28" s="286"/>
      <c r="D28" s="286"/>
      <c r="E28" s="286"/>
      <c r="F28" s="286"/>
      <c r="G28" s="286"/>
    </row>
    <row r="29" spans="1:7">
      <c r="A29" s="983" t="s">
        <v>534</v>
      </c>
      <c r="B29" s="1240">
        <v>215</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57105.03</v>
      </c>
      <c r="E38" s="980">
        <v>0</v>
      </c>
      <c r="F38" s="980">
        <v>0</v>
      </c>
      <c r="G38" s="286"/>
    </row>
    <row r="39" spans="1:7">
      <c r="A39" s="979" t="s">
        <v>29</v>
      </c>
      <c r="B39" s="979" t="s">
        <v>30</v>
      </c>
      <c r="C39" s="980">
        <v>2704</v>
      </c>
      <c r="D39" s="980">
        <v>33717863.404753178</v>
      </c>
      <c r="E39" s="980">
        <v>6484</v>
      </c>
      <c r="F39" s="980">
        <v>17520091.438916802</v>
      </c>
      <c r="G39" s="286"/>
    </row>
    <row r="40" spans="1:7">
      <c r="A40" s="979" t="s">
        <v>29</v>
      </c>
      <c r="B40" s="979" t="s">
        <v>28</v>
      </c>
      <c r="C40" s="980">
        <v>1</v>
      </c>
      <c r="D40" s="980">
        <v>15065.68</v>
      </c>
      <c r="E40" s="980">
        <v>1</v>
      </c>
      <c r="F40" s="980">
        <v>4744.59</v>
      </c>
      <c r="G40" s="286"/>
    </row>
    <row r="41" spans="1:7">
      <c r="A41" s="979" t="s">
        <v>31</v>
      </c>
      <c r="B41" s="979" t="s">
        <v>32</v>
      </c>
      <c r="C41" s="980">
        <v>76</v>
      </c>
      <c r="D41" s="980">
        <v>877714.69</v>
      </c>
      <c r="E41" s="980">
        <v>183</v>
      </c>
      <c r="F41" s="980">
        <v>990863.83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156764.32999999999</v>
      </c>
      <c r="E44" s="980">
        <v>17</v>
      </c>
      <c r="F44" s="980">
        <v>74229.09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596325.06000000006</v>
      </c>
      <c r="E48" s="980">
        <v>5</v>
      </c>
      <c r="F48" s="980">
        <v>33995.910000000003</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2791765.39</v>
      </c>
      <c r="G50" s="286"/>
    </row>
    <row r="51" spans="1:7">
      <c r="A51" s="979" t="s">
        <v>41</v>
      </c>
      <c r="B51" s="979" t="s">
        <v>42</v>
      </c>
      <c r="C51" s="980">
        <v>7</v>
      </c>
      <c r="D51" s="980">
        <v>32655960.719999999</v>
      </c>
      <c r="E51" s="980">
        <v>62</v>
      </c>
      <c r="F51" s="980">
        <v>1083530.8</v>
      </c>
      <c r="G51" s="286"/>
    </row>
    <row r="52" spans="1:7">
      <c r="A52" s="979" t="s">
        <v>41</v>
      </c>
      <c r="B52" s="979" t="s">
        <v>28</v>
      </c>
      <c r="C52" s="980">
        <v>0</v>
      </c>
      <c r="D52" s="980">
        <v>0</v>
      </c>
      <c r="E52" s="980">
        <v>0</v>
      </c>
      <c r="F52" s="980">
        <v>0</v>
      </c>
      <c r="G52" s="286"/>
    </row>
    <row r="53" spans="1:7">
      <c r="A53" s="979" t="s">
        <v>43</v>
      </c>
      <c r="B53" s="979" t="s">
        <v>44</v>
      </c>
      <c r="C53" s="980">
        <v>56</v>
      </c>
      <c r="D53" s="980">
        <v>4829989.8499999996</v>
      </c>
      <c r="E53" s="980">
        <v>303</v>
      </c>
      <c r="F53" s="980">
        <v>586611.57999999996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626000</v>
      </c>
      <c r="G55" s="286"/>
    </row>
    <row r="56" spans="1:7">
      <c r="A56" s="979" t="s">
        <v>47</v>
      </c>
      <c r="B56" s="979" t="s">
        <v>28</v>
      </c>
      <c r="C56" s="980">
        <v>0</v>
      </c>
      <c r="D56" s="980">
        <v>0</v>
      </c>
      <c r="E56" s="980">
        <v>0</v>
      </c>
      <c r="F56" s="980">
        <v>0</v>
      </c>
      <c r="G56" s="286"/>
    </row>
    <row r="57" spans="1:7">
      <c r="A57" s="979" t="s">
        <v>48</v>
      </c>
      <c r="B57" s="979" t="s">
        <v>49</v>
      </c>
      <c r="C57" s="980">
        <v>35</v>
      </c>
      <c r="D57" s="980">
        <v>2097616.2400000002</v>
      </c>
      <c r="E57" s="980">
        <v>100</v>
      </c>
      <c r="F57" s="980">
        <v>1112594.93</v>
      </c>
      <c r="G57" s="286"/>
    </row>
    <row r="58" spans="1:7">
      <c r="A58" s="979" t="s">
        <v>48</v>
      </c>
      <c r="B58" s="979" t="s">
        <v>50</v>
      </c>
      <c r="C58" s="980">
        <v>13</v>
      </c>
      <c r="D58" s="980">
        <v>2692655.95</v>
      </c>
      <c r="E58" s="980">
        <v>31</v>
      </c>
      <c r="F58" s="980">
        <v>901804.04</v>
      </c>
      <c r="G58" s="286"/>
    </row>
    <row r="59" spans="1:7">
      <c r="A59" s="979" t="s">
        <v>48</v>
      </c>
      <c r="B59" s="979" t="s">
        <v>51</v>
      </c>
      <c r="C59" s="980">
        <v>48</v>
      </c>
      <c r="D59" s="980">
        <v>1122680.81</v>
      </c>
      <c r="E59" s="980">
        <v>158</v>
      </c>
      <c r="F59" s="980">
        <v>3431105.85</v>
      </c>
      <c r="G59" s="286"/>
    </row>
    <row r="60" spans="1:7">
      <c r="A60" s="979" t="s">
        <v>48</v>
      </c>
      <c r="B60" s="979" t="s">
        <v>52</v>
      </c>
      <c r="C60" s="980">
        <v>25</v>
      </c>
      <c r="D60" s="980">
        <v>777069.95</v>
      </c>
      <c r="E60" s="980">
        <v>63</v>
      </c>
      <c r="F60" s="980">
        <v>1005746.51</v>
      </c>
      <c r="G60" s="286"/>
    </row>
    <row r="61" spans="1:7">
      <c r="A61" s="979" t="s">
        <v>48</v>
      </c>
      <c r="B61" s="979" t="s">
        <v>53</v>
      </c>
      <c r="C61" s="980">
        <v>75</v>
      </c>
      <c r="D61" s="980">
        <v>1441759.7252468271</v>
      </c>
      <c r="E61" s="980">
        <v>255</v>
      </c>
      <c r="F61" s="980">
        <v>1726915.791083195</v>
      </c>
      <c r="G61" s="286"/>
    </row>
    <row r="62" spans="1:7">
      <c r="A62" s="979" t="s">
        <v>48</v>
      </c>
      <c r="B62" s="979" t="s">
        <v>54</v>
      </c>
      <c r="C62" s="980">
        <v>9</v>
      </c>
      <c r="D62" s="980">
        <v>631450.18999999994</v>
      </c>
      <c r="E62" s="980">
        <v>17</v>
      </c>
      <c r="F62" s="980">
        <v>81662.13</v>
      </c>
      <c r="G62" s="286"/>
    </row>
    <row r="63" spans="1:7">
      <c r="A63" s="979" t="s">
        <v>48</v>
      </c>
      <c r="B63" s="979" t="s">
        <v>28</v>
      </c>
      <c r="C63" s="980">
        <v>0</v>
      </c>
      <c r="D63" s="980">
        <v>0</v>
      </c>
      <c r="E63" s="980">
        <v>2</v>
      </c>
      <c r="F63" s="980">
        <v>9767.76</v>
      </c>
      <c r="G63" s="286"/>
    </row>
    <row r="64" spans="1:7">
      <c r="A64" s="979" t="s">
        <v>55</v>
      </c>
      <c r="B64" s="979" t="s">
        <v>56</v>
      </c>
      <c r="C64" s="980">
        <v>0</v>
      </c>
      <c r="D64" s="980">
        <v>0</v>
      </c>
      <c r="E64" s="980">
        <v>0</v>
      </c>
      <c r="F64" s="980">
        <v>0</v>
      </c>
      <c r="G64" s="286"/>
    </row>
    <row r="65" spans="1:7">
      <c r="A65" s="979" t="s">
        <v>55</v>
      </c>
      <c r="B65" s="979" t="s">
        <v>28</v>
      </c>
      <c r="C65" s="980">
        <v>2</v>
      </c>
      <c r="D65" s="980">
        <v>50488.02</v>
      </c>
      <c r="E65" s="980">
        <v>1</v>
      </c>
      <c r="F65" s="980">
        <v>2788.1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26275.83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103173669</v>
      </c>
      <c r="E73" s="384"/>
      <c r="F73" s="286"/>
      <c r="G73" s="286"/>
    </row>
    <row r="74" spans="1:7">
      <c r="A74" s="979" t="s">
        <v>63</v>
      </c>
      <c r="B74" s="979" t="s">
        <v>505</v>
      </c>
      <c r="C74" s="1250" t="s">
        <v>507</v>
      </c>
      <c r="D74" s="1251">
        <v>5261897.7782947142</v>
      </c>
      <c r="E74" s="384"/>
      <c r="F74" s="286"/>
      <c r="G74" s="286"/>
    </row>
    <row r="75" spans="1:7">
      <c r="A75" s="979" t="s">
        <v>64</v>
      </c>
      <c r="B75" s="979" t="s">
        <v>504</v>
      </c>
      <c r="C75" s="1250" t="s">
        <v>508</v>
      </c>
      <c r="D75" s="1251">
        <v>7610127</v>
      </c>
      <c r="E75" s="384"/>
      <c r="F75" s="286"/>
      <c r="G75" s="286"/>
    </row>
    <row r="76" spans="1:7">
      <c r="A76" s="979" t="s">
        <v>64</v>
      </c>
      <c r="B76" s="979" t="s">
        <v>505</v>
      </c>
      <c r="C76" s="1250" t="s">
        <v>509</v>
      </c>
      <c r="D76" s="1251">
        <v>7089.1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310546.44341057102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9693.297369393631</v>
      </c>
      <c r="C91" s="286" t="s">
        <v>629</v>
      </c>
      <c r="D91" s="286"/>
      <c r="E91" s="286"/>
      <c r="F91" s="286"/>
      <c r="G91" s="286"/>
    </row>
    <row r="92" spans="1:7">
      <c r="A92" s="981" t="s">
        <v>68</v>
      </c>
      <c r="B92" s="986">
        <v>1470.2746138976249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212614.17563121978</v>
      </c>
      <c r="C97" s="286"/>
      <c r="D97" s="286"/>
      <c r="E97" s="286"/>
      <c r="F97" s="286"/>
      <c r="G97" s="286"/>
    </row>
    <row r="98" spans="1:7">
      <c r="A98" s="286" t="s">
        <v>176</v>
      </c>
      <c r="B98" s="980">
        <v>0</v>
      </c>
      <c r="C98" s="286"/>
      <c r="D98" s="286"/>
      <c r="E98" s="286"/>
      <c r="F98" s="286"/>
      <c r="G98" s="286"/>
    </row>
    <row r="99" spans="1:7">
      <c r="A99" s="286" t="s">
        <v>179</v>
      </c>
      <c r="B99" s="980">
        <v>753892.02580871503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625999.99999999977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2884.5566626157074</v>
      </c>
      <c r="C121" s="286"/>
      <c r="D121" s="286"/>
      <c r="E121" s="286"/>
      <c r="F121" s="286"/>
      <c r="G121" s="286"/>
    </row>
    <row r="122" spans="1:7">
      <c r="A122" s="286" t="s">
        <v>731</v>
      </c>
      <c r="B122" s="980">
        <v>195.93742899999503</v>
      </c>
      <c r="C122" s="286"/>
      <c r="D122" s="286"/>
      <c r="E122" s="286"/>
      <c r="F122" s="286"/>
      <c r="G122" s="286"/>
    </row>
    <row r="123" spans="1:7">
      <c r="A123" s="286" t="s">
        <v>3</v>
      </c>
      <c r="B123" s="980">
        <v>89.716580871684528</v>
      </c>
      <c r="C123" s="286"/>
      <c r="D123" s="286"/>
      <c r="E123" s="286"/>
      <c r="F123" s="286"/>
      <c r="G123" s="286"/>
    </row>
    <row r="124" spans="1:7">
      <c r="A124" s="981" t="s">
        <v>732</v>
      </c>
      <c r="B124" s="986">
        <v>582.39135613049541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37291.532368767999</v>
      </c>
      <c r="C3" s="43" t="s">
        <v>150</v>
      </c>
      <c r="D3" s="43"/>
      <c r="E3" s="151"/>
      <c r="F3" s="43"/>
      <c r="G3" s="43"/>
      <c r="H3" s="43"/>
      <c r="I3" s="43"/>
      <c r="J3" s="43"/>
      <c r="K3" s="95"/>
    </row>
    <row r="4" spans="1:11">
      <c r="A4" s="304" t="s">
        <v>151</v>
      </c>
      <c r="B4" s="49">
        <f>IF(ISERROR('SECAP template'!B105+'SECAP template'!C105),0,'SECAP template'!B105+'SECAP template'!C105)</f>
        <v>22227.981812176411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1473.2500202074859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0.12877708123456447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2249.4130649037993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16893.553492732415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0.13315215569486277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212.61417563121978</v>
      </c>
      <c r="C4" s="30">
        <f>kWh_eigengeb_warmtekoude/1000</f>
        <v>0</v>
      </c>
      <c r="D4" s="30">
        <f>kWh_eigengeb_aardgas/1000*0.903</f>
        <v>680.76449930526974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212.61417563121978</v>
      </c>
      <c r="C6" s="21">
        <f>SUM(C4:C4)</f>
        <v>0</v>
      </c>
      <c r="D6" s="21">
        <f>SUM(D4:D4)</f>
        <v>680.76449930526974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0.12877708123456447</v>
      </c>
      <c r="C8" s="917">
        <f>'EF ele_warmte'!B23</f>
        <v>0.13315215569486277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27.379832966881548</v>
      </c>
      <c r="C10" s="23">
        <f>C6*C8</f>
        <v>0</v>
      </c>
      <c r="D10" s="23">
        <f>D6*D8</f>
        <v>137.51442885966449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625.99999999999977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625.99999999999977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0.12877708123456447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80.614452852837331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626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-625.99999999999977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0.12877708123456447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2.9280518273154591E-14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17524.836028916801</v>
      </c>
      <c r="C5" s="17">
        <f>IF(ISERROR('Eigen informatie GS &amp; warmtenet'!B61),0,'Eigen informatie GS &amp; warmtenet'!B61)</f>
        <v>0</v>
      </c>
      <c r="D5" s="30">
        <f>(SUM(HH_hh_gas_kWh,HH_rest_gas_kWh)/1000)*0.903</f>
        <v>30460.834963532125</v>
      </c>
      <c r="E5" s="17">
        <f>B33*B42</f>
        <v>2305.290369834267</v>
      </c>
      <c r="F5" s="17">
        <f>B37*B46</f>
        <v>37459.461073821236</v>
      </c>
      <c r="G5" s="18" t="s">
        <v>637</v>
      </c>
      <c r="H5" s="17" t="s">
        <v>637</v>
      </c>
      <c r="I5" s="17" t="s">
        <v>637</v>
      </c>
      <c r="J5" s="17">
        <f>B36*B45+C36*C45</f>
        <v>300.28891156626105</v>
      </c>
      <c r="K5" s="17" t="s">
        <v>637</v>
      </c>
      <c r="L5" s="884" t="s">
        <v>637</v>
      </c>
      <c r="M5" s="17" t="s">
        <v>637</v>
      </c>
      <c r="N5" s="17" t="s">
        <v>670</v>
      </c>
      <c r="O5" s="17">
        <f>B35*B44+C35*C44</f>
        <v>9072.4212116488652</v>
      </c>
      <c r="P5" s="17" t="s">
        <v>637</v>
      </c>
      <c r="Q5" s="17" t="s">
        <v>637</v>
      </c>
    </row>
    <row r="6" spans="1:17" s="810" customFormat="1">
      <c r="A6" s="16" t="s">
        <v>633</v>
      </c>
      <c r="B6" s="17">
        <f>'lokale energieproductie'!N32</f>
        <v>4.0861780003268944</v>
      </c>
      <c r="C6" s="17">
        <f>'lokale energieproductie'!O32</f>
        <v>6.1237000004898965</v>
      </c>
      <c r="D6" s="17">
        <f>('lokale energieproductie'!P32)*(-1)</f>
        <v>-11.134000000890721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2884.5566626157074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20413.478869532835</v>
      </c>
      <c r="C9" s="21">
        <f>MAX((C5+C6+C7),0)</f>
        <v>6.1237000004898965</v>
      </c>
      <c r="D9" s="21">
        <f t="shared" ref="D9:O9" si="0">MAX((D5+D6+D7),0)</f>
        <v>30449.700963531235</v>
      </c>
      <c r="E9" s="21">
        <f t="shared" si="0"/>
        <v>2305.290369834267</v>
      </c>
      <c r="F9" s="21">
        <f t="shared" si="0"/>
        <v>37459.461073821236</v>
      </c>
      <c r="G9" s="21" t="s">
        <v>637</v>
      </c>
      <c r="H9" s="21" t="s">
        <v>637</v>
      </c>
      <c r="I9" s="21" t="s">
        <v>670</v>
      </c>
      <c r="J9" s="21">
        <f t="shared" si="0"/>
        <v>300.28891156626105</v>
      </c>
      <c r="K9" s="21" t="s">
        <v>637</v>
      </c>
      <c r="L9" s="21">
        <f>MAX((L6),0)</f>
        <v>0</v>
      </c>
      <c r="M9" s="21">
        <f>MAX((M6),0)</f>
        <v>0</v>
      </c>
      <c r="N9" s="21" t="s">
        <v>637</v>
      </c>
      <c r="O9" s="21">
        <f t="shared" si="0"/>
        <v>9072.4212116488652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0.12877708123456447</v>
      </c>
      <c r="C11" s="25">
        <f>'EF ele_warmte'!B23</f>
        <v>0.13315215569486277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2628.7882266618954</v>
      </c>
      <c r="C13" s="23">
        <f>C11*C9</f>
        <v>0.81538385589386198</v>
      </c>
      <c r="D13" s="23">
        <f>D9*D11</f>
        <v>6150.8395946333103</v>
      </c>
      <c r="E13" s="23">
        <f>E11*E9</f>
        <v>523.30091395237866</v>
      </c>
      <c r="F13" s="23">
        <f>F11*F9</f>
        <v>10001.676106710271</v>
      </c>
      <c r="G13" s="23" t="s">
        <v>637</v>
      </c>
      <c r="H13" s="23" t="s">
        <v>637</v>
      </c>
      <c r="I13" s="23" t="s">
        <v>637</v>
      </c>
      <c r="J13" s="23">
        <f>J11*J9</f>
        <v>106.3022746944564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6300</v>
      </c>
      <c r="C27" s="36"/>
      <c r="D27" s="208"/>
      <c r="E27" s="1168"/>
      <c r="L27" s="812"/>
    </row>
    <row r="28" spans="1:12" s="15" customFormat="1" hidden="1">
      <c r="A28" s="210" t="s">
        <v>722</v>
      </c>
      <c r="B28" s="37">
        <f>SUM(HH_hh_gas_aantal,HH_rest_gas_aantal)</f>
        <v>2705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2569.75</v>
      </c>
      <c r="C32" s="34" t="s">
        <v>91</v>
      </c>
      <c r="D32" s="167"/>
      <c r="E32" s="1168"/>
    </row>
    <row r="33" spans="1:6" hidden="1">
      <c r="A33" s="164" t="s">
        <v>70</v>
      </c>
      <c r="B33" s="33">
        <f>IF((B22*($B$27-($B$28-0.05*$B$28)))&lt;0,0,(B22*($B$27-($B$28-0.05*$B$28))))</f>
        <v>60.154333519685778</v>
      </c>
      <c r="C33" s="34" t="s">
        <v>91</v>
      </c>
      <c r="D33" s="167"/>
      <c r="E33" s="1168"/>
    </row>
    <row r="34" spans="1:6" hidden="1">
      <c r="A34" s="164" t="s">
        <v>71</v>
      </c>
      <c r="B34" s="33">
        <f>IF((B23*($B$27-($B$28-0.05*$B$28)))&lt;0,0,B23*($B$27-($B$28-0.05*$B$28)))</f>
        <v>976.78723939452573</v>
      </c>
      <c r="C34" s="34" t="s">
        <v>91</v>
      </c>
      <c r="D34" s="167"/>
      <c r="E34" s="1168"/>
    </row>
    <row r="35" spans="1:6" hidden="1">
      <c r="A35" s="164" t="s">
        <v>72</v>
      </c>
      <c r="B35" s="33">
        <f>IF((B25*($B$27-($B$28-0.05*$B$28)))&lt;0,0,B25*($B$27-($B$28-0.05*$B$28)))</f>
        <v>427.10617120198464</v>
      </c>
      <c r="C35" s="33">
        <f>B27*C25</f>
        <v>1058.3999999999996</v>
      </c>
      <c r="D35" s="213"/>
      <c r="E35" s="1168"/>
    </row>
    <row r="36" spans="1:6" hidden="1">
      <c r="A36" s="164" t="s">
        <v>73</v>
      </c>
      <c r="B36" s="33">
        <f>IF((B20*($B$27-($B$28-0.05*$B$28)))&lt;0,0,B20*($B$27-($B$28-0.05*$B$28)))</f>
        <v>26.148945369151068</v>
      </c>
      <c r="C36" s="33">
        <f>B36/2</f>
        <v>13.074472684575534</v>
      </c>
      <c r="D36" s="213"/>
      <c r="E36" s="1168"/>
    </row>
    <row r="37" spans="1:6" hidden="1">
      <c r="A37" s="164" t="s">
        <v>74</v>
      </c>
      <c r="B37" s="33">
        <f>IF((B19*($B$27-($B$28-0.05*$B$28)))&lt;0,0,B19*($B$27-($B$28-0.05*$B$28)))</f>
        <v>1976.6979428045656</v>
      </c>
      <c r="C37" s="34" t="s">
        <v>91</v>
      </c>
      <c r="D37" s="167"/>
      <c r="E37" s="1168"/>
    </row>
    <row r="38" spans="1:6" hidden="1">
      <c r="A38" s="164" t="s">
        <v>75</v>
      </c>
      <c r="B38" s="33">
        <f>IF((B24*($B$27-($B$28-0.05*$B$28)))&lt;0,0,B24*($B$27-($B$28-0.05*$B$28)))</f>
        <v>245.83034885546661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8269.5970110831968</v>
      </c>
      <c r="C5" s="17">
        <f>IF(ISERROR('Eigen informatie GS &amp; warmtenet'!B62),0,'Eigen informatie GS &amp; warmtenet'!B62)</f>
        <v>0</v>
      </c>
      <c r="D5" s="30">
        <f>SUM(D6:D12)</f>
        <v>7913.1992773178854</v>
      </c>
      <c r="E5" s="17">
        <f>SUM(E6:E12)</f>
        <v>22.165183620705708</v>
      </c>
      <c r="F5" s="17">
        <f>SUM(F6:F12)</f>
        <v>1225.0312240428004</v>
      </c>
      <c r="G5" s="17" t="s">
        <v>637</v>
      </c>
      <c r="H5" s="17">
        <f t="shared" ref="H5" si="0">SUM(H6:H12)</f>
        <v>0.21892717508894777</v>
      </c>
      <c r="I5" s="17" t="s">
        <v>637</v>
      </c>
      <c r="J5" s="17">
        <f>SUM(J6:J12)</f>
        <v>1.0431165645095596E-2</v>
      </c>
      <c r="K5" s="17" t="s">
        <v>637</v>
      </c>
      <c r="L5" s="884" t="s">
        <v>668</v>
      </c>
      <c r="M5" s="17" t="s">
        <v>668</v>
      </c>
      <c r="N5" s="17" t="s">
        <v>668</v>
      </c>
      <c r="O5" s="17">
        <f>SUM(O6:O12)</f>
        <v>403.32439406350358</v>
      </c>
      <c r="P5" s="17" t="s">
        <v>637</v>
      </c>
      <c r="Q5" s="17" t="s">
        <v>637</v>
      </c>
      <c r="S5" s="32"/>
    </row>
    <row r="6" spans="1:19">
      <c r="A6" s="32" t="s">
        <v>53</v>
      </c>
      <c r="B6" s="37">
        <f>B27</f>
        <v>1726.915791083195</v>
      </c>
      <c r="C6" s="33"/>
      <c r="D6" s="37">
        <f>IF(ISERROR(TER_kantoor_gas_kWh/1000),0,TER_kantoor_gas_kWh/1000)*0.903</f>
        <v>1301.9090318978849</v>
      </c>
      <c r="E6" s="33">
        <f>$C$27*'E Balans VL '!I12/100/3.6*1000000</f>
        <v>1.283850920011721E-4</v>
      </c>
      <c r="F6" s="33">
        <f>$C$27*('E Balans VL '!L12+'E Balans VL '!N12)/100/3.6*1000000</f>
        <v>142.64562501699154</v>
      </c>
      <c r="G6" s="33"/>
      <c r="H6" s="33">
        <f>$C$27*('E Balans VL '!J12)/100/3.6*1000000</f>
        <v>0</v>
      </c>
      <c r="I6" s="33"/>
      <c r="J6" s="33">
        <f>$C$27*('E Balans VL '!D12+'E Balans VL '!E12)/100/3.6*1000000</f>
        <v>0</v>
      </c>
      <c r="K6" s="33"/>
      <c r="L6" s="33"/>
      <c r="M6" s="33"/>
      <c r="N6" s="33"/>
      <c r="O6" s="33">
        <f>$C$27*'E Balans VL '!Y12/100/3.6*1000000</f>
        <v>2.1195760569305211</v>
      </c>
      <c r="P6" s="33"/>
      <c r="Q6" s="33"/>
      <c r="S6" s="32"/>
    </row>
    <row r="7" spans="1:19">
      <c r="A7" s="32" t="s">
        <v>52</v>
      </c>
      <c r="B7" s="37">
        <f t="shared" ref="B7:B12" si="1">B28</f>
        <v>1005.7465100000001</v>
      </c>
      <c r="C7" s="33"/>
      <c r="D7" s="37">
        <f>IF(ISERROR(TER_horeca_gas_kWh/1000),0,TER_horeca_gas_kWh/1000)*0.903</f>
        <v>701.69416484999999</v>
      </c>
      <c r="E7" s="33">
        <f>$C$28*'E Balans VL '!I9/100/3.6*1000000</f>
        <v>0</v>
      </c>
      <c r="F7" s="33">
        <f>$C$28*('E Balans VL '!L9+'E Balans VL '!N9)/100/3.6*1000000</f>
        <v>123.89382883275958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3431.1058499999999</v>
      </c>
      <c r="C8" s="33"/>
      <c r="D8" s="37">
        <f>IF(ISERROR(TER_handel_gas_kWh/1000),0,TER_handel_gas_kWh/1000)*0.903</f>
        <v>1013.7807714300001</v>
      </c>
      <c r="E8" s="33">
        <f>$C$29*'E Balans VL '!I13/100/3.6*1000000</f>
        <v>9.418954215022679E-2</v>
      </c>
      <c r="F8" s="33">
        <f>$C$29*('E Balans VL '!L13+'E Balans VL '!N13)/100/3.6*1000000</f>
        <v>260.47595251815363</v>
      </c>
      <c r="G8" s="33"/>
      <c r="H8" s="33">
        <f>$C$29*('E Balans VL '!J13)/100/3.6*1000000</f>
        <v>0</v>
      </c>
      <c r="I8" s="33"/>
      <c r="J8" s="33">
        <f>$C$29*('E Balans VL '!D13+'E Balans VL '!E13)/100/3.6*1000000</f>
        <v>0</v>
      </c>
      <c r="K8" s="33"/>
      <c r="L8" s="33"/>
      <c r="M8" s="33"/>
      <c r="N8" s="33"/>
      <c r="O8" s="33">
        <f>$C$29*'E Balans VL '!Y13/100/3.6*1000000</f>
        <v>2.3348483728837777</v>
      </c>
      <c r="P8" s="33"/>
      <c r="Q8" s="33"/>
      <c r="S8" s="32"/>
    </row>
    <row r="9" spans="1:19">
      <c r="A9" s="32" t="s">
        <v>50</v>
      </c>
      <c r="B9" s="37">
        <f t="shared" si="1"/>
        <v>901.80403999999999</v>
      </c>
      <c r="C9" s="33"/>
      <c r="D9" s="37">
        <f>IF(ISERROR(TER_gezond_gas_kWh/1000),0,TER_gezond_gas_kWh/1000)*0.903</f>
        <v>2431.4683228500003</v>
      </c>
      <c r="E9" s="33">
        <f>$C$30*'E Balans VL '!I10/100/3.6*1000000</f>
        <v>0</v>
      </c>
      <c r="F9" s="33">
        <f>$C$30*('E Balans VL '!L10+'E Balans VL '!N10)/100/3.6*1000000</f>
        <v>15.838251370515884</v>
      </c>
      <c r="G9" s="33"/>
      <c r="H9" s="33">
        <f>$C$30*('E Balans VL '!J10)/100/3.6*1000000</f>
        <v>0</v>
      </c>
      <c r="I9" s="33"/>
      <c r="J9" s="33">
        <f>$C$30*('E Balans VL '!D10+'E Balans VL '!E10)/100/3.6*1000000</f>
        <v>0</v>
      </c>
      <c r="K9" s="33"/>
      <c r="L9" s="33"/>
      <c r="M9" s="33"/>
      <c r="N9" s="33"/>
      <c r="O9" s="33">
        <f>$C$30*'E Balans VL '!Y10/100/3.6*1000000</f>
        <v>4.3939137690451009</v>
      </c>
      <c r="P9" s="33"/>
      <c r="Q9" s="33"/>
      <c r="S9" s="32"/>
    </row>
    <row r="10" spans="1:19">
      <c r="A10" s="32" t="s">
        <v>49</v>
      </c>
      <c r="B10" s="37">
        <f t="shared" si="1"/>
        <v>1112.59493</v>
      </c>
      <c r="C10" s="33"/>
      <c r="D10" s="37">
        <f>IF(ISERROR(TER_ander_gas_kWh/1000),0,TER_ander_gas_kWh/1000)*0.903</f>
        <v>1894.1474647200002</v>
      </c>
      <c r="E10" s="33">
        <f>$C$31*'E Balans VL '!I14/100/3.6*1000000</f>
        <v>22.025673159785988</v>
      </c>
      <c r="F10" s="33">
        <f>$C$31*('E Balans VL '!L14+'E Balans VL '!N14)/100/3.6*1000000</f>
        <v>674.24353913170205</v>
      </c>
      <c r="G10" s="33"/>
      <c r="H10" s="33">
        <f>$C$31*('E Balans VL '!J14)/100/3.6*1000000</f>
        <v>0.21847959030544753</v>
      </c>
      <c r="I10" s="33"/>
      <c r="J10" s="33">
        <f>$C$31*('E Balans VL '!D14+'E Balans VL '!E14)/100/3.6*1000000</f>
        <v>1.0409839690403044E-2</v>
      </c>
      <c r="K10" s="33"/>
      <c r="L10" s="33"/>
      <c r="M10" s="33"/>
      <c r="N10" s="33"/>
      <c r="O10" s="33">
        <f>$C$31*'E Balans VL '!Y14/100/3.6*1000000</f>
        <v>393.58434840420438</v>
      </c>
      <c r="P10" s="33"/>
      <c r="Q10" s="33"/>
      <c r="S10" s="32"/>
    </row>
    <row r="11" spans="1:19">
      <c r="A11" s="32" t="s">
        <v>54</v>
      </c>
      <c r="B11" s="37">
        <f t="shared" si="1"/>
        <v>81.662130000000005</v>
      </c>
      <c r="C11" s="33"/>
      <c r="D11" s="37">
        <f>IF(ISERROR(TER_onderwijs_gas_kWh/1000),0,TER_onderwijs_gas_kWh/1000)*0.903</f>
        <v>570.19952156999989</v>
      </c>
      <c r="E11" s="33">
        <f>$C$32*'E Balans VL '!I11/100/3.6*1000000</f>
        <v>0</v>
      </c>
      <c r="F11" s="33">
        <f>$C$32*('E Balans VL '!L11+'E Balans VL '!N11)/100/3.6*1000000</f>
        <v>5.9846777212374187</v>
      </c>
      <c r="G11" s="33"/>
      <c r="H11" s="33">
        <f>$C$32*('E Balans VL '!J11)/100/3.6*1000000</f>
        <v>0</v>
      </c>
      <c r="I11" s="33"/>
      <c r="J11" s="33">
        <f>$C$32*('E Balans VL '!D11+'E Balans VL '!E11)/100/3.6*1000000</f>
        <v>0</v>
      </c>
      <c r="K11" s="33"/>
      <c r="L11" s="33"/>
      <c r="M11" s="33"/>
      <c r="N11" s="33"/>
      <c r="O11" s="33">
        <f>$C$32*'E Balans VL '!Y11/100/3.6*1000000</f>
        <v>7.5311699760906764E-2</v>
      </c>
      <c r="P11" s="33"/>
      <c r="Q11" s="33"/>
      <c r="S11" s="32"/>
    </row>
    <row r="12" spans="1:19">
      <c r="A12" s="32" t="s">
        <v>229</v>
      </c>
      <c r="B12" s="37">
        <f t="shared" si="1"/>
        <v>9.7677600000000009</v>
      </c>
      <c r="C12" s="33"/>
      <c r="D12" s="37">
        <f>IF(ISERROR(TER_rest_gas_kWh/1000),0,TER_rest_gas_kWh/1000)*0.903</f>
        <v>0</v>
      </c>
      <c r="E12" s="33">
        <f>$C$33*'E Balans VL '!I8/100/3.6*1000000</f>
        <v>4.5192533677494422E-2</v>
      </c>
      <c r="F12" s="33">
        <f>$C$33*('E Balans VL '!L8+'E Balans VL '!N8)/100/3.6*1000000</f>
        <v>1.9493494514404073</v>
      </c>
      <c r="G12" s="33"/>
      <c r="H12" s="33">
        <f>$C$33*('E Balans VL '!J8)/100/3.6*1000000</f>
        <v>4.4758478350023843E-4</v>
      </c>
      <c r="I12" s="33"/>
      <c r="J12" s="33">
        <f>$C$33*('E Balans VL '!D8+'E Balans VL '!E8)/100/3.6*1000000</f>
        <v>2.1325954692551722E-5</v>
      </c>
      <c r="K12" s="33"/>
      <c r="L12" s="33"/>
      <c r="M12" s="33"/>
      <c r="N12" s="33"/>
      <c r="O12" s="33">
        <f>$C$33*'E Balans VL '!Y8/100/3.6*1000000</f>
        <v>0.81639576067893127</v>
      </c>
      <c r="P12" s="33"/>
      <c r="Q12" s="33"/>
      <c r="S12" s="32"/>
    </row>
    <row r="13" spans="1:19">
      <c r="A13" s="16" t="s">
        <v>625</v>
      </c>
      <c r="B13" s="17">
        <f>'lokale energieproductie'!N34</f>
        <v>159.23800001273861</v>
      </c>
      <c r="C13" s="17">
        <f>'lokale energieproductie'!O34</f>
        <v>253.14105191959169</v>
      </c>
      <c r="D13" s="920">
        <f>('lokale energieproductie'!P34)*(-1)</f>
        <v>-463.3380943809837</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582.39135613049541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-212.61417563121978</v>
      </c>
      <c r="C15" s="17">
        <f>('Eigen gebouwen'!C4)*(-1)</f>
        <v>0</v>
      </c>
      <c r="D15" s="17">
        <f>('Eigen gebouwen'!D4)*(-1)</f>
        <v>-680.76449930526974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8798.6121915952117</v>
      </c>
      <c r="C17" s="21">
        <f t="shared" ref="C17:O17" si="2">MAX((C5+C13+C15),0)</f>
        <v>253.14105191959169</v>
      </c>
      <c r="D17" s="21">
        <f t="shared" si="2"/>
        <v>6769.096683631632</v>
      </c>
      <c r="E17" s="21">
        <f t="shared" si="2"/>
        <v>22.165183620705708</v>
      </c>
      <c r="F17" s="21">
        <f>MAX((F5+F13+F15),0)</f>
        <v>1225.0312240428004</v>
      </c>
      <c r="G17" s="21" t="s">
        <v>637</v>
      </c>
      <c r="H17" s="21">
        <f t="shared" ref="H17" si="3">MAX((H5+H13+H15),0)</f>
        <v>0.21892717508894777</v>
      </c>
      <c r="I17" s="21" t="s">
        <v>637</v>
      </c>
      <c r="J17" s="21">
        <f t="shared" si="2"/>
        <v>1.0431165645095596E-2</v>
      </c>
      <c r="K17" s="21" t="s">
        <v>637</v>
      </c>
      <c r="L17" s="21" t="s">
        <v>668</v>
      </c>
      <c r="M17" s="21" t="s">
        <v>668</v>
      </c>
      <c r="N17" s="21" t="s">
        <v>668</v>
      </c>
      <c r="O17" s="21">
        <f t="shared" si="2"/>
        <v>403.32439406350358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0.12877708123456447</v>
      </c>
      <c r="C19" s="25">
        <f>'EF ele_warmte'!B23</f>
        <v>0.13315215569486277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1133.0595969484859</v>
      </c>
      <c r="C21" s="23">
        <f t="shared" ref="C21:O21" si="4">C17*C19</f>
        <v>33.706276757958811</v>
      </c>
      <c r="D21" s="23">
        <f t="shared" si="4"/>
        <v>1367.3575300935897</v>
      </c>
      <c r="E21" s="23">
        <f t="shared" si="4"/>
        <v>5.0314966819001956</v>
      </c>
      <c r="F21" s="23">
        <f t="shared" si="4"/>
        <v>327.08333681942776</v>
      </c>
      <c r="G21" s="23" t="s">
        <v>637</v>
      </c>
      <c r="H21" s="23">
        <f t="shared" si="4"/>
        <v>5.4512866597147991E-2</v>
      </c>
      <c r="I21" s="23" t="s">
        <v>637</v>
      </c>
      <c r="J21" s="23">
        <f t="shared" si="4"/>
        <v>3.6926326383638409E-3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1726.915791083195</v>
      </c>
      <c r="C27" s="39">
        <f>IF(ISERROR(B27*3.6/1000000/'E Balans VL '!Z12*100),0,B27*3.6/1000000/'E Balans VL '!Z12*100)</f>
        <v>5.2604081867894614E-2</v>
      </c>
      <c r="D27" s="216" t="s">
        <v>734</v>
      </c>
      <c r="F27" s="6"/>
    </row>
    <row r="28" spans="1:19">
      <c r="A28" s="211" t="s">
        <v>52</v>
      </c>
      <c r="B28" s="33">
        <f>IF(ISERROR(TER_horeca_ele_kWh/1000),0,TER_horeca_ele_kWh/1000)</f>
        <v>1005.7465100000001</v>
      </c>
      <c r="C28" s="39">
        <f>IF(ISERROR(B28*3.6/1000000/'E Balans VL '!Z9*100),0,B28*3.6/1000000/'E Balans VL '!Z9*100)</f>
        <v>0.11979651594237446</v>
      </c>
      <c r="D28" s="216" t="s">
        <v>734</v>
      </c>
      <c r="F28" s="6"/>
    </row>
    <row r="29" spans="1:19">
      <c r="A29" s="164" t="s">
        <v>51</v>
      </c>
      <c r="B29" s="33">
        <f>IF(ISERROR(TER_handel_ele_kWh/1000),0,TER_handel_ele_kWh/1000)</f>
        <v>3431.1058499999999</v>
      </c>
      <c r="C29" s="39">
        <f>IF(ISERROR(B29*3.6/1000000/'E Balans VL '!Z13*100),0,B29*3.6/1000000/'E Balans VL '!Z13*100)</f>
        <v>0.1179099531746953</v>
      </c>
      <c r="D29" s="216" t="s">
        <v>734</v>
      </c>
      <c r="F29" s="6"/>
    </row>
    <row r="30" spans="1:19">
      <c r="A30" s="211" t="s">
        <v>50</v>
      </c>
      <c r="B30" s="33">
        <f>IF(ISERROR(TER_gezond_ele_kWh/1000),0,TER_gezond_ele_kWh/1000)</f>
        <v>901.80403999999999</v>
      </c>
      <c r="C30" s="39">
        <f>IF(ISERROR(B30*3.6/1000000/'E Balans VL '!Z10*100),0,B30*3.6/1000000/'E Balans VL '!Z10*100)</f>
        <v>8.6546659250037294E-2</v>
      </c>
      <c r="D30" s="216" t="s">
        <v>734</v>
      </c>
      <c r="F30" s="6"/>
    </row>
    <row r="31" spans="1:19">
      <c r="A31" s="211" t="s">
        <v>49</v>
      </c>
      <c r="B31" s="33">
        <f>IF(ISERROR(TER_ander_ele_kWh/1000),0,TER_ander_ele_kWh/1000)</f>
        <v>1112.59493</v>
      </c>
      <c r="C31" s="39">
        <f>IF(ISERROR(B31*3.6/1000000/'E Balans VL '!Z14*100),0,B31*3.6/1000000/'E Balans VL '!Z14*100)</f>
        <v>4.2634155728613149E-2</v>
      </c>
      <c r="D31" s="216" t="s">
        <v>734</v>
      </c>
      <c r="F31" s="6"/>
    </row>
    <row r="32" spans="1:19">
      <c r="A32" s="211" t="s">
        <v>54</v>
      </c>
      <c r="B32" s="33">
        <f>IF(ISERROR(TER_onderwijs_ele_kWh/1000),0,TER_onderwijs_ele_kWh/1000)</f>
        <v>81.662130000000005</v>
      </c>
      <c r="C32" s="39">
        <f>IF(ISERROR(B32*3.6/1000000/'E Balans VL '!Z11*100),0,B32*3.6/1000000/'E Balans VL '!Z11*100)</f>
        <v>1.6351473794680143E-2</v>
      </c>
      <c r="D32" s="216" t="s">
        <v>734</v>
      </c>
    </row>
    <row r="33" spans="1:4">
      <c r="A33" s="211" t="s">
        <v>229</v>
      </c>
      <c r="B33" s="33">
        <f>IF(ISERROR(TER_rest_ele_kWh/1000),0,TER_rest_ele_kWh/1000)</f>
        <v>9.7677600000000009</v>
      </c>
      <c r="C33" s="39">
        <f>IF(ISERROR(B33*3.6/1000000/'E Balans VL '!Z8*100),0,B33*3.6/1000000/'E Balans VL '!Z8*100)</f>
        <v>8.7341793962669159E-5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3890.8542200000002</v>
      </c>
      <c r="C5" s="17">
        <f>IF(ISERROR('Eigen informatie GS &amp; warmtenet'!B63),0,'Eigen informatie GS &amp; warmtenet'!B63)</f>
        <v>0</v>
      </c>
      <c r="D5" s="30">
        <f>SUM(D6:D15)</f>
        <v>1472.61608424</v>
      </c>
      <c r="E5" s="17">
        <f>SUM(E6:E15)</f>
        <v>16.591408243658972</v>
      </c>
      <c r="F5" s="17">
        <f>SUM(F6:F15)</f>
        <v>1128.9908152159612</v>
      </c>
      <c r="G5" s="17" t="s">
        <v>637</v>
      </c>
      <c r="H5" s="17">
        <f t="shared" ref="H5" si="0">SUM(H6:H15)</f>
        <v>0</v>
      </c>
      <c r="I5" s="17" t="s">
        <v>637</v>
      </c>
      <c r="J5" s="17">
        <f>SUM(J6:J15)</f>
        <v>0.18429452731945301</v>
      </c>
      <c r="K5" s="17" t="s">
        <v>637</v>
      </c>
      <c r="L5" s="884" t="s">
        <v>668</v>
      </c>
      <c r="M5" s="17" t="s">
        <v>668</v>
      </c>
      <c r="N5" s="17" t="s">
        <v>668</v>
      </c>
      <c r="O5" s="17">
        <f>SUM(O6:O15)</f>
        <v>250.15149114677712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74.229089999999999</v>
      </c>
      <c r="C8" s="33"/>
      <c r="D8" s="37">
        <f>IF( ISERROR(IND_metaal_Gas_kWH/1000),0,IND_metaal_Gas_kWH/1000)*0.903</f>
        <v>141.55818999000002</v>
      </c>
      <c r="E8" s="33">
        <f>C31*'E Balans VL '!I18/100/3.6*1000000</f>
        <v>0.41167524887512436</v>
      </c>
      <c r="F8" s="33">
        <f>C31*'E Balans VL '!L18/100/3.6*1000000+C31*'E Balans VL '!N18/100/3.6*1000000</f>
        <v>4.3869258834292308</v>
      </c>
      <c r="G8" s="33"/>
      <c r="H8" s="33">
        <f>E31*'E Balans VL '!J18/100/3.6*1000000</f>
        <v>0</v>
      </c>
      <c r="I8" s="33"/>
      <c r="J8" s="40">
        <f>C31*'E Balans VL '!D18/100/3.6*1000000+C31*'E Balans VL '!E18/100/3.6*1000000</f>
        <v>0</v>
      </c>
      <c r="K8" s="33"/>
      <c r="L8" s="33"/>
      <c r="M8" s="33"/>
      <c r="N8" s="33"/>
      <c r="O8" s="33">
        <f>C31*'E Balans VL '!Y18/100/3.6*1000000</f>
        <v>1.1871788884592711</v>
      </c>
      <c r="P8" s="33"/>
      <c r="Q8" s="33"/>
      <c r="S8" s="32"/>
    </row>
    <row r="9" spans="1:19">
      <c r="A9" s="6" t="s">
        <v>32</v>
      </c>
      <c r="B9" s="37">
        <f t="shared" si="1"/>
        <v>990.86383000000001</v>
      </c>
      <c r="C9" s="33"/>
      <c r="D9" s="37">
        <f>IF( ISERROR(IND_andere_gas_kWh/1000),0,IND_andere_gas_kWh/1000)*0.903</f>
        <v>792.57636506999995</v>
      </c>
      <c r="E9" s="33">
        <f>C32*'E Balans VL '!I19/100/3.6*1000000</f>
        <v>6.2388398489389383</v>
      </c>
      <c r="F9" s="33">
        <f>C32*'E Balans VL '!L19/100/3.6*1000000+C32*'E Balans VL '!N19/100/3.6*1000000</f>
        <v>1003.6602143713724</v>
      </c>
      <c r="G9" s="33"/>
      <c r="H9" s="33">
        <f>E32*'E Balans VL '!J19/100/3.6*1000000</f>
        <v>0</v>
      </c>
      <c r="I9" s="33"/>
      <c r="J9" s="40">
        <f>C32*'E Balans VL '!D19/100/3.6*1000000+C32*'E Balans VL '!E19/100/3.6*1000000</f>
        <v>0</v>
      </c>
      <c r="K9" s="33"/>
      <c r="L9" s="33"/>
      <c r="M9" s="33"/>
      <c r="N9" s="33"/>
      <c r="O9" s="33">
        <f>C32*'E Balans VL '!Y19/100/3.6*1000000</f>
        <v>63.840379942684613</v>
      </c>
      <c r="P9" s="33"/>
      <c r="Q9" s="33"/>
      <c r="S9" s="32"/>
    </row>
    <row r="10" spans="1:19">
      <c r="A10" s="6" t="s">
        <v>40</v>
      </c>
      <c r="B10" s="37">
        <f t="shared" si="1"/>
        <v>2791.76539</v>
      </c>
      <c r="C10" s="33"/>
      <c r="D10" s="37">
        <f>IF( ISERROR(IND_voed_gas_kWh/1000),0,IND_voed_gas_kWh/1000)*0.903</f>
        <v>0</v>
      </c>
      <c r="E10" s="33">
        <f>C33*'E Balans VL '!I20/100/3.6*1000000</f>
        <v>7.3970922455513675</v>
      </c>
      <c r="F10" s="33">
        <f>C33*'E Balans VL '!L20/100/3.6*1000000+C33*'E Balans VL '!N20/100/3.6*1000000</f>
        <v>113.36869434852541</v>
      </c>
      <c r="G10" s="33"/>
      <c r="H10" s="33">
        <f>E33*'E Balans VL '!J20/100/3.6*1000000</f>
        <v>0</v>
      </c>
      <c r="I10" s="33"/>
      <c r="J10" s="40">
        <f>C33*'E Balans VL '!D20/100/3.6*1000000+C33*'E Balans VL '!E20/100/3.6*1000000</f>
        <v>0</v>
      </c>
      <c r="K10" s="33"/>
      <c r="L10" s="33"/>
      <c r="M10" s="33"/>
      <c r="N10" s="33"/>
      <c r="O10" s="33">
        <f>C33*'E Balans VL '!Y20/100/3.6*1000000</f>
        <v>183.50915285049189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33.995910000000002</v>
      </c>
      <c r="C15" s="33"/>
      <c r="D15" s="37">
        <f>IF( ISERROR(IND_rest_gas_kWh/1000),0,IND_rest_gas_kWh/1000)*0.903</f>
        <v>538.48152918000005</v>
      </c>
      <c r="E15" s="33">
        <f>C38*'E Balans VL '!I15/100/3.6*1000000</f>
        <v>2.5438009002935407</v>
      </c>
      <c r="F15" s="33">
        <f>C38*'E Balans VL '!L15/100/3.6*1000000+C38*'E Balans VL '!N15/100/3.6*1000000</f>
        <v>7.5749806126340546</v>
      </c>
      <c r="G15" s="33"/>
      <c r="H15" s="33">
        <f>E38*'E Balans VL '!J15/100/3.6*1000000</f>
        <v>0</v>
      </c>
      <c r="I15" s="33"/>
      <c r="J15" s="40">
        <f>C38*'E Balans VL '!D15/100/3.6*1000000+C38*'E Balans VL '!E15/100/3.6*1000000</f>
        <v>0.18429452731945301</v>
      </c>
      <c r="K15" s="33"/>
      <c r="L15" s="33"/>
      <c r="M15" s="33"/>
      <c r="N15" s="33"/>
      <c r="O15" s="33">
        <f>C38*'E Balans VL '!Y15/100/3.6*1000000</f>
        <v>1.6147794651413483</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195.93742899999503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4086.7916489999952</v>
      </c>
      <c r="C19" s="21">
        <f>C5+C16</f>
        <v>0</v>
      </c>
      <c r="D19" s="21">
        <f>MAX((D5+D16),0)</f>
        <v>1472.61608424</v>
      </c>
      <c r="E19" s="21">
        <f>MAX((E5+E16),0)</f>
        <v>16.591408243658972</v>
      </c>
      <c r="F19" s="21">
        <f>MAX((F5+F16),0)</f>
        <v>1128.9908152159612</v>
      </c>
      <c r="G19" s="21" t="s">
        <v>637</v>
      </c>
      <c r="H19" s="21">
        <f t="shared" ref="H19" si="2">MAX((H5+H16),0)</f>
        <v>0</v>
      </c>
      <c r="I19" s="21" t="s">
        <v>637</v>
      </c>
      <c r="J19" s="21">
        <f>MAX((J5+J16),0)</f>
        <v>0.18429452731945301</v>
      </c>
      <c r="K19" s="21" t="s">
        <v>637</v>
      </c>
      <c r="L19" s="882" t="s">
        <v>668</v>
      </c>
      <c r="M19" s="21" t="s">
        <v>668</v>
      </c>
      <c r="N19" s="21" t="s">
        <v>668</v>
      </c>
      <c r="O19" s="21">
        <f>MAX((O5+O16),0)</f>
        <v>250.15149114677712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0.12877708123456447</v>
      </c>
      <c r="C21" s="25">
        <f>'EF ele_warmte'!B23</f>
        <v>0.13315215569486277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526.28510017201211</v>
      </c>
      <c r="C23" s="23">
        <f>C19*C21</f>
        <v>0</v>
      </c>
      <c r="D23" s="23">
        <f>D19*D21</f>
        <v>297.46844901648001</v>
      </c>
      <c r="E23" s="23">
        <f>E19*E21</f>
        <v>3.7662496713105869</v>
      </c>
      <c r="F23" s="23">
        <f>F19*F21</f>
        <v>301.44054766266169</v>
      </c>
      <c r="G23" s="23" t="s">
        <v>637</v>
      </c>
      <c r="H23" s="23">
        <f t="shared" ref="H23" si="3">H19*H21</f>
        <v>0</v>
      </c>
      <c r="I23" s="23" t="s">
        <v>637</v>
      </c>
      <c r="J23" s="23">
        <f>J19*J21</f>
        <v>6.524026267108636E-2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74.229089999999999</v>
      </c>
      <c r="C31" s="39">
        <f>IF(ISERROR(B31*3.6/1000000/'E Balans VL '!Z18*100),0,B31*3.6/1000000/'E Balans VL '!Z18*100)</f>
        <v>5.2108869369419091E-3</v>
      </c>
      <c r="D31" s="216" t="s">
        <v>735</v>
      </c>
    </row>
    <row r="32" spans="1:19" ht="30">
      <c r="A32" s="6" t="s">
        <v>32</v>
      </c>
      <c r="B32" s="37">
        <f>IF( ISERROR(IND_ander_ele_kWh/1000),0,IND_ander_ele_kWh/1000)</f>
        <v>990.86383000000001</v>
      </c>
      <c r="C32" s="39">
        <f>IF(ISERROR(B32*3.6/1000000/'E Balans VL '!Z19*100),0,B32*3.6/1000000/'E Balans VL '!Z19*100)</f>
        <v>5.2772496727652496E-2</v>
      </c>
      <c r="D32" s="216" t="s">
        <v>735</v>
      </c>
    </row>
    <row r="33" spans="1:5" ht="30">
      <c r="A33" s="164" t="s">
        <v>40</v>
      </c>
      <c r="B33" s="37">
        <f>IF( ISERROR(IND_voed_ele_kWh/1000),0,IND_voed_ele_kWh/1000)</f>
        <v>2791.76539</v>
      </c>
      <c r="C33" s="39">
        <f>IF(ISERROR(B33*3.6/1000000/'E Balans VL '!Z20*100),0,B33*3.6/1000000/'E Balans VL '!Z20*100)</f>
        <v>0.1011635827993564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33.995910000000002</v>
      </c>
      <c r="C38" s="39">
        <f>IF(ISERROR(B38*3.6/1000000/'E Balans VL '!Z15*100),0,B38*3.6/1000000/'E Balans VL '!Z15*100)</f>
        <v>3.2688924632617064E-4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1083.5308</v>
      </c>
      <c r="C5" s="17">
        <f>'Eigen informatie GS &amp; warmtenet'!B64</f>
        <v>0</v>
      </c>
      <c r="D5" s="30">
        <f>IF(ISERROR(SUM(LB_lb_gas_kWh,LB_rest_gas_kWh)/1000),0,SUM(LB_lb_gas_kWh,LB_rest_gas_kWh)/1000)*0.903</f>
        <v>29488.332530160002</v>
      </c>
      <c r="E5" s="17">
        <f>B18*'E Balans VL '!I25/3.6*1000000/100</f>
        <v>42.408401782950193</v>
      </c>
      <c r="F5" s="17">
        <f>B18*('E Balans VL '!L25/3.6*1000000+'E Balans VL '!N25/3.6*1000000)/100</f>
        <v>4293.2004912903358</v>
      </c>
      <c r="G5" s="17" t="s">
        <v>637</v>
      </c>
      <c r="H5" s="17">
        <f>D18*('E Balans VL '!J25/3.6*1000000)/100</f>
        <v>0</v>
      </c>
      <c r="I5" s="17" t="s">
        <v>637</v>
      </c>
      <c r="J5" s="17">
        <f>('E Balans VL '!D25+'E Balans VL '!E25)/3.6*1000000*landbouw!B18/100</f>
        <v>136.5418509523974</v>
      </c>
      <c r="K5" s="17" t="s">
        <v>637</v>
      </c>
      <c r="L5" s="17" t="s">
        <v>668</v>
      </c>
      <c r="M5" s="17" t="s">
        <v>668</v>
      </c>
      <c r="N5" s="17" t="s">
        <v>671</v>
      </c>
      <c r="O5" s="17">
        <f>O6*(-1)</f>
        <v>8692.0389721513948</v>
      </c>
      <c r="P5" s="17" t="s">
        <v>637</v>
      </c>
      <c r="Q5" s="17" t="s">
        <v>637</v>
      </c>
      <c r="S5" s="32"/>
    </row>
    <row r="6" spans="1:19">
      <c r="A6" s="16" t="s">
        <v>626</v>
      </c>
      <c r="B6" s="17" t="s">
        <v>191</v>
      </c>
      <c r="C6" s="17">
        <f>'lokale energieproductie'!O35</f>
        <v>16634.288740812335</v>
      </c>
      <c r="D6" s="920">
        <f>('lokale energieproductie'!P35)*(-1)</f>
        <v>-17954.553079436366</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-8692.0389721513948</v>
      </c>
      <c r="P6" s="223"/>
      <c r="Q6" s="223"/>
      <c r="S6" s="32"/>
    </row>
    <row r="7" spans="1:19" s="812" customFormat="1">
      <c r="A7" s="16" t="s">
        <v>484</v>
      </c>
      <c r="B7" s="17">
        <f>MWh_eigenverbruikPV_landbouw</f>
        <v>89.716580871684528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1173.2473808716845</v>
      </c>
      <c r="C9" s="21">
        <f>C5+C6</f>
        <v>16634.288740812335</v>
      </c>
      <c r="D9" s="21">
        <f>MAX((D5+D6),0)</f>
        <v>11533.779450723636</v>
      </c>
      <c r="E9" s="21">
        <f>MAX((E5+E6),0)</f>
        <v>42.408401782950193</v>
      </c>
      <c r="F9" s="21">
        <f>MAX((F5+F6),0)</f>
        <v>4293.2004912903358</v>
      </c>
      <c r="G9" s="21" t="s">
        <v>637</v>
      </c>
      <c r="H9" s="21" t="s">
        <v>637</v>
      </c>
      <c r="I9" s="21" t="s">
        <v>637</v>
      </c>
      <c r="J9" s="21">
        <f>MAX((J5+J6),0)</f>
        <v>136.5418509523974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0.12877708123456447</v>
      </c>
      <c r="C11" s="31">
        <f>'EF ele_warmte'!B23</f>
        <v>0.13315215569486277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151.08737327475291</v>
      </c>
      <c r="C13" s="23">
        <f>C9*C11</f>
        <v>2214.8914042899469</v>
      </c>
      <c r="D13" s="23">
        <f>D9*D11</f>
        <v>2329.8234490461746</v>
      </c>
      <c r="E13" s="23">
        <f>E9*E11</f>
        <v>9.6267072047296942</v>
      </c>
      <c r="F13" s="23">
        <f>F9*F11</f>
        <v>1146.2845311745198</v>
      </c>
      <c r="G13" s="23" t="s">
        <v>637</v>
      </c>
      <c r="H13" s="23" t="s">
        <v>637</v>
      </c>
      <c r="I13" s="23" t="s">
        <v>637</v>
      </c>
      <c r="J13" s="23">
        <f>J9*J11</f>
        <v>48.335815237148672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0.18727998198360751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222.68500315437507</v>
      </c>
      <c r="C26" s="222">
        <f>B26*'GWP N2O_CH4'!B5</f>
        <v>6235.1800883225023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72.806490501237832</v>
      </c>
      <c r="C27" s="222">
        <f>B27*'GWP N2O_CH4'!B5</f>
        <v>2038.5817340346593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5.9443865714315045</v>
      </c>
      <c r="C28" s="222">
        <f>B28*'GWP N2O_CH4'!B4</f>
        <v>1575.2624414293487</v>
      </c>
      <c r="D28" s="50"/>
    </row>
    <row r="29" spans="1:4">
      <c r="A29" s="41" t="s">
        <v>241</v>
      </c>
      <c r="B29" s="222">
        <f>B34*'ha_N2O bodem landbouw'!B4</f>
        <v>10.505094762620336</v>
      </c>
      <c r="C29" s="222">
        <f>B29*'GWP N2O_CH4'!B4</f>
        <v>2783.8501120943893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2.5548353836572597E-3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4.9242882964073047E-3</v>
      </c>
      <c r="C5" s="922" t="s">
        <v>667</v>
      </c>
      <c r="D5" s="924">
        <f>SUM(D6:D11)</f>
        <v>1.3206060056502004E-3</v>
      </c>
      <c r="E5" s="924">
        <f>SUM(E6:E11)</f>
        <v>6.0807593700316486E-4</v>
      </c>
      <c r="F5" s="923" t="s">
        <v>667</v>
      </c>
      <c r="G5" s="924">
        <f>SUM(G6:G11)</f>
        <v>0.18029522733308703</v>
      </c>
      <c r="H5" s="924">
        <f>SUM(H6:H11)</f>
        <v>9.5290674108480009E-2</v>
      </c>
      <c r="I5" s="922" t="s">
        <v>667</v>
      </c>
      <c r="J5" s="922" t="s">
        <v>667</v>
      </c>
      <c r="K5" s="922" t="s">
        <v>667</v>
      </c>
      <c r="L5" s="922" t="s">
        <v>667</v>
      </c>
      <c r="M5" s="922" t="s">
        <v>667</v>
      </c>
      <c r="N5" s="924">
        <f>SUM(N6:N11)</f>
        <v>2.9244717179409269E-2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4.5073917998444809E-3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1.1725721393154958E-3</v>
      </c>
      <c r="E6" s="926">
        <f>vkm_GW_PW*SUMIFS(TableVerdeelsleutelVkm[LPG],TableVerdeelsleutelVkm[Voertuigtype],"Lichte voertuigen")*SUMIFS(TableECFTransport[EnergieConsumptieFactor (PJ per km)],TableECFTransport[Index],CONCATENATE($A6,"_LPG_LPG"))</f>
        <v>5.4694346774023092E-4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0.11884519961311295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8.5534016698774334E-2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2.1103863453008527E-2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5.0417289160694658E-6</v>
      </c>
      <c r="C7" s="926"/>
      <c r="D7" s="926">
        <f>vkm_GW_ZV*SUMIFS(TableVerdeelsleutelVkm[CNG],TableVerdeelsleutelVkm[Voertuigtype],"Zware voertuigen")*SUMIFS(TableECFTransport[EnergieConsumptieFactor (PJ per km)],TableECFTransport[Index],CONCATENATE($A7,"_CNG_CNG"))</f>
        <v>6.8490897021220304E-8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4.8933098006823827E-2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1.5804402276290114E-7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5.8580381701034984E-3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4.1184797516959732E-4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1.47965255639545E-4</v>
      </c>
      <c r="E8" s="927">
        <f>vkm_NGW_PW*SUMIFS(TableVerdeelsleutelVkm[LPG],TableVerdeelsleutelVkm[Voertuigtype],"Lichte voertuigen")*SUMIFS(TableECFTransport[EnergieConsumptieFactor (PJ per km)],TableECFTransport[Index],CONCATENATE($A8,"_LPG_LPG"))</f>
        <v>6.1132469262933982E-5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1.2431340323781155E-2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9.7564991086769477E-3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2.2725692025230937E-3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6.7924771565005904E-9</v>
      </c>
      <c r="C9" s="926"/>
      <c r="D9" s="927">
        <f>vkm_NGW_ZV*SUMIFS(TableVerdeelsleutelVkm[CNG],TableVerdeelsleutelVkm[Voertuigtype],"Zware voertuigen")*SUMIFS(TableECFTransport[EnergieConsumptieFactor (PJ per km)],TableECFTransport[Index],CONCATENATE($A9,"_CNG_CNG"))</f>
        <v>1.1979813852312876E-10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8.5589389369087736E-5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2.5700597338227712E-10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1.0246353774151585E-5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1367.8578601131403</v>
      </c>
      <c r="C14" s="21" t="s">
        <v>667</v>
      </c>
      <c r="D14" s="21">
        <f>MAX(((D5)*10^9/3600)+D12,0)</f>
        <v>366.83500156950009</v>
      </c>
      <c r="E14" s="21">
        <f>MAX(((E5)*10^9/3600)+E12,0)</f>
        <v>168.90998250087915</v>
      </c>
      <c r="F14" s="21" t="s">
        <v>667</v>
      </c>
      <c r="G14" s="21">
        <f>MAX(((G5)*10^9/3600)+G12,0)</f>
        <v>50082.007592524176</v>
      </c>
      <c r="H14" s="21">
        <f>MAX(((H5)*10^9/3600)+H12,0)</f>
        <v>26469.631696800003</v>
      </c>
      <c r="I14" s="21" t="s">
        <v>667</v>
      </c>
      <c r="J14" s="21" t="s">
        <v>667</v>
      </c>
      <c r="K14" s="21" t="s">
        <v>667</v>
      </c>
      <c r="L14" s="882" t="s">
        <v>667</v>
      </c>
      <c r="M14" s="21" t="s">
        <v>667</v>
      </c>
      <c r="N14" s="21">
        <f>MAX(((N5)*10^9/3600)+N12,0)</f>
        <v>8123.532549835908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0.12877708123456447</v>
      </c>
      <c r="C16" s="55">
        <f>'EF ele_warmte'!B23</f>
        <v>0.13315215569486277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176.14874276912738</v>
      </c>
      <c r="C18" s="23" t="s">
        <v>667</v>
      </c>
      <c r="D18" s="23">
        <f t="shared" ref="D18:N18" si="0">D14*D16</f>
        <v>74.100670317039018</v>
      </c>
      <c r="E18" s="23">
        <f>E14*E16</f>
        <v>38.342566027699569</v>
      </c>
      <c r="F18" s="23" t="s">
        <v>667</v>
      </c>
      <c r="G18" s="23">
        <f t="shared" si="0"/>
        <v>13371.896027203957</v>
      </c>
      <c r="H18" s="23">
        <f t="shared" si="0"/>
        <v>6590.9382925032005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9.4747183286090901E-5</v>
      </c>
      <c r="C50" s="937" t="s">
        <v>667</v>
      </c>
      <c r="D50" s="937" t="s">
        <v>667</v>
      </c>
      <c r="E50" s="937" t="s">
        <v>667</v>
      </c>
      <c r="F50" s="937" t="s">
        <v>667</v>
      </c>
      <c r="G50" s="937">
        <f t="shared" ref="G50:N50" si="1">SUM(G51:G52)</f>
        <v>3.4928407746982349E-3</v>
      </c>
      <c r="H50" s="937" t="s">
        <v>667</v>
      </c>
      <c r="I50" s="937" t="s">
        <v>667</v>
      </c>
      <c r="J50" s="937" t="s">
        <v>667</v>
      </c>
      <c r="K50" s="937" t="s">
        <v>667</v>
      </c>
      <c r="L50" s="937" t="s">
        <v>667</v>
      </c>
      <c r="M50" s="937" t="s">
        <v>667</v>
      </c>
      <c r="N50" s="937">
        <f t="shared" si="1"/>
        <v>4.1814540740564403E-4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9.4747183286090901E-5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3.4928407746982349E-3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4.1814540740564403E-4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26.31866202391414</v>
      </c>
      <c r="C54" s="21" t="s">
        <v>667</v>
      </c>
      <c r="D54" s="21" t="s">
        <v>667</v>
      </c>
      <c r="E54" s="21" t="s">
        <v>667</v>
      </c>
      <c r="F54" s="21" t="s">
        <v>667</v>
      </c>
      <c r="G54" s="21">
        <f t="shared" ref="G54:N54" si="2">(G50)*10^9/3600</f>
        <v>970.23354852728755</v>
      </c>
      <c r="H54" s="21" t="s">
        <v>667</v>
      </c>
      <c r="I54" s="21" t="s">
        <v>667</v>
      </c>
      <c r="J54" s="21" t="s">
        <v>667</v>
      </c>
      <c r="K54" s="21" t="s">
        <v>667</v>
      </c>
      <c r="L54" s="21" t="s">
        <v>667</v>
      </c>
      <c r="M54" s="21" t="s">
        <v>667</v>
      </c>
      <c r="N54" s="21">
        <f t="shared" si="2"/>
        <v>116.15150205712334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0.12877708123456447</v>
      </c>
      <c r="C56" s="55">
        <f>'EF ele_warmte'!B23</f>
        <v>0.13315215569486277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3.389240477438638</v>
      </c>
      <c r="C58" s="23" t="s">
        <v>667</v>
      </c>
      <c r="D58" s="23" t="s">
        <v>667</v>
      </c>
      <c r="E58" s="23" t="s">
        <v>667</v>
      </c>
      <c r="F58" s="23" t="s">
        <v>667</v>
      </c>
      <c r="G58" s="23">
        <f t="shared" ref="G58:N58" si="3">G54*G56</f>
        <v>259.05235745678578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11163.571983291256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11064.409828885153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7293.3169317202264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3439.8886760883138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1473.2500202074859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22227.981812176411</v>
      </c>
      <c r="C10" s="456">
        <f t="shared" ref="C10:M10" si="0">SUM(C8:C9)</f>
        <v>7293.3169317202264</v>
      </c>
      <c r="D10" s="456">
        <f t="shared" si="0"/>
        <v>0</v>
      </c>
      <c r="E10" s="456">
        <f t="shared" si="0"/>
        <v>0</v>
      </c>
      <c r="F10" s="456">
        <f t="shared" si="0"/>
        <v>0</v>
      </c>
      <c r="G10" s="456">
        <f t="shared" si="0"/>
        <v>0</v>
      </c>
      <c r="H10" s="456">
        <f t="shared" si="0"/>
        <v>0</v>
      </c>
      <c r="I10" s="456">
        <f t="shared" si="0"/>
        <v>0</v>
      </c>
      <c r="J10" s="456">
        <f t="shared" si="0"/>
        <v>0</v>
      </c>
      <c r="K10" s="456">
        <f t="shared" si="0"/>
        <v>3439.8886760883138</v>
      </c>
      <c r="L10" s="456">
        <f t="shared" si="0"/>
        <v>0</v>
      </c>
      <c r="M10" s="456">
        <f t="shared" si="0"/>
        <v>0</v>
      </c>
      <c r="N10" s="457">
        <f>SUM(N4:N9)</f>
        <v>1473.2500202074859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16893.553492732415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11135.708242098015</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5252.1502960630805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2249.4130649037993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16893.553492732415</v>
      </c>
      <c r="C20" s="455">
        <f>SUM(C17:C19)</f>
        <v>11135.708242098015</v>
      </c>
      <c r="D20" s="455">
        <f t="shared" ref="D20:K20" si="2">SUM(D17:D19)</f>
        <v>0</v>
      </c>
      <c r="E20" s="455">
        <f t="shared" si="2"/>
        <v>0</v>
      </c>
      <c r="F20" s="455">
        <f t="shared" si="2"/>
        <v>0</v>
      </c>
      <c r="G20" s="455">
        <f t="shared" si="2"/>
        <v>0</v>
      </c>
      <c r="H20" s="455">
        <f t="shared" si="2"/>
        <v>0</v>
      </c>
      <c r="I20" s="455">
        <f t="shared" si="2"/>
        <v>0</v>
      </c>
      <c r="J20" s="455">
        <f t="shared" si="2"/>
        <v>0</v>
      </c>
      <c r="K20" s="455">
        <f t="shared" si="2"/>
        <v>5252.1502960630805</v>
      </c>
      <c r="L20" s="455"/>
      <c r="M20" s="455">
        <f>SUM(M17:M19)</f>
        <v>0</v>
      </c>
      <c r="N20" s="479">
        <f>SUM(N17:N19)</f>
        <v>2249.4130649037993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13013</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13013</v>
      </c>
      <c r="C29" s="619"/>
      <c r="D29" s="526"/>
      <c r="E29" s="525"/>
      <c r="F29" s="525"/>
      <c r="G29" s="525"/>
      <c r="H29" s="525"/>
      <c r="I29" s="525"/>
      <c r="J29" s="618"/>
      <c r="K29" s="618"/>
      <c r="L29" s="525"/>
      <c r="M29" s="525">
        <v>69.599999999999795</v>
      </c>
      <c r="N29" s="525">
        <v>159.23800001273861</v>
      </c>
      <c r="O29" s="525">
        <v>253.14105191959169</v>
      </c>
      <c r="P29" s="525">
        <v>463.3380943809837</v>
      </c>
      <c r="Q29" s="525">
        <v>0</v>
      </c>
      <c r="R29" s="525">
        <v>0</v>
      </c>
      <c r="S29" s="525">
        <v>0</v>
      </c>
      <c r="T29" s="525">
        <v>0</v>
      </c>
      <c r="U29" s="525">
        <v>0</v>
      </c>
      <c r="V29" s="525">
        <v>0</v>
      </c>
      <c r="W29" s="525">
        <v>0</v>
      </c>
      <c r="X29" s="525">
        <v>0</v>
      </c>
      <c r="Y29" s="525">
        <v>0</v>
      </c>
      <c r="Z29" s="525"/>
      <c r="AA29" s="527" t="s">
        <v>136</v>
      </c>
    </row>
    <row r="30" spans="1:27" s="484" customFormat="1" ht="12.75">
      <c r="A30" s="483"/>
      <c r="B30" s="619">
        <v>13013</v>
      </c>
      <c r="C30" s="619"/>
      <c r="D30" s="526"/>
      <c r="E30" s="525"/>
      <c r="F30" s="525"/>
      <c r="G30" s="525"/>
      <c r="H30" s="525"/>
      <c r="I30" s="525"/>
      <c r="J30" s="618"/>
      <c r="K30" s="618"/>
      <c r="L30" s="525"/>
      <c r="M30" s="525">
        <v>2690.0299999999997</v>
      </c>
      <c r="N30" s="525">
        <v>10901.085650872088</v>
      </c>
      <c r="O30" s="525">
        <v>16634.288740812335</v>
      </c>
      <c r="P30" s="525">
        <v>17954.553079436366</v>
      </c>
      <c r="Q30" s="525">
        <v>8692.0389721513948</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2760.3639999999996</v>
      </c>
      <c r="N31" s="487">
        <f>SUM(N28:N30)</f>
        <v>11064.409828885153</v>
      </c>
      <c r="O31" s="487">
        <f>SUM(O28:O30)</f>
        <v>16893.553492732415</v>
      </c>
      <c r="P31" s="487">
        <f>SUM(P28:P30)</f>
        <v>18429.025173818241</v>
      </c>
      <c r="Q31" s="487">
        <f>SUM(Q28:Q30)</f>
        <v>8692.0389721513948</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4.0861780003268944</v>
      </c>
      <c r="O32" s="487">
        <f>SUMIF($AA$28:$AA$30,"huishoudens",O28:O30)</f>
        <v>6.1237000004898965</v>
      </c>
      <c r="P32" s="487">
        <f>SUMIF($AA$28:$AA$30,"huishoudens",P28:P30)</f>
        <v>11.134000000890721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69.599999999999795</v>
      </c>
      <c r="N34" s="487">
        <f>SUMIF($AA$28:$AA$30,"tertiair",N28:N30)</f>
        <v>159.23800001273861</v>
      </c>
      <c r="O34" s="487">
        <f>SUMIF($AA$28:$AA$30,"tertiair",O28:O30)</f>
        <v>253.14105191959169</v>
      </c>
      <c r="P34" s="487">
        <f>SUMIF($AA$28:$AA$30,"tertiair",P28:P30)</f>
        <v>463.3380943809837</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2690.0299999999997</v>
      </c>
      <c r="N35" s="492">
        <f>SUMIF($AA$28:$AA$30,"landbouw",N28:N30)</f>
        <v>10901.085650872088</v>
      </c>
      <c r="O35" s="492">
        <f>SUMIF($AA$28:$AA$30,"landbouw",O28:O30)</f>
        <v>16634.288740812335</v>
      </c>
      <c r="P35" s="492">
        <f>SUMIF($AA$28:$AA$30,"landbouw",P28:P30)</f>
        <v>17954.553079436366</v>
      </c>
      <c r="Q35" s="492">
        <f>SUMIF($AA$28:$AA$30,"landbouw",Q28:Q30)</f>
        <v>8692.0389721513948</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0.60424836023981887</v>
      </c>
      <c r="C42" s="510">
        <f>IF(ISERROR(N31/(O31+N31)),0,N31/(N31+O31))</f>
        <v>0.39575163976018113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7293.3169317202264</v>
      </c>
      <c r="C45" s="519">
        <f t="shared" si="3"/>
        <v>3439.8886760883138</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11135.708242098015</v>
      </c>
      <c r="C46" s="521">
        <f t="shared" si="4"/>
        <v>5252.1502960630805</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2024-08-06T13:03:13Z</dcterms:modified>
</cp:coreProperties>
</file>