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hilde_beckers_vlaanderen_be/Documents/"/>
    </mc:Choice>
  </mc:AlternateContent>
  <xr:revisionPtr revIDLastSave="0" documentId="8_{F6D9D8F4-F485-4EE9-86EA-CFC7B4C7BBBF}" xr6:coauthVersionLast="47" xr6:coauthVersionMax="47" xr10:uidLastSave="{00000000-0000-0000-0000-000000000000}"/>
  <bookViews>
    <workbookView xWindow="-110" yWindow="-110" windowWidth="19420" windowHeight="10420"/>
  </bookViews>
  <sheets>
    <sheet name="12Vl min  050 (MC 8 euro)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8" l="1"/>
  <c r="T5" i="8"/>
  <c r="T4" i="8"/>
  <c r="T6" i="8"/>
  <c r="T8" i="8"/>
  <c r="T9" i="8"/>
  <c r="T10" i="8"/>
  <c r="T11" i="8"/>
  <c r="T12" i="8"/>
  <c r="T13" i="8"/>
  <c r="T14" i="8"/>
  <c r="T15" i="8"/>
  <c r="T16" i="8"/>
  <c r="T17" i="8"/>
  <c r="T18" i="8"/>
  <c r="T19" i="8"/>
  <c r="T3" i="8"/>
  <c r="G12" i="8"/>
  <c r="I12" i="8"/>
  <c r="N12" i="8"/>
  <c r="G5" i="8"/>
  <c r="L5" i="8"/>
  <c r="G17" i="8"/>
  <c r="L17" i="8"/>
  <c r="G3" i="8"/>
  <c r="I4" i="8"/>
  <c r="I7" i="8"/>
  <c r="K7" i="8"/>
  <c r="G11" i="8"/>
  <c r="G14" i="8"/>
  <c r="G15" i="8"/>
  <c r="L15" i="8"/>
  <c r="I19" i="8"/>
  <c r="G10" i="8"/>
  <c r="N3" i="8"/>
  <c r="N4" i="8"/>
  <c r="N5" i="8"/>
  <c r="N6" i="8"/>
  <c r="N7" i="8"/>
  <c r="N8" i="8"/>
  <c r="N9" i="8"/>
  <c r="N10" i="8"/>
  <c r="N11" i="8"/>
  <c r="N13" i="8"/>
  <c r="N14" i="8"/>
  <c r="N15" i="8"/>
  <c r="N16" i="8"/>
  <c r="N17" i="8"/>
  <c r="N18" i="8"/>
  <c r="N19" i="8"/>
  <c r="C34" i="8"/>
  <c r="I10" i="8"/>
  <c r="I5" i="8"/>
  <c r="G9" i="8"/>
  <c r="L9" i="8"/>
  <c r="G8" i="8"/>
  <c r="I17" i="8"/>
  <c r="G19" i="8"/>
  <c r="G16" i="8"/>
  <c r="G7" i="8"/>
  <c r="I11" i="8"/>
  <c r="G18" i="8"/>
  <c r="L18" i="8"/>
  <c r="I18" i="8"/>
  <c r="I13" i="8"/>
  <c r="G13" i="8"/>
  <c r="L13" i="8"/>
  <c r="I6" i="8"/>
  <c r="G6" i="8"/>
  <c r="I3" i="8"/>
  <c r="G4" i="8"/>
  <c r="L8" i="8"/>
  <c r="J7" i="8"/>
  <c r="J12" i="8"/>
  <c r="L7" i="8"/>
  <c r="Q7" i="8"/>
  <c r="J6" i="8"/>
  <c r="K4" i="8"/>
  <c r="M4" i="8"/>
  <c r="L4" i="8"/>
  <c r="L10" i="8"/>
  <c r="J11" i="8"/>
  <c r="K10" i="8"/>
  <c r="M10" i="8"/>
  <c r="K12" i="8"/>
  <c r="M12" i="8"/>
  <c r="R12" i="8"/>
  <c r="I16" i="8"/>
  <c r="K16" i="8"/>
  <c r="M16" i="8"/>
  <c r="I14" i="8"/>
  <c r="J18" i="8"/>
  <c r="I15" i="8"/>
  <c r="K15" i="8"/>
  <c r="L16" i="8"/>
  <c r="J10" i="8"/>
  <c r="L12" i="8"/>
  <c r="J5" i="8"/>
  <c r="I8" i="8"/>
  <c r="K5" i="8"/>
  <c r="M5" i="8"/>
  <c r="I9" i="8"/>
  <c r="J4" i="8"/>
  <c r="K11" i="8"/>
  <c r="M11" i="8"/>
  <c r="L14" i="8"/>
  <c r="L11" i="8"/>
  <c r="J13" i="8"/>
  <c r="K13" i="8"/>
  <c r="M13" i="8"/>
  <c r="K3" i="8"/>
  <c r="M3" i="8"/>
  <c r="L6" i="8"/>
  <c r="K17" i="8"/>
  <c r="M17" i="8"/>
  <c r="K18" i="8"/>
  <c r="K6" i="8"/>
  <c r="J17" i="8"/>
  <c r="M7" i="8"/>
  <c r="R7" i="8"/>
  <c r="L3" i="8"/>
  <c r="J3" i="8"/>
  <c r="L19" i="8"/>
  <c r="J19" i="8"/>
  <c r="K19" i="8"/>
  <c r="M19" i="8"/>
  <c r="Q10" i="8"/>
  <c r="Q4" i="8"/>
  <c r="R10" i="8"/>
  <c r="J16" i="8"/>
  <c r="R16" i="8"/>
  <c r="J9" i="8"/>
  <c r="Q5" i="8"/>
  <c r="K8" i="8"/>
  <c r="M8" i="8"/>
  <c r="Q12" i="8"/>
  <c r="J8" i="8"/>
  <c r="J14" i="8"/>
  <c r="K14" i="8"/>
  <c r="M14" i="8"/>
  <c r="R14" i="8"/>
  <c r="R5" i="8"/>
  <c r="Q16" i="8"/>
  <c r="K9" i="8"/>
  <c r="M9" i="8"/>
  <c r="Q6" i="8"/>
  <c r="R3" i="8"/>
  <c r="R4" i="8"/>
  <c r="Q11" i="8"/>
  <c r="Q18" i="8"/>
  <c r="J15" i="8"/>
  <c r="Q15" i="8"/>
  <c r="R11" i="8"/>
  <c r="M15" i="8"/>
  <c r="M18" i="8"/>
  <c r="R18" i="8"/>
  <c r="R17" i="8"/>
  <c r="Q13" i="8"/>
  <c r="Q3" i="8"/>
  <c r="Q17" i="8"/>
  <c r="M6" i="8"/>
  <c r="R6" i="8"/>
  <c r="R13" i="8"/>
  <c r="R19" i="8"/>
  <c r="Q19" i="8"/>
  <c r="Q8" i="8"/>
  <c r="R8" i="8"/>
  <c r="R9" i="8"/>
  <c r="Q14" i="8"/>
  <c r="R15" i="8"/>
  <c r="Q9" i="8"/>
</calcChain>
</file>

<file path=xl/sharedStrings.xml><?xml version="1.0" encoding="utf-8"?>
<sst xmlns="http://schemas.openxmlformats.org/spreadsheetml/2006/main" count="138" uniqueCount="104">
  <si>
    <t>Rang</t>
  </si>
  <si>
    <t>Graad</t>
  </si>
  <si>
    <t>Patronale statutair</t>
  </si>
  <si>
    <t>A1</t>
  </si>
  <si>
    <t>Loods aan 100 %</t>
  </si>
  <si>
    <t>A141</t>
  </si>
  <si>
    <t>Loods aan 80 %</t>
  </si>
  <si>
    <t>B2</t>
  </si>
  <si>
    <t>Maritiem verkeersleider</t>
  </si>
  <si>
    <t>B231</t>
  </si>
  <si>
    <t>C1</t>
  </si>
  <si>
    <t>Radarwaarnemer</t>
  </si>
  <si>
    <t>C131</t>
  </si>
  <si>
    <t>D1</t>
  </si>
  <si>
    <t>Motorist</t>
  </si>
  <si>
    <t>D141</t>
  </si>
  <si>
    <t>Schipper</t>
  </si>
  <si>
    <t>D131</t>
  </si>
  <si>
    <t>Algemene gegevens</t>
  </si>
  <si>
    <t>Index</t>
  </si>
  <si>
    <t>Patronale bijdrage statutair</t>
  </si>
  <si>
    <t>Patronale bijdrage contractueel</t>
  </si>
  <si>
    <t>Patronale contractueel</t>
  </si>
  <si>
    <t>Salaris-
schaal</t>
  </si>
  <si>
    <t>Stuurman en chefloods loodsboot 100 %</t>
  </si>
  <si>
    <t>Stuurman en chefloods loodsboot 80 %</t>
  </si>
  <si>
    <t>A2, A3 en A4</t>
  </si>
  <si>
    <t>A1, B2, B3, C2 en C3</t>
  </si>
  <si>
    <t>B1, C1, D2 en D3</t>
  </si>
  <si>
    <t>Percentage bruto maandloon</t>
  </si>
  <si>
    <t xml:space="preserve">rangen        </t>
  </si>
  <si>
    <t xml:space="preserve"> % ejt              </t>
  </si>
  <si>
    <t>% ejt RSZ</t>
  </si>
  <si>
    <t xml:space="preserve">A1                   </t>
  </si>
  <si>
    <t xml:space="preserve">A2                  </t>
  </si>
  <si>
    <t xml:space="preserve">A2A                  </t>
  </si>
  <si>
    <t xml:space="preserve">A3                   </t>
  </si>
  <si>
    <t xml:space="preserve">A4                   </t>
  </si>
  <si>
    <t xml:space="preserve">B1                  </t>
  </si>
  <si>
    <t xml:space="preserve">B2                 </t>
  </si>
  <si>
    <t xml:space="preserve">B3                   </t>
  </si>
  <si>
    <t xml:space="preserve">C1                 </t>
  </si>
  <si>
    <t xml:space="preserve">C2                  </t>
  </si>
  <si>
    <t xml:space="preserve">C3                  </t>
  </si>
  <si>
    <t xml:space="preserve">D1                  </t>
  </si>
  <si>
    <t xml:space="preserve">D2                 </t>
  </si>
  <si>
    <t xml:space="preserve">D3                 </t>
  </si>
  <si>
    <t>A2M</t>
  </si>
  <si>
    <t>A2L</t>
  </si>
  <si>
    <t>kost maaltijdcheques (210 werkdagen/jaar)</t>
  </si>
  <si>
    <t xml:space="preserve">Salaris 100 % </t>
  </si>
  <si>
    <t xml:space="preserve">Weerslag contractueel          </t>
  </si>
  <si>
    <t xml:space="preserve">Weerslag statutair             </t>
  </si>
  <si>
    <t>jaren anciënniteit</t>
  </si>
  <si>
    <t>6j</t>
  </si>
  <si>
    <t>12j</t>
  </si>
  <si>
    <t>C2</t>
  </si>
  <si>
    <t>D2</t>
  </si>
  <si>
    <t>D3</t>
  </si>
  <si>
    <t>D241</t>
  </si>
  <si>
    <t>Gemiddelde (haard&amp;stand) à 100%</t>
  </si>
  <si>
    <t>Haardtoelage à 100%,</t>
  </si>
  <si>
    <t>Standplaatsvergoeding à 100%</t>
  </si>
  <si>
    <t>Salarisgrens 2 à 100%</t>
  </si>
  <si>
    <t>Salarisgrens 1 à 100%</t>
  </si>
  <si>
    <t>C3</t>
  </si>
  <si>
    <t xml:space="preserve">Vakantiegeld </t>
  </si>
  <si>
    <t>A2E</t>
  </si>
  <si>
    <t>kost hospitalisatieverzekering</t>
  </si>
  <si>
    <t xml:space="preserve">Geïndexeerd bruto salaris </t>
  </si>
  <si>
    <t>Gemiddelde
haard/standpl.
toelage bruto geindex.</t>
  </si>
  <si>
    <t>Vakantie-
geld (-13,07%)</t>
  </si>
  <si>
    <t>bruto EJT</t>
  </si>
  <si>
    <t>kost woon-werk op basis van gegevens 2015</t>
  </si>
  <si>
    <t>totale kost MIVB, De Lijn, NMBS (10,035,709,27)/ personeelsaantal (15198)</t>
  </si>
  <si>
    <t>AANWERVINGSKOST statutairen en contractuelen 12  Vlaamse ministeries (volgens afspraak rekenregels vergrijzing) - werkgeverscode 050</t>
  </si>
  <si>
    <t>Bijdrage Pool</t>
  </si>
  <si>
    <t>bijdrage Pool der Parastatalen</t>
  </si>
  <si>
    <t>Eindejaarstoelage vanaf 2014</t>
  </si>
  <si>
    <t xml:space="preserve">werkgeversbijdrage generieke 2de Pensioenpijler </t>
  </si>
  <si>
    <t>patronale bijdrage op WG bijdrage 2de pijler</t>
  </si>
  <si>
    <t>berekeningsbasis 2de pijler</t>
  </si>
  <si>
    <t>kost woon-werkverkeer (gegevens 2017) (*)</t>
  </si>
  <si>
    <t>**</t>
  </si>
  <si>
    <t>kost generieke 2de pensioenpijler contr (**)</t>
  </si>
  <si>
    <t>kost komt ten laste van het Vlaamse Pensioenfonds via een dotatie voor alle entiteiten DVO + SERV + Vlaamse kabinetten</t>
  </si>
  <si>
    <t>A144T</t>
  </si>
  <si>
    <t>update : 1 juni 2024</t>
  </si>
  <si>
    <t>050 = graden/functies Nautische keten MDK</t>
  </si>
  <si>
    <t>Senior / Leidinggevende hoofdmedewerker (functie regioverkeersleider)</t>
  </si>
  <si>
    <t>C311T</t>
  </si>
  <si>
    <t>hoofdscheepstechnicus</t>
  </si>
  <si>
    <t>C241T</t>
  </si>
  <si>
    <t>Hoofdmedewerker (functie teamplanner loodsdienstcoördinator)</t>
  </si>
  <si>
    <t>C231T</t>
  </si>
  <si>
    <t>scheepstechnicus</t>
  </si>
  <si>
    <t>C141</t>
  </si>
  <si>
    <t>Medewerker (functie loodsdienst-rededienstcoördinator)</t>
  </si>
  <si>
    <t>Senior/leidinggevende hoofdassistent (functie hoofdmotorist/hoofdschipper)</t>
  </si>
  <si>
    <t>D311T</t>
  </si>
  <si>
    <t>Hoofdschipper en hoofdmotorist</t>
  </si>
  <si>
    <t>Speciaal hoofdassistent (functie kok ingescheept)</t>
  </si>
  <si>
    <t>D231T</t>
  </si>
  <si>
    <t>Speciaal assistent (functie matroos/stoker/kok ingescheept)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</si>
</sst>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7" formatCode="#,##0.000000"/>
    <numFmt numFmtId="208" formatCode="#,##0.0000"/>
  </numFmts>
  <fonts count="8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0"/>
      <color indexed="18"/>
      <name val="MS Sans Serif"/>
      <family val="2"/>
    </font>
    <font>
      <i/>
      <sz val="8"/>
      <color indexed="18"/>
      <name val="Arial"/>
      <family val="2"/>
    </font>
    <font>
      <i/>
      <sz val="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4" xfId="0" applyFill="1" applyBorder="1" applyAlignment="1">
      <alignment horizontal="center" vertical="center"/>
    </xf>
    <xf numFmtId="207" fontId="0" fillId="0" borderId="7" xfId="0" applyNumberForma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207" fontId="0" fillId="2" borderId="7" xfId="0" applyNumberForma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3" borderId="3" xfId="0" applyFill="1" applyBorder="1"/>
    <xf numFmtId="0" fontId="0" fillId="3" borderId="0" xfId="0" applyFill="1" applyBorder="1"/>
    <xf numFmtId="0" fontId="0" fillId="0" borderId="0" xfId="0" applyFill="1" applyBorder="1" applyAlignment="1"/>
    <xf numFmtId="4" fontId="0" fillId="0" borderId="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4" fontId="0" fillId="0" borderId="4" xfId="0" applyNumberFormat="1" applyFont="1" applyFill="1" applyBorder="1" applyAlignment="1"/>
    <xf numFmtId="4" fontId="0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08" fontId="0" fillId="0" borderId="7" xfId="0" applyNumberFormat="1" applyBorder="1" applyAlignment="1">
      <alignment horizontal="center"/>
    </xf>
    <xf numFmtId="0" fontId="0" fillId="0" borderId="0" xfId="0" quotePrefix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quotePrefix="1" applyNumberFormat="1"/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0" fontId="0" fillId="0" borderId="10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08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 horizontal="center"/>
    </xf>
    <xf numFmtId="207" fontId="0" fillId="2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6" fillId="0" borderId="4" xfId="0" applyFont="1" applyFill="1" applyBorder="1" applyAlignment="1"/>
    <xf numFmtId="10" fontId="0" fillId="0" borderId="13" xfId="0" applyNumberFormat="1" applyBorder="1" applyAlignment="1">
      <alignment horizontal="center"/>
    </xf>
    <xf numFmtId="207" fontId="6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indent="4"/>
    </xf>
    <xf numFmtId="0" fontId="2" fillId="0" borderId="3" xfId="0" applyFont="1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zoomScale="90" zoomScaleNormal="90" workbookViewId="0">
      <selection activeCell="H25" sqref="H25"/>
    </sheetView>
  </sheetViews>
  <sheetFormatPr defaultRowHeight="13" outlineLevelRow="1" x14ac:dyDescent="0.3"/>
  <cols>
    <col min="1" max="1" width="5" customWidth="1"/>
    <col min="2" max="2" width="59.08984375" customWidth="1"/>
    <col min="3" max="3" width="12.08984375" style="8" customWidth="1"/>
    <col min="4" max="4" width="9.6328125" style="8" customWidth="1"/>
    <col min="5" max="5" width="11.36328125" style="30" hidden="1" customWidth="1"/>
    <col min="6" max="8" width="11.36328125" style="30" customWidth="1"/>
    <col min="9" max="9" width="12.08984375" style="36" customWidth="1"/>
    <col min="10" max="10" width="12" style="31" customWidth="1"/>
    <col min="11" max="11" width="13.36328125" style="31" bestFit="1" customWidth="1"/>
    <col min="12" max="12" width="9.90625" style="31" customWidth="1"/>
    <col min="13" max="13" width="10.54296875" style="31" customWidth="1"/>
    <col min="14" max="16" width="13.08984375" style="31" customWidth="1"/>
    <col min="17" max="17" width="13.6328125" style="30" customWidth="1"/>
    <col min="18" max="18" width="11.54296875" style="30" customWidth="1"/>
    <col min="20" max="20" width="11.36328125" customWidth="1"/>
  </cols>
  <sheetData>
    <row r="1" spans="1:20" ht="21.75" customHeight="1" x14ac:dyDescent="0.3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0" s="12" customFormat="1" ht="40.5" thickBot="1" x14ac:dyDescent="0.25">
      <c r="A2" s="10" t="s">
        <v>0</v>
      </c>
      <c r="B2" s="10" t="s">
        <v>1</v>
      </c>
      <c r="C2" s="11" t="s">
        <v>23</v>
      </c>
      <c r="D2" s="11" t="s">
        <v>53</v>
      </c>
      <c r="E2" s="11"/>
      <c r="F2" s="11" t="s">
        <v>50</v>
      </c>
      <c r="G2" s="11" t="s">
        <v>69</v>
      </c>
      <c r="H2" s="11" t="s">
        <v>76</v>
      </c>
      <c r="I2" s="11" t="s">
        <v>70</v>
      </c>
      <c r="J2" s="11" t="s">
        <v>71</v>
      </c>
      <c r="K2" s="11" t="s">
        <v>72</v>
      </c>
      <c r="L2" s="11" t="s">
        <v>2</v>
      </c>
      <c r="M2" s="18" t="s">
        <v>22</v>
      </c>
      <c r="N2" s="18" t="s">
        <v>49</v>
      </c>
      <c r="O2" s="18" t="s">
        <v>68</v>
      </c>
      <c r="P2" s="18" t="s">
        <v>82</v>
      </c>
      <c r="Q2" s="11" t="s">
        <v>52</v>
      </c>
      <c r="R2" s="11" t="s">
        <v>51</v>
      </c>
      <c r="T2" s="18" t="s">
        <v>84</v>
      </c>
    </row>
    <row r="3" spans="1:20" ht="15" customHeight="1" x14ac:dyDescent="0.3">
      <c r="A3" s="5" t="s">
        <v>3</v>
      </c>
      <c r="B3" s="6" t="s">
        <v>4</v>
      </c>
      <c r="C3" s="7" t="s">
        <v>5</v>
      </c>
      <c r="D3" s="13" t="s">
        <v>54</v>
      </c>
      <c r="E3" s="29"/>
      <c r="F3" s="27">
        <v>34530</v>
      </c>
      <c r="G3" s="27">
        <f t="shared" ref="G3:G19" si="0">F3*$C$30</f>
        <v>71846.571000000011</v>
      </c>
      <c r="H3" s="27">
        <v>0</v>
      </c>
      <c r="I3" s="37">
        <f t="shared" ref="I3:I19" si="1">IF(F3&lt;$C$42,$C$34,IF(F3&lt;$C$41,$C$34/2,0))*$C$30</f>
        <v>0</v>
      </c>
      <c r="J3" s="28">
        <f t="shared" ref="J3:J19" si="2">((G3+I3)/12)*$G$38-(((G3+I3)/12)*85%*13.07%)</f>
        <v>4843.0875428962509</v>
      </c>
      <c r="K3" s="28">
        <f>((G3+I3)/12)*$G$40</f>
        <v>4428.7423807250007</v>
      </c>
      <c r="L3" s="28">
        <f>(G3*$C$31)+(G3/12*$J$47*$C$31)</f>
        <v>8251.0191741783401</v>
      </c>
      <c r="M3" s="28">
        <f t="shared" ref="M3:M19" si="3">(G3+I3+K3)*$C$32</f>
        <v>23363.128488516071</v>
      </c>
      <c r="N3" s="28">
        <f t="shared" ref="N3:N19" si="4">210*6.91</f>
        <v>1451.1000000000001</v>
      </c>
      <c r="O3" s="28">
        <v>47.52</v>
      </c>
      <c r="P3" s="28">
        <v>615.66</v>
      </c>
      <c r="Q3" s="27">
        <f t="shared" ref="Q3:Q19" si="5">G3+H3+I3+J3+K3+L3+N3+O3+P3</f>
        <v>91483.700097799607</v>
      </c>
      <c r="R3" s="27">
        <f t="shared" ref="R3:R19" si="6">G3+I3+J3+K3+M3+N3+O3+P3</f>
        <v>106595.80941213734</v>
      </c>
      <c r="T3" s="28">
        <f>((G3+I3)/12)*$C$43*$C$44*(1+$C$45)</f>
        <v>2702.230721935231</v>
      </c>
    </row>
    <row r="4" spans="1:20" ht="15" customHeight="1" x14ac:dyDescent="0.3">
      <c r="A4" s="5" t="s">
        <v>3</v>
      </c>
      <c r="B4" s="6" t="s">
        <v>6</v>
      </c>
      <c r="C4" s="13" t="s">
        <v>5</v>
      </c>
      <c r="D4" s="13" t="s">
        <v>54</v>
      </c>
      <c r="E4" s="29"/>
      <c r="F4" s="27">
        <v>27624</v>
      </c>
      <c r="G4" s="27">
        <f t="shared" si="0"/>
        <v>57477.256800000003</v>
      </c>
      <c r="H4" s="27">
        <v>0</v>
      </c>
      <c r="I4" s="37">
        <f t="shared" si="1"/>
        <v>0</v>
      </c>
      <c r="J4" s="28">
        <f t="shared" si="2"/>
        <v>3874.4700343170007</v>
      </c>
      <c r="K4" s="28">
        <f>((G4+I4)/12)*$G$40</f>
        <v>3542.9939045800006</v>
      </c>
      <c r="L4" s="28">
        <f>(G4*$C$31)+(G4/12*$J$47*$C$31)</f>
        <v>6600.8153393426701</v>
      </c>
      <c r="M4" s="28">
        <f t="shared" si="3"/>
        <v>18690.502790812854</v>
      </c>
      <c r="N4" s="28">
        <f t="shared" si="4"/>
        <v>1451.1000000000001</v>
      </c>
      <c r="O4" s="28">
        <v>47.52</v>
      </c>
      <c r="P4" s="28">
        <v>615.66</v>
      </c>
      <c r="Q4" s="27">
        <f t="shared" si="5"/>
        <v>73609.816078239688</v>
      </c>
      <c r="R4" s="27">
        <f t="shared" si="6"/>
        <v>85699.503529709866</v>
      </c>
      <c r="T4" s="28">
        <f>((G4+I4)/12)*$C$43*$C$44*(1+$C$45)</f>
        <v>2161.7845775481842</v>
      </c>
    </row>
    <row r="5" spans="1:20" ht="15.75" customHeight="1" x14ac:dyDescent="0.3">
      <c r="A5" s="5" t="s">
        <v>3</v>
      </c>
      <c r="B5" s="80" t="s">
        <v>24</v>
      </c>
      <c r="C5" s="13" t="s">
        <v>86</v>
      </c>
      <c r="D5" s="13" t="s">
        <v>54</v>
      </c>
      <c r="E5" s="29"/>
      <c r="F5" s="27">
        <v>47740</v>
      </c>
      <c r="G5" s="27">
        <f t="shared" si="0"/>
        <v>99332.618000000017</v>
      </c>
      <c r="H5" s="27">
        <v>0</v>
      </c>
      <c r="I5" s="37">
        <f t="shared" si="1"/>
        <v>0</v>
      </c>
      <c r="J5" s="28">
        <f t="shared" si="2"/>
        <v>6695.8876136075014</v>
      </c>
      <c r="K5" s="28">
        <f>((G5+I5)/12)*$G$40</f>
        <v>6123.0281278833345</v>
      </c>
      <c r="L5" s="28">
        <f>(G5*$C$31)+(G5/12*$J$47*$C$31)</f>
        <v>11407.577624537327</v>
      </c>
      <c r="M5" s="28">
        <f t="shared" si="3"/>
        <v>32301.064408970669</v>
      </c>
      <c r="N5" s="28">
        <f t="shared" si="4"/>
        <v>1451.1000000000001</v>
      </c>
      <c r="O5" s="28">
        <v>47.52</v>
      </c>
      <c r="P5" s="28">
        <v>615.66</v>
      </c>
      <c r="Q5" s="27">
        <f t="shared" si="5"/>
        <v>125673.39136602818</v>
      </c>
      <c r="R5" s="27">
        <f t="shared" si="6"/>
        <v>146566.8781504615</v>
      </c>
      <c r="T5" s="28">
        <f>((G5+I5)/12)*$C$43*$C$44*(1+$C$45)</f>
        <v>3736.0120088383405</v>
      </c>
    </row>
    <row r="6" spans="1:20" ht="15.75" customHeight="1" x14ac:dyDescent="0.3">
      <c r="A6" s="5" t="s">
        <v>3</v>
      </c>
      <c r="B6" s="80" t="s">
        <v>25</v>
      </c>
      <c r="C6" s="57" t="s">
        <v>86</v>
      </c>
      <c r="D6" s="13" t="s">
        <v>54</v>
      </c>
      <c r="E6" s="29"/>
      <c r="F6" s="27">
        <v>38192</v>
      </c>
      <c r="G6" s="27">
        <f t="shared" si="0"/>
        <v>79466.094400000002</v>
      </c>
      <c r="H6" s="27">
        <v>0</v>
      </c>
      <c r="I6" s="37">
        <f t="shared" si="1"/>
        <v>0</v>
      </c>
      <c r="J6" s="28">
        <f t="shared" si="2"/>
        <v>5356.7100908860011</v>
      </c>
      <c r="K6" s="28">
        <f>((G6+I6)/12)*$G$40</f>
        <v>4898.4225023066674</v>
      </c>
      <c r="L6" s="28">
        <f>(G6*$C$31)+(G6/12*$J$47*$C$31)</f>
        <v>9126.0620996298603</v>
      </c>
      <c r="M6" s="28">
        <f t="shared" si="3"/>
        <v>25840.851527176535</v>
      </c>
      <c r="N6" s="28">
        <f t="shared" si="4"/>
        <v>1451.1000000000001</v>
      </c>
      <c r="O6" s="28">
        <v>47.52</v>
      </c>
      <c r="P6" s="28">
        <v>615.66</v>
      </c>
      <c r="Q6" s="27">
        <f t="shared" si="5"/>
        <v>100961.56909282254</v>
      </c>
      <c r="R6" s="27">
        <f t="shared" si="6"/>
        <v>117676.35852036922</v>
      </c>
      <c r="T6" s="28">
        <f t="shared" ref="T6:T19" si="7">((G6+I6)/12)*$C$43*$C$44*(1+$C$45)</f>
        <v>2988.809607070672</v>
      </c>
    </row>
    <row r="7" spans="1:20" ht="15" customHeight="1" x14ac:dyDescent="0.3">
      <c r="A7" s="5" t="s">
        <v>7</v>
      </c>
      <c r="B7" s="6" t="s">
        <v>8</v>
      </c>
      <c r="C7" s="7" t="s">
        <v>9</v>
      </c>
      <c r="D7" s="13" t="s">
        <v>54</v>
      </c>
      <c r="E7" s="27"/>
      <c r="F7" s="27">
        <v>24480</v>
      </c>
      <c r="G7" s="27">
        <f t="shared" si="0"/>
        <v>50935.536000000007</v>
      </c>
      <c r="H7" s="27">
        <v>0</v>
      </c>
      <c r="I7" s="37">
        <f t="shared" si="1"/>
        <v>0</v>
      </c>
      <c r="J7" s="28">
        <f t="shared" si="2"/>
        <v>3433.5008123400007</v>
      </c>
      <c r="K7" s="28">
        <f>((G7+I7)/12)*$G$40</f>
        <v>3139.7513316000004</v>
      </c>
      <c r="L7" s="28">
        <f>(G7*$C$31)+(G7/12*$J$60*$C$31)</f>
        <v>5844.8168888934015</v>
      </c>
      <c r="M7" s="28">
        <f t="shared" si="3"/>
        <v>16563.260509669082</v>
      </c>
      <c r="N7" s="28">
        <f t="shared" si="4"/>
        <v>1451.1000000000001</v>
      </c>
      <c r="O7" s="28">
        <v>47.52</v>
      </c>
      <c r="P7" s="28">
        <v>615.66</v>
      </c>
      <c r="Q7" s="27">
        <f t="shared" si="5"/>
        <v>65467.885032833408</v>
      </c>
      <c r="R7" s="27">
        <f t="shared" si="6"/>
        <v>76186.328653609104</v>
      </c>
      <c r="T7" s="28">
        <f>((G7+I7)/12)*$C$43*$C$44*(1+$C$45)</f>
        <v>1915.7430661156802</v>
      </c>
    </row>
    <row r="8" spans="1:20" ht="15" customHeight="1" x14ac:dyDescent="0.3">
      <c r="A8" s="5" t="s">
        <v>10</v>
      </c>
      <c r="B8" s="6" t="s">
        <v>97</v>
      </c>
      <c r="C8" s="7" t="s">
        <v>12</v>
      </c>
      <c r="D8" s="13" t="s">
        <v>54</v>
      </c>
      <c r="E8" s="27"/>
      <c r="F8" s="27">
        <v>16520</v>
      </c>
      <c r="G8" s="27">
        <f t="shared" si="0"/>
        <v>34373.164000000004</v>
      </c>
      <c r="H8" s="27">
        <v>0</v>
      </c>
      <c r="I8" s="37">
        <f t="shared" si="1"/>
        <v>1123.411544</v>
      </c>
      <c r="J8" s="28">
        <f t="shared" si="2"/>
        <v>2392.7797867016106</v>
      </c>
      <c r="K8" s="28">
        <f>((G8+I8)/12)*$J$40</f>
        <v>2386.5530957416004</v>
      </c>
      <c r="L8" s="28">
        <f>(G8*$C$31)+(G8/12*$J$64*$C$31)</f>
        <v>3952.9516704804005</v>
      </c>
      <c r="M8" s="28">
        <f t="shared" si="3"/>
        <v>11603.602302352854</v>
      </c>
      <c r="N8" s="28">
        <f t="shared" si="4"/>
        <v>1451.1000000000001</v>
      </c>
      <c r="O8" s="28">
        <v>47.52</v>
      </c>
      <c r="P8" s="28">
        <v>615.66</v>
      </c>
      <c r="Q8" s="27">
        <f t="shared" si="5"/>
        <v>46343.140096923613</v>
      </c>
      <c r="R8" s="27">
        <f t="shared" si="6"/>
        <v>53993.79072879607</v>
      </c>
      <c r="T8" s="28">
        <f t="shared" si="7"/>
        <v>1335.0663173402049</v>
      </c>
    </row>
    <row r="9" spans="1:20" ht="15" customHeight="1" x14ac:dyDescent="0.3">
      <c r="A9" s="5" t="s">
        <v>10</v>
      </c>
      <c r="B9" s="6" t="s">
        <v>11</v>
      </c>
      <c r="C9" s="7" t="s">
        <v>12</v>
      </c>
      <c r="D9" s="13" t="s">
        <v>54</v>
      </c>
      <c r="E9" s="27"/>
      <c r="F9" s="27">
        <v>16520</v>
      </c>
      <c r="G9" s="27">
        <f t="shared" si="0"/>
        <v>34373.164000000004</v>
      </c>
      <c r="H9" s="27">
        <v>0</v>
      </c>
      <c r="I9" s="37">
        <f t="shared" si="1"/>
        <v>1123.411544</v>
      </c>
      <c r="J9" s="28">
        <f t="shared" si="2"/>
        <v>2392.7797867016106</v>
      </c>
      <c r="K9" s="28">
        <f>((G9+I9)/12)*$J$40</f>
        <v>2386.5530957416004</v>
      </c>
      <c r="L9" s="28">
        <f>(G9*$C$31)+(G9/12*$J$64*$C$31)</f>
        <v>3952.9516704804005</v>
      </c>
      <c r="M9" s="28">
        <f t="shared" si="3"/>
        <v>11603.602302352854</v>
      </c>
      <c r="N9" s="28">
        <f t="shared" si="4"/>
        <v>1451.1000000000001</v>
      </c>
      <c r="O9" s="28">
        <v>47.52</v>
      </c>
      <c r="P9" s="28">
        <v>615.66</v>
      </c>
      <c r="Q9" s="27">
        <f t="shared" si="5"/>
        <v>46343.140096923613</v>
      </c>
      <c r="R9" s="27">
        <f t="shared" si="6"/>
        <v>53993.79072879607</v>
      </c>
      <c r="T9" s="28">
        <f t="shared" si="7"/>
        <v>1335.0663173402049</v>
      </c>
    </row>
    <row r="10" spans="1:20" ht="15" customHeight="1" x14ac:dyDescent="0.3">
      <c r="A10" s="5" t="s">
        <v>10</v>
      </c>
      <c r="B10" s="6" t="s">
        <v>95</v>
      </c>
      <c r="C10" s="7" t="s">
        <v>96</v>
      </c>
      <c r="D10" s="13" t="s">
        <v>54</v>
      </c>
      <c r="E10" s="27"/>
      <c r="F10" s="27">
        <v>16930</v>
      </c>
      <c r="G10" s="27">
        <f t="shared" si="0"/>
        <v>35226.251000000004</v>
      </c>
      <c r="H10" s="27">
        <v>0</v>
      </c>
      <c r="I10" s="37">
        <f t="shared" si="1"/>
        <v>561.70577200000002</v>
      </c>
      <c r="J10" s="28">
        <f t="shared" si="2"/>
        <v>2412.4214310545553</v>
      </c>
      <c r="K10" s="28">
        <f>((G10+I10)/12)*$J$40</f>
        <v>2406.1436269708001</v>
      </c>
      <c r="L10" s="28">
        <f>(G10*$C$31)+(G10/12*$J$64*$C$31)</f>
        <v>4051.0576138761003</v>
      </c>
      <c r="M10" s="28">
        <f t="shared" si="3"/>
        <v>11698.852952204757</v>
      </c>
      <c r="N10" s="28">
        <f t="shared" si="4"/>
        <v>1451.1000000000001</v>
      </c>
      <c r="O10" s="28">
        <v>47.52</v>
      </c>
      <c r="P10" s="28">
        <v>615.66</v>
      </c>
      <c r="Q10" s="27">
        <f t="shared" si="5"/>
        <v>46771.859443901463</v>
      </c>
      <c r="R10" s="27">
        <f t="shared" si="6"/>
        <v>54419.654782230122</v>
      </c>
      <c r="T10" s="28">
        <f t="shared" si="7"/>
        <v>1346.0254945860727</v>
      </c>
    </row>
    <row r="11" spans="1:20" ht="15" customHeight="1" x14ac:dyDescent="0.3">
      <c r="A11" s="5" t="s">
        <v>56</v>
      </c>
      <c r="B11" s="6" t="s">
        <v>93</v>
      </c>
      <c r="C11" s="13" t="s">
        <v>94</v>
      </c>
      <c r="D11" s="13" t="s">
        <v>55</v>
      </c>
      <c r="E11" s="27"/>
      <c r="F11" s="27">
        <v>26660</v>
      </c>
      <c r="G11" s="27">
        <f t="shared" si="0"/>
        <v>55471.462000000007</v>
      </c>
      <c r="H11" s="27">
        <v>0</v>
      </c>
      <c r="I11" s="37">
        <f t="shared" si="1"/>
        <v>0</v>
      </c>
      <c r="J11" s="28">
        <f t="shared" si="2"/>
        <v>3739.2619140924999</v>
      </c>
      <c r="K11" s="28">
        <f>((G11+I11)/12)*$G$40</f>
        <v>3419.3533701166671</v>
      </c>
      <c r="L11" s="28">
        <f>(G11*$C$31)+(G11/12*$J$65*$C$31)</f>
        <v>6362.7340916734256</v>
      </c>
      <c r="M11" s="28">
        <f t="shared" si="3"/>
        <v>18038.256747866737</v>
      </c>
      <c r="N11" s="28">
        <f t="shared" si="4"/>
        <v>1451.1000000000001</v>
      </c>
      <c r="O11" s="28">
        <v>47.52</v>
      </c>
      <c r="P11" s="28">
        <v>615.66</v>
      </c>
      <c r="Q11" s="27">
        <f t="shared" si="5"/>
        <v>71107.091375882621</v>
      </c>
      <c r="R11" s="27">
        <f t="shared" si="6"/>
        <v>82782.61403207593</v>
      </c>
      <c r="T11" s="28">
        <f t="shared" si="7"/>
        <v>2086.3443685720599</v>
      </c>
    </row>
    <row r="12" spans="1:20" ht="15" customHeight="1" x14ac:dyDescent="0.3">
      <c r="A12" s="5" t="s">
        <v>56</v>
      </c>
      <c r="B12" s="6" t="s">
        <v>91</v>
      </c>
      <c r="C12" s="13" t="s">
        <v>92</v>
      </c>
      <c r="D12" s="13" t="s">
        <v>55</v>
      </c>
      <c r="E12" s="27"/>
      <c r="F12" s="27">
        <v>25970</v>
      </c>
      <c r="G12" s="27">
        <f t="shared" si="0"/>
        <v>54035.779000000002</v>
      </c>
      <c r="H12" s="27">
        <v>0</v>
      </c>
      <c r="I12" s="37">
        <f t="shared" si="1"/>
        <v>0</v>
      </c>
      <c r="J12" s="28">
        <f t="shared" si="2"/>
        <v>3642.4843176662503</v>
      </c>
      <c r="K12" s="28">
        <f>((G12+I12)/12)*$G$40</f>
        <v>3330.8554771916665</v>
      </c>
      <c r="L12" s="28">
        <f>(G12*$C$31)+(G12/12*$J$65*$C$31)</f>
        <v>6198.0571778229123</v>
      </c>
      <c r="M12" s="28">
        <f t="shared" si="3"/>
        <v>17571.40014036381</v>
      </c>
      <c r="N12" s="28">
        <f t="shared" si="4"/>
        <v>1451.1000000000001</v>
      </c>
      <c r="O12" s="28">
        <v>47.52</v>
      </c>
      <c r="P12" s="28">
        <v>615.66</v>
      </c>
      <c r="Q12" s="27">
        <f>G12+H12+I12+J12+K12+L12+N12+O12+P12</f>
        <v>69321.455972680837</v>
      </c>
      <c r="R12" s="27">
        <f>G12+I12+J12+K12+M12+N12+O12+P12</f>
        <v>80694.798935221741</v>
      </c>
      <c r="T12" s="28">
        <f t="shared" si="7"/>
        <v>2032.3467086202697</v>
      </c>
    </row>
    <row r="13" spans="1:20" ht="15" customHeight="1" x14ac:dyDescent="0.3">
      <c r="A13" s="5" t="s">
        <v>65</v>
      </c>
      <c r="B13" s="6" t="s">
        <v>89</v>
      </c>
      <c r="C13" s="13" t="s">
        <v>90</v>
      </c>
      <c r="D13" s="13" t="s">
        <v>55</v>
      </c>
      <c r="E13" s="27"/>
      <c r="F13" s="27">
        <v>29570</v>
      </c>
      <c r="G13" s="27">
        <f t="shared" si="0"/>
        <v>61526.299000000006</v>
      </c>
      <c r="H13" s="27">
        <v>0</v>
      </c>
      <c r="I13" s="37">
        <f t="shared" si="1"/>
        <v>0</v>
      </c>
      <c r="J13" s="28">
        <f t="shared" si="2"/>
        <v>4147.4109077162511</v>
      </c>
      <c r="K13" s="28">
        <f>((G13+I13)/12)*$G$40</f>
        <v>3792.5836141916675</v>
      </c>
      <c r="L13" s="28">
        <f>(G13*$C$31)+(G13/12*$J$66*$C$31)</f>
        <v>7054.3826668657048</v>
      </c>
      <c r="M13" s="28">
        <f t="shared" si="3"/>
        <v>20007.173744726912</v>
      </c>
      <c r="N13" s="28">
        <f t="shared" si="4"/>
        <v>1451.1000000000001</v>
      </c>
      <c r="O13" s="28">
        <v>47.52</v>
      </c>
      <c r="P13" s="28">
        <v>615.66</v>
      </c>
      <c r="Q13" s="27">
        <f t="shared" si="5"/>
        <v>78634.956188773634</v>
      </c>
      <c r="R13" s="27">
        <f t="shared" si="6"/>
        <v>91587.747266634848</v>
      </c>
      <c r="T13" s="28">
        <f t="shared" si="7"/>
        <v>2314.0736301078705</v>
      </c>
    </row>
    <row r="14" spans="1:20" ht="15" customHeight="1" x14ac:dyDescent="0.3">
      <c r="A14" s="5" t="s">
        <v>13</v>
      </c>
      <c r="B14" s="6" t="s">
        <v>14</v>
      </c>
      <c r="C14" s="7" t="s">
        <v>15</v>
      </c>
      <c r="D14" s="13" t="s">
        <v>54</v>
      </c>
      <c r="E14" s="27"/>
      <c r="F14" s="27">
        <v>16170</v>
      </c>
      <c r="G14" s="27">
        <f t="shared" si="0"/>
        <v>33644.919000000002</v>
      </c>
      <c r="H14" s="27">
        <v>0</v>
      </c>
      <c r="I14" s="37">
        <f t="shared" si="1"/>
        <v>1123.411544</v>
      </c>
      <c r="J14" s="28">
        <f t="shared" si="2"/>
        <v>2343.6897015578602</v>
      </c>
      <c r="K14" s="28">
        <f>((G14+I14)/12)*$L$40</f>
        <v>2553.1544062810667</v>
      </c>
      <c r="L14" s="28">
        <f>(G14*$C$31)+(G14/12*$J$68*$C$31)</f>
        <v>3878.3936451587251</v>
      </c>
      <c r="M14" s="28">
        <f t="shared" si="3"/>
        <v>11431.570840271092</v>
      </c>
      <c r="N14" s="28">
        <f t="shared" si="4"/>
        <v>1451.1000000000001</v>
      </c>
      <c r="O14" s="28">
        <v>47.52</v>
      </c>
      <c r="P14" s="28">
        <v>615.66</v>
      </c>
      <c r="Q14" s="27">
        <f t="shared" si="5"/>
        <v>45657.848296997647</v>
      </c>
      <c r="R14" s="27">
        <f t="shared" si="6"/>
        <v>53211.025492110013</v>
      </c>
      <c r="T14" s="28">
        <f t="shared" si="7"/>
        <v>1307.6761999733549</v>
      </c>
    </row>
    <row r="15" spans="1:20" ht="15" customHeight="1" x14ac:dyDescent="0.3">
      <c r="A15" s="5" t="s">
        <v>13</v>
      </c>
      <c r="B15" s="6" t="s">
        <v>16</v>
      </c>
      <c r="C15" s="7" t="s">
        <v>15</v>
      </c>
      <c r="D15" s="13" t="s">
        <v>54</v>
      </c>
      <c r="E15" s="27"/>
      <c r="F15" s="27">
        <v>16170</v>
      </c>
      <c r="G15" s="27">
        <f t="shared" si="0"/>
        <v>33644.919000000002</v>
      </c>
      <c r="H15" s="27">
        <v>0</v>
      </c>
      <c r="I15" s="37">
        <f t="shared" si="1"/>
        <v>1123.411544</v>
      </c>
      <c r="J15" s="28">
        <f t="shared" si="2"/>
        <v>2343.6897015578602</v>
      </c>
      <c r="K15" s="28">
        <f>((G15+I15)/12)*$L$40</f>
        <v>2553.1544062810667</v>
      </c>
      <c r="L15" s="28">
        <f>(G15*$C$31)+(G15/12*$J$68*$C$31)</f>
        <v>3878.3936451587251</v>
      </c>
      <c r="M15" s="28">
        <f t="shared" si="3"/>
        <v>11431.570840271092</v>
      </c>
      <c r="N15" s="28">
        <f t="shared" si="4"/>
        <v>1451.1000000000001</v>
      </c>
      <c r="O15" s="28">
        <v>47.52</v>
      </c>
      <c r="P15" s="28">
        <v>615.66</v>
      </c>
      <c r="Q15" s="27">
        <f t="shared" si="5"/>
        <v>45657.848296997647</v>
      </c>
      <c r="R15" s="27">
        <f t="shared" si="6"/>
        <v>53211.025492110013</v>
      </c>
      <c r="T15" s="28">
        <f t="shared" si="7"/>
        <v>1307.6761999733549</v>
      </c>
    </row>
    <row r="16" spans="1:20" ht="15" customHeight="1" x14ac:dyDescent="0.3">
      <c r="A16" s="5" t="s">
        <v>13</v>
      </c>
      <c r="B16" s="6" t="s">
        <v>103</v>
      </c>
      <c r="C16" s="7" t="s">
        <v>17</v>
      </c>
      <c r="D16" s="13" t="s">
        <v>54</v>
      </c>
      <c r="E16" s="27"/>
      <c r="F16" s="27">
        <v>15450</v>
      </c>
      <c r="G16" s="27">
        <f t="shared" si="0"/>
        <v>32146.815000000002</v>
      </c>
      <c r="H16" s="27">
        <v>0</v>
      </c>
      <c r="I16" s="37">
        <f t="shared" si="1"/>
        <v>1123.411544</v>
      </c>
      <c r="J16" s="28">
        <f t="shared" si="2"/>
        <v>2242.7043835478607</v>
      </c>
      <c r="K16" s="28">
        <f>((G16+I16)/12)*$L$40</f>
        <v>2443.143635881067</v>
      </c>
      <c r="L16" s="28">
        <f>(G16*$C$31)+(G16/12*$J$68*$C$31)</f>
        <v>3705.7007926841252</v>
      </c>
      <c r="M16" s="28">
        <f t="shared" si="3"/>
        <v>10939.005286097574</v>
      </c>
      <c r="N16" s="28">
        <f t="shared" si="4"/>
        <v>1451.1000000000001</v>
      </c>
      <c r="O16" s="28">
        <v>47.52</v>
      </c>
      <c r="P16" s="28">
        <v>615.66</v>
      </c>
      <c r="Q16" s="27">
        <f t="shared" si="5"/>
        <v>43776.055356113058</v>
      </c>
      <c r="R16" s="27">
        <f t="shared" si="6"/>
        <v>51009.359849526503</v>
      </c>
      <c r="T16" s="28">
        <f t="shared" si="7"/>
        <v>1251.3308156758351</v>
      </c>
    </row>
    <row r="17" spans="1:20" ht="15" customHeight="1" x14ac:dyDescent="0.3">
      <c r="A17" s="5" t="s">
        <v>57</v>
      </c>
      <c r="B17" s="6" t="s">
        <v>100</v>
      </c>
      <c r="C17" s="13" t="s">
        <v>59</v>
      </c>
      <c r="D17" s="13" t="s">
        <v>55</v>
      </c>
      <c r="E17" s="27"/>
      <c r="F17" s="27">
        <v>19180</v>
      </c>
      <c r="G17" s="27">
        <f t="shared" si="0"/>
        <v>39907.826000000001</v>
      </c>
      <c r="H17" s="27">
        <v>0</v>
      </c>
      <c r="I17" s="37">
        <f t="shared" si="1"/>
        <v>0</v>
      </c>
      <c r="J17" s="28">
        <f t="shared" si="2"/>
        <v>2690.1366658775005</v>
      </c>
      <c r="K17" s="28">
        <f>((G17+I17)/12)*$J$40</f>
        <v>2683.1361680666664</v>
      </c>
      <c r="L17" s="28">
        <f>(G17*$C$31)+(G17/12*$J$69*$C$31)</f>
        <v>4589.4438886086009</v>
      </c>
      <c r="M17" s="28">
        <f t="shared" si="3"/>
        <v>13045.61171207882</v>
      </c>
      <c r="N17" s="28">
        <f t="shared" si="4"/>
        <v>1451.1000000000001</v>
      </c>
      <c r="O17" s="28">
        <v>47.52</v>
      </c>
      <c r="P17" s="28">
        <v>615.66</v>
      </c>
      <c r="Q17" s="27">
        <f t="shared" si="5"/>
        <v>51984.822722552766</v>
      </c>
      <c r="R17" s="27">
        <f t="shared" si="6"/>
        <v>60440.990546022986</v>
      </c>
      <c r="T17" s="28">
        <f t="shared" si="7"/>
        <v>1500.97843170338</v>
      </c>
    </row>
    <row r="18" spans="1:20" ht="15" customHeight="1" x14ac:dyDescent="0.3">
      <c r="A18" s="5" t="s">
        <v>57</v>
      </c>
      <c r="B18" s="6" t="s">
        <v>101</v>
      </c>
      <c r="C18" s="13" t="s">
        <v>102</v>
      </c>
      <c r="D18" s="13" t="s">
        <v>55</v>
      </c>
      <c r="E18" s="27"/>
      <c r="F18" s="27">
        <v>20520</v>
      </c>
      <c r="G18" s="27">
        <f t="shared" si="0"/>
        <v>42695.964000000007</v>
      </c>
      <c r="H18" s="27">
        <v>0</v>
      </c>
      <c r="I18" s="37">
        <f t="shared" si="1"/>
        <v>0</v>
      </c>
      <c r="J18" s="28">
        <f t="shared" si="2"/>
        <v>2878.0815632850008</v>
      </c>
      <c r="K18" s="28">
        <f>((G18+I18)/12)*$J$40</f>
        <v>2870.5919796000003</v>
      </c>
      <c r="L18" s="28">
        <f>(G18*$C$31)+(G18/12*$J$69*$C$31)</f>
        <v>4910.082825560401</v>
      </c>
      <c r="M18" s="28">
        <f t="shared" si="3"/>
        <v>13957.036096551483</v>
      </c>
      <c r="N18" s="28">
        <f t="shared" si="4"/>
        <v>1451.1000000000001</v>
      </c>
      <c r="O18" s="28">
        <v>47.52</v>
      </c>
      <c r="P18" s="28">
        <v>615.66</v>
      </c>
      <c r="Q18" s="27">
        <f t="shared" si="5"/>
        <v>55469.000368445406</v>
      </c>
      <c r="R18" s="27">
        <f t="shared" si="6"/>
        <v>64515.953639436491</v>
      </c>
      <c r="T18" s="28">
        <f t="shared" si="7"/>
        <v>1605.8434524793204</v>
      </c>
    </row>
    <row r="19" spans="1:20" ht="15" customHeight="1" x14ac:dyDescent="0.3">
      <c r="A19" s="5" t="s">
        <v>58</v>
      </c>
      <c r="B19" s="6" t="s">
        <v>98</v>
      </c>
      <c r="C19" s="13" t="s">
        <v>99</v>
      </c>
      <c r="D19" s="13" t="s">
        <v>55</v>
      </c>
      <c r="E19" s="27"/>
      <c r="F19" s="27">
        <v>26420</v>
      </c>
      <c r="G19" s="27">
        <f t="shared" si="0"/>
        <v>54972.094000000005</v>
      </c>
      <c r="H19" s="27">
        <v>0</v>
      </c>
      <c r="I19" s="37">
        <f t="shared" si="1"/>
        <v>0</v>
      </c>
      <c r="J19" s="28">
        <f t="shared" si="2"/>
        <v>3705.6001414225007</v>
      </c>
      <c r="K19" s="28">
        <f>((G19+I19)/12)*$J$40</f>
        <v>3695.9571199333336</v>
      </c>
      <c r="L19" s="28">
        <f>(G19*$C$31)+(G19/12*$J$70*$C$31)</f>
        <v>6326.9591030375677</v>
      </c>
      <c r="M19" s="28">
        <f t="shared" si="3"/>
        <v>17970.024058035582</v>
      </c>
      <c r="N19" s="28">
        <f t="shared" si="4"/>
        <v>1451.1000000000001</v>
      </c>
      <c r="O19" s="28">
        <v>47.52</v>
      </c>
      <c r="P19" s="28">
        <v>615.66</v>
      </c>
      <c r="Q19" s="27">
        <f t="shared" si="5"/>
        <v>70814.890364393432</v>
      </c>
      <c r="R19" s="27">
        <f t="shared" si="6"/>
        <v>82457.955319391433</v>
      </c>
      <c r="T19" s="28">
        <f t="shared" si="7"/>
        <v>2067.5625738062204</v>
      </c>
    </row>
    <row r="20" spans="1:20" ht="15" customHeight="1" x14ac:dyDescent="0.3">
      <c r="A20" s="5"/>
      <c r="B20" s="6"/>
      <c r="C20" s="7"/>
      <c r="D20" s="7"/>
      <c r="E20" s="27"/>
      <c r="F20" s="27"/>
      <c r="G20" s="27"/>
      <c r="H20" s="27"/>
      <c r="I20" s="37"/>
      <c r="J20" s="28"/>
      <c r="K20" s="28"/>
      <c r="L20" s="28"/>
      <c r="M20" s="28"/>
      <c r="N20" s="28"/>
      <c r="O20" s="28"/>
      <c r="P20" s="28"/>
      <c r="Q20" s="27"/>
      <c r="R20" s="27"/>
    </row>
    <row r="21" spans="1:20" ht="15" customHeight="1" x14ac:dyDescent="0.3">
      <c r="A21" s="5"/>
      <c r="B21" s="6"/>
      <c r="C21" s="7"/>
      <c r="D21" s="7"/>
      <c r="E21" s="27"/>
      <c r="F21" s="27"/>
      <c r="G21" s="27"/>
      <c r="H21" s="27"/>
      <c r="I21" s="37"/>
      <c r="J21" s="28"/>
      <c r="K21" s="28"/>
      <c r="L21" s="28"/>
      <c r="M21" s="28"/>
      <c r="N21" s="28"/>
      <c r="O21" s="28"/>
      <c r="P21" s="28"/>
      <c r="Q21" s="27"/>
      <c r="R21" s="27"/>
    </row>
    <row r="22" spans="1:20" ht="15" customHeight="1" x14ac:dyDescent="0.3">
      <c r="A22" s="5"/>
      <c r="B22" s="73" t="s">
        <v>87</v>
      </c>
      <c r="C22" s="7"/>
      <c r="D22" s="7"/>
      <c r="E22" s="27"/>
      <c r="F22" s="27"/>
      <c r="G22" s="27"/>
      <c r="H22" s="27"/>
      <c r="I22" s="37"/>
      <c r="J22" s="28"/>
      <c r="K22" s="28"/>
      <c r="L22" s="28"/>
      <c r="M22" s="28"/>
      <c r="N22" s="28"/>
      <c r="O22" s="28"/>
      <c r="P22" s="28"/>
      <c r="Q22" s="27"/>
      <c r="R22" s="27"/>
    </row>
    <row r="23" spans="1:20" ht="15" customHeight="1" x14ac:dyDescent="0.3">
      <c r="A23" s="23"/>
      <c r="B23" s="32"/>
      <c r="C23" s="33"/>
      <c r="D23" s="33"/>
      <c r="E23" s="34"/>
      <c r="F23" s="34"/>
      <c r="G23" s="34"/>
      <c r="H23" s="34"/>
      <c r="I23" s="38"/>
      <c r="J23" s="35"/>
      <c r="K23" s="35"/>
      <c r="L23" s="35"/>
      <c r="M23" s="35"/>
      <c r="N23" s="35"/>
      <c r="O23" s="35"/>
      <c r="P23" s="35"/>
      <c r="Q23" s="34"/>
      <c r="R23" s="34"/>
    </row>
    <row r="24" spans="1:20" ht="15" customHeight="1" x14ac:dyDescent="0.3">
      <c r="A24" s="23"/>
      <c r="B24" s="32"/>
      <c r="C24" s="33"/>
      <c r="D24" s="33"/>
      <c r="E24" s="34"/>
      <c r="F24" s="34"/>
      <c r="G24" s="34"/>
      <c r="H24" s="34"/>
      <c r="I24" s="38"/>
      <c r="J24" s="35"/>
      <c r="K24" s="35"/>
      <c r="L24" s="35"/>
      <c r="M24" s="35"/>
      <c r="N24" s="35"/>
      <c r="O24" s="35"/>
      <c r="P24" s="35"/>
      <c r="Q24" s="34"/>
      <c r="R24" s="34"/>
    </row>
    <row r="25" spans="1:20" ht="18" customHeight="1" x14ac:dyDescent="0.3">
      <c r="A25" s="23"/>
      <c r="B25" s="76" t="s">
        <v>88</v>
      </c>
      <c r="C25" s="33"/>
      <c r="D25" s="33"/>
      <c r="E25" s="34"/>
      <c r="F25" s="34"/>
      <c r="G25" s="34"/>
      <c r="H25" s="34"/>
      <c r="I25" s="38"/>
      <c r="J25" s="35"/>
      <c r="K25" s="35"/>
      <c r="L25" s="35"/>
      <c r="M25" s="35"/>
      <c r="N25" s="35"/>
      <c r="O25" s="35"/>
      <c r="P25" s="35"/>
      <c r="Q25" s="34"/>
      <c r="R25" s="34"/>
    </row>
    <row r="26" spans="1:20" ht="18" customHeight="1" x14ac:dyDescent="0.3">
      <c r="A26" s="23"/>
      <c r="B26" s="32"/>
      <c r="C26" s="33"/>
      <c r="D26" s="33"/>
      <c r="E26" s="34"/>
      <c r="F26" s="34"/>
      <c r="G26" s="34"/>
      <c r="H26" s="34"/>
      <c r="I26" s="38"/>
      <c r="J26" s="35"/>
      <c r="K26" s="35"/>
      <c r="L26" s="35"/>
      <c r="M26" s="35"/>
      <c r="N26" s="35"/>
      <c r="O26" s="35"/>
      <c r="P26" s="35"/>
      <c r="Q26" s="34"/>
      <c r="R26" s="34"/>
    </row>
    <row r="27" spans="1:20" ht="18" customHeight="1" x14ac:dyDescent="0.3">
      <c r="A27" s="23"/>
      <c r="B27" s="32"/>
      <c r="C27" s="33"/>
      <c r="D27" s="33"/>
      <c r="E27" s="34"/>
      <c r="F27" s="34"/>
      <c r="G27" s="34"/>
      <c r="H27" s="34"/>
      <c r="I27" s="38"/>
      <c r="J27" s="35"/>
      <c r="K27" s="35"/>
      <c r="L27" s="35"/>
      <c r="M27" s="35"/>
      <c r="N27" s="35"/>
      <c r="O27" s="35"/>
      <c r="P27" s="35"/>
      <c r="Q27" s="34"/>
      <c r="R27" s="34"/>
    </row>
    <row r="28" spans="1:20" ht="18" customHeight="1" thickBot="1" x14ac:dyDescent="0.35">
      <c r="A28" s="23"/>
      <c r="B28" s="32"/>
      <c r="C28" s="33"/>
      <c r="D28" s="33"/>
      <c r="E28" s="34"/>
      <c r="F28" s="34"/>
      <c r="G28" s="34"/>
      <c r="H28" s="34"/>
      <c r="I28" s="38"/>
      <c r="J28" s="35"/>
      <c r="K28" s="35"/>
      <c r="L28" s="35"/>
      <c r="M28" s="35"/>
      <c r="N28" s="35"/>
      <c r="O28" s="35"/>
      <c r="P28" s="35"/>
      <c r="Q28" s="34"/>
      <c r="R28" s="34"/>
    </row>
    <row r="29" spans="1:20" ht="18" customHeight="1" thickTop="1" x14ac:dyDescent="0.3">
      <c r="A29" s="2" t="s">
        <v>18</v>
      </c>
      <c r="B29" s="3"/>
      <c r="C29" s="9"/>
      <c r="D29" s="66"/>
    </row>
    <row r="30" spans="1:20" ht="18" customHeight="1" x14ac:dyDescent="0.3">
      <c r="A30" s="4" t="s">
        <v>19</v>
      </c>
      <c r="B30" s="1"/>
      <c r="C30" s="39">
        <v>2.0807000000000002</v>
      </c>
      <c r="D30" s="67"/>
    </row>
    <row r="31" spans="1:20" ht="18" customHeight="1" x14ac:dyDescent="0.3">
      <c r="A31" s="4" t="s">
        <v>20</v>
      </c>
      <c r="B31" s="1"/>
      <c r="C31" s="14">
        <v>0.1115</v>
      </c>
      <c r="D31" s="68"/>
      <c r="E31" s="43"/>
      <c r="F31" s="43"/>
    </row>
    <row r="32" spans="1:20" ht="18" customHeight="1" x14ac:dyDescent="0.3">
      <c r="A32" s="4" t="s">
        <v>21</v>
      </c>
      <c r="B32" s="1"/>
      <c r="C32" s="75">
        <v>0.30630000000000002</v>
      </c>
      <c r="D32" s="68"/>
      <c r="E32" s="43"/>
      <c r="F32" s="43"/>
    </row>
    <row r="33" spans="1:19" ht="18" customHeight="1" x14ac:dyDescent="0.3">
      <c r="A33" s="15" t="s">
        <v>77</v>
      </c>
      <c r="B33" s="16"/>
      <c r="C33" s="17">
        <v>0.52500000000000002</v>
      </c>
      <c r="D33" s="69"/>
    </row>
    <row r="34" spans="1:19" ht="18" customHeight="1" x14ac:dyDescent="0.3">
      <c r="A34" s="21" t="s">
        <v>60</v>
      </c>
      <c r="B34" s="22"/>
      <c r="C34" s="26">
        <f>($C$36+$C$35)/2</f>
        <v>539.91999999999996</v>
      </c>
      <c r="D34" s="70"/>
      <c r="S34" s="65"/>
    </row>
    <row r="35" spans="1:19" ht="18" customHeight="1" x14ac:dyDescent="0.3">
      <c r="A35" s="4" t="s">
        <v>61</v>
      </c>
      <c r="B35" s="1"/>
      <c r="C35" s="24">
        <v>719.89</v>
      </c>
      <c r="D35" s="71"/>
      <c r="S35" s="60"/>
    </row>
    <row r="36" spans="1:19" ht="18" customHeight="1" thickBot="1" x14ac:dyDescent="0.35">
      <c r="A36" s="4" t="s">
        <v>62</v>
      </c>
      <c r="B36" s="1"/>
      <c r="C36" s="24">
        <v>359.95</v>
      </c>
      <c r="D36" s="71"/>
      <c r="S36" s="60"/>
    </row>
    <row r="37" spans="1:19" ht="18" customHeight="1" thickTop="1" x14ac:dyDescent="0.3">
      <c r="A37" s="4" t="s">
        <v>66</v>
      </c>
      <c r="B37" s="1"/>
      <c r="C37" s="44"/>
      <c r="D37" s="72"/>
      <c r="E37" s="49" t="s">
        <v>26</v>
      </c>
      <c r="F37" s="79"/>
      <c r="G37" s="3" t="s">
        <v>27</v>
      </c>
      <c r="H37" s="3"/>
      <c r="I37" s="55"/>
      <c r="J37" s="53" t="s">
        <v>28</v>
      </c>
      <c r="K37" s="49"/>
      <c r="L37" s="9" t="s">
        <v>13</v>
      </c>
      <c r="S37" s="60"/>
    </row>
    <row r="38" spans="1:19" x14ac:dyDescent="0.3">
      <c r="A38" s="4" t="s">
        <v>29</v>
      </c>
      <c r="B38" s="1"/>
      <c r="C38" s="45"/>
      <c r="D38" s="45"/>
      <c r="E38" s="50">
        <v>0.92</v>
      </c>
      <c r="F38" s="46"/>
      <c r="G38" s="46">
        <v>0.92</v>
      </c>
      <c r="H38" s="46"/>
      <c r="I38" s="51"/>
      <c r="J38" s="46">
        <v>0.92</v>
      </c>
      <c r="K38" s="51"/>
      <c r="L38" s="47">
        <v>0.92</v>
      </c>
      <c r="S38" s="60"/>
    </row>
    <row r="39" spans="1:19" x14ac:dyDescent="0.3">
      <c r="A39" s="77" t="s">
        <v>78</v>
      </c>
      <c r="B39" s="1"/>
      <c r="C39" s="44"/>
      <c r="D39" s="44"/>
      <c r="E39" s="51" t="s">
        <v>26</v>
      </c>
      <c r="F39" s="66"/>
      <c r="G39" s="1" t="s">
        <v>27</v>
      </c>
      <c r="H39" s="1"/>
      <c r="I39" s="56"/>
      <c r="J39" s="54" t="s">
        <v>28</v>
      </c>
      <c r="K39" s="51"/>
      <c r="L39" s="48" t="s">
        <v>13</v>
      </c>
      <c r="Q39" s="65"/>
      <c r="R39" s="65"/>
      <c r="S39" s="60"/>
    </row>
    <row r="40" spans="1:19" ht="13.5" thickBot="1" x14ac:dyDescent="0.35">
      <c r="A40" s="4" t="s">
        <v>29</v>
      </c>
      <c r="B40" s="1"/>
      <c r="C40" s="45"/>
      <c r="D40" s="62"/>
      <c r="E40" s="74">
        <v>0.66710000000000003</v>
      </c>
      <c r="F40" s="62"/>
      <c r="G40" s="62">
        <v>0.73970000000000002</v>
      </c>
      <c r="H40" s="62"/>
      <c r="I40" s="52"/>
      <c r="J40" s="62">
        <v>0.80679999999999996</v>
      </c>
      <c r="K40" s="52"/>
      <c r="L40" s="61">
        <v>0.88119999999999998</v>
      </c>
      <c r="Q40" s="59"/>
      <c r="R40" s="60"/>
      <c r="S40" s="31"/>
    </row>
    <row r="41" spans="1:19" ht="13.5" outlineLevel="1" thickTop="1" x14ac:dyDescent="0.3">
      <c r="A41" s="4" t="s">
        <v>63</v>
      </c>
      <c r="B41" s="1"/>
      <c r="C41" s="24">
        <v>18945.86</v>
      </c>
      <c r="D41" s="71"/>
      <c r="Q41" s="59"/>
      <c r="R41" s="60"/>
      <c r="S41" s="60"/>
    </row>
    <row r="42" spans="1:19" ht="13.5" outlineLevel="1" thickBot="1" x14ac:dyDescent="0.35">
      <c r="A42" s="19" t="s">
        <v>64</v>
      </c>
      <c r="B42" s="20"/>
      <c r="C42" s="25">
        <v>16671.84</v>
      </c>
      <c r="D42" s="71"/>
      <c r="Q42" s="59"/>
      <c r="R42" s="60"/>
      <c r="S42" s="60"/>
    </row>
    <row r="43" spans="1:19" ht="13.5" outlineLevel="1" thickTop="1" x14ac:dyDescent="0.3">
      <c r="A43" s="78" t="s">
        <v>81</v>
      </c>
      <c r="C43" s="8">
        <v>13.82</v>
      </c>
      <c r="Q43" s="59"/>
      <c r="R43" s="60"/>
      <c r="S43" s="60"/>
    </row>
    <row r="44" spans="1:19" outlineLevel="1" x14ac:dyDescent="0.3">
      <c r="A44" t="s">
        <v>79</v>
      </c>
      <c r="C44" s="8">
        <v>0.03</v>
      </c>
      <c r="Q44" s="59"/>
      <c r="R44" s="60"/>
      <c r="S44" s="31"/>
    </row>
    <row r="45" spans="1:19" outlineLevel="1" x14ac:dyDescent="0.3">
      <c r="A45" t="s">
        <v>80</v>
      </c>
      <c r="C45" s="8">
        <v>8.8599999999999998E-2</v>
      </c>
      <c r="R45" s="36"/>
      <c r="S45" s="31"/>
    </row>
    <row r="46" spans="1:19" outlineLevel="1" x14ac:dyDescent="0.3">
      <c r="B46" s="8"/>
      <c r="C46" s="41"/>
      <c r="G46" s="58" t="s">
        <v>30</v>
      </c>
      <c r="H46" s="58"/>
      <c r="I46" s="58" t="s">
        <v>31</v>
      </c>
      <c r="J46" s="58" t="s">
        <v>32</v>
      </c>
      <c r="Q46" s="59"/>
      <c r="R46" s="60"/>
      <c r="S46" s="60"/>
    </row>
    <row r="47" spans="1:19" outlineLevel="1" x14ac:dyDescent="0.3">
      <c r="A47" s="40"/>
      <c r="B47" s="8"/>
      <c r="C47" s="41"/>
      <c r="D47" s="41"/>
      <c r="G47" s="59" t="s">
        <v>33</v>
      </c>
      <c r="H47" s="59"/>
      <c r="I47" s="60">
        <v>0.73970000000000002</v>
      </c>
      <c r="J47" s="60">
        <v>0.35970000000000002</v>
      </c>
      <c r="Q47" s="59"/>
      <c r="R47" s="60"/>
      <c r="S47" s="60"/>
    </row>
    <row r="48" spans="1:19" outlineLevel="1" x14ac:dyDescent="0.3">
      <c r="B48" s="8"/>
      <c r="C48" s="41"/>
      <c r="D48" s="41"/>
      <c r="G48" s="59" t="s">
        <v>34</v>
      </c>
      <c r="H48" s="59"/>
      <c r="I48" s="60">
        <v>0.66710000000000003</v>
      </c>
      <c r="J48" s="60">
        <v>0.30709999999999998</v>
      </c>
      <c r="Q48" s="59"/>
      <c r="R48" s="60"/>
      <c r="S48" s="60"/>
    </row>
    <row r="49" spans="1:19" outlineLevel="1" x14ac:dyDescent="0.3">
      <c r="B49" s="8"/>
      <c r="C49" s="41"/>
      <c r="D49" s="41"/>
      <c r="G49" s="59" t="s">
        <v>47</v>
      </c>
      <c r="H49" s="59"/>
      <c r="I49" s="60">
        <v>0.66710000000000003</v>
      </c>
      <c r="J49" s="60">
        <v>0.30709999999999998</v>
      </c>
      <c r="R49" s="36"/>
      <c r="S49" s="31"/>
    </row>
    <row r="50" spans="1:19" outlineLevel="1" x14ac:dyDescent="0.3">
      <c r="B50" s="63"/>
      <c r="C50" s="64"/>
      <c r="D50" s="41"/>
      <c r="G50" s="59" t="s">
        <v>67</v>
      </c>
      <c r="H50" s="59"/>
      <c r="I50" s="60">
        <v>0.66710000000000003</v>
      </c>
      <c r="J50" s="60">
        <v>0.31709999999999999</v>
      </c>
      <c r="R50" s="36"/>
      <c r="S50" s="60"/>
    </row>
    <row r="51" spans="1:19" outlineLevel="1" x14ac:dyDescent="0.3">
      <c r="D51" s="64"/>
      <c r="G51" s="59" t="s">
        <v>35</v>
      </c>
      <c r="H51" s="59"/>
      <c r="I51" s="60">
        <v>0.66710000000000003</v>
      </c>
      <c r="J51" s="60">
        <v>0.31709999999999999</v>
      </c>
      <c r="Q51" s="59"/>
      <c r="R51" s="60"/>
      <c r="S51" s="60"/>
    </row>
    <row r="52" spans="1:19" outlineLevel="1" x14ac:dyDescent="0.3">
      <c r="A52" s="40"/>
      <c r="B52" s="8"/>
      <c r="C52" s="41"/>
      <c r="G52" s="59" t="s">
        <v>48</v>
      </c>
      <c r="H52" s="59"/>
      <c r="I52" s="60">
        <v>0.66710000000000003</v>
      </c>
      <c r="J52" s="60">
        <v>0.31709999999999999</v>
      </c>
      <c r="Q52" s="59"/>
      <c r="R52" s="60"/>
      <c r="S52" s="60"/>
    </row>
    <row r="53" spans="1:19" outlineLevel="1" x14ac:dyDescent="0.3">
      <c r="B53" s="42"/>
      <c r="C53" s="41"/>
      <c r="D53" s="41"/>
      <c r="G53" s="59" t="s">
        <v>36</v>
      </c>
      <c r="H53" s="59"/>
      <c r="I53" s="60">
        <v>0.66710000000000003</v>
      </c>
      <c r="J53" s="60">
        <v>0.3271</v>
      </c>
      <c r="Q53" s="59"/>
      <c r="R53" s="60"/>
      <c r="S53" s="60"/>
    </row>
    <row r="54" spans="1:19" outlineLevel="1" x14ac:dyDescent="0.3">
      <c r="B54" s="42"/>
      <c r="C54" s="41"/>
      <c r="D54" s="41"/>
      <c r="G54" s="59" t="s">
        <v>37</v>
      </c>
      <c r="H54" s="59"/>
      <c r="I54" s="60">
        <v>0.66710000000000003</v>
      </c>
      <c r="J54" s="60">
        <v>0.33210000000000001</v>
      </c>
      <c r="R54" s="36"/>
    </row>
    <row r="55" spans="1:19" outlineLevel="1" x14ac:dyDescent="0.3">
      <c r="B55" s="8"/>
      <c r="C55" s="41"/>
      <c r="D55" s="41"/>
      <c r="G55" s="59"/>
      <c r="H55" s="59"/>
      <c r="I55" s="60"/>
      <c r="J55" s="60"/>
      <c r="Q55" s="59"/>
      <c r="R55" s="60"/>
    </row>
    <row r="56" spans="1:19" outlineLevel="1" x14ac:dyDescent="0.3">
      <c r="B56" s="63"/>
      <c r="C56" s="64"/>
      <c r="D56" s="41"/>
      <c r="G56" s="59"/>
      <c r="H56" s="59"/>
      <c r="I56" s="60"/>
      <c r="J56" s="60"/>
      <c r="Q56" s="59"/>
      <c r="R56" s="60"/>
    </row>
    <row r="57" spans="1:19" outlineLevel="1" x14ac:dyDescent="0.3">
      <c r="B57" s="8"/>
      <c r="C57" s="41"/>
      <c r="D57" s="41"/>
      <c r="Q57" s="59"/>
      <c r="R57" s="60"/>
    </row>
    <row r="58" spans="1:19" outlineLevel="1" x14ac:dyDescent="0.3">
      <c r="B58" s="8"/>
      <c r="C58" s="41"/>
      <c r="D58" s="41"/>
      <c r="Q58" s="59"/>
      <c r="R58" s="60"/>
    </row>
    <row r="59" spans="1:19" outlineLevel="1" x14ac:dyDescent="0.3">
      <c r="B59" s="8"/>
      <c r="C59" s="41"/>
      <c r="D59" s="41"/>
      <c r="G59" s="59" t="s">
        <v>38</v>
      </c>
      <c r="H59" s="59"/>
      <c r="I59" s="60">
        <v>0.80679999999999996</v>
      </c>
      <c r="J59" s="60">
        <v>0.37180000000000002</v>
      </c>
      <c r="Q59" s="59"/>
      <c r="R59" s="60"/>
    </row>
    <row r="60" spans="1:19" outlineLevel="1" x14ac:dyDescent="0.3">
      <c r="D60" s="41"/>
      <c r="G60" s="59" t="s">
        <v>39</v>
      </c>
      <c r="H60" s="59"/>
      <c r="I60" s="60">
        <v>0.73970000000000002</v>
      </c>
      <c r="J60" s="60">
        <v>0.34970000000000001</v>
      </c>
    </row>
    <row r="61" spans="1:19" outlineLevel="1" x14ac:dyDescent="0.3">
      <c r="D61" s="41"/>
      <c r="G61" s="59" t="s">
        <v>40</v>
      </c>
      <c r="H61" s="59"/>
      <c r="I61" s="60">
        <v>0.73970000000000002</v>
      </c>
      <c r="J61" s="60">
        <v>0.35470000000000002</v>
      </c>
    </row>
    <row r="62" spans="1:19" outlineLevel="1" x14ac:dyDescent="0.3">
      <c r="D62" s="64"/>
    </row>
    <row r="63" spans="1:19" outlineLevel="1" x14ac:dyDescent="0.3"/>
    <row r="64" spans="1:19" x14ac:dyDescent="0.3">
      <c r="G64" s="59" t="s">
        <v>41</v>
      </c>
      <c r="H64" s="59"/>
      <c r="I64" s="60">
        <v>0.80679999999999996</v>
      </c>
      <c r="J64" s="60">
        <v>0.37680000000000002</v>
      </c>
    </row>
    <row r="65" spans="1:10" x14ac:dyDescent="0.3">
      <c r="G65" s="59" t="s">
        <v>42</v>
      </c>
      <c r="H65" s="59"/>
      <c r="I65" s="60">
        <v>0.73970000000000002</v>
      </c>
      <c r="J65" s="60">
        <v>0.34470000000000001</v>
      </c>
    </row>
    <row r="66" spans="1:10" x14ac:dyDescent="0.3">
      <c r="G66" s="59" t="s">
        <v>43</v>
      </c>
      <c r="H66" s="59"/>
      <c r="I66" s="60">
        <v>0.73970000000000002</v>
      </c>
      <c r="J66" s="60">
        <v>0.3397</v>
      </c>
    </row>
    <row r="68" spans="1:10" x14ac:dyDescent="0.3">
      <c r="G68" s="59" t="s">
        <v>44</v>
      </c>
      <c r="H68" s="59"/>
      <c r="I68" s="60">
        <v>0.88119999999999998</v>
      </c>
      <c r="J68" s="60">
        <v>0.40620000000000001</v>
      </c>
    </row>
    <row r="69" spans="1:10" x14ac:dyDescent="0.3">
      <c r="G69" s="59" t="s">
        <v>45</v>
      </c>
      <c r="H69" s="59"/>
      <c r="I69" s="60">
        <v>0.80679999999999996</v>
      </c>
      <c r="J69" s="60">
        <v>0.37680000000000002</v>
      </c>
    </row>
    <row r="70" spans="1:10" x14ac:dyDescent="0.3">
      <c r="G70" s="59" t="s">
        <v>46</v>
      </c>
      <c r="H70" s="59"/>
      <c r="I70" s="60">
        <v>0.80679999999999996</v>
      </c>
      <c r="J70" s="60">
        <v>0.38679999999999998</v>
      </c>
    </row>
    <row r="72" spans="1:10" x14ac:dyDescent="0.3">
      <c r="B72" t="s">
        <v>73</v>
      </c>
      <c r="G72" s="59"/>
      <c r="H72" s="59"/>
      <c r="I72" s="60"/>
      <c r="J72" s="60"/>
    </row>
    <row r="73" spans="1:10" x14ac:dyDescent="0.3">
      <c r="B73" t="s">
        <v>74</v>
      </c>
    </row>
    <row r="74" spans="1:10" x14ac:dyDescent="0.3">
      <c r="A74" t="s">
        <v>83</v>
      </c>
    </row>
    <row r="75" spans="1:10" x14ac:dyDescent="0.3">
      <c r="B75" t="s">
        <v>85</v>
      </c>
    </row>
  </sheetData>
  <mergeCells count="1">
    <mergeCell ref="A1:R1"/>
  </mergeCells>
  <phoneticPr fontId="0" type="noConversion"/>
  <printOptions horizontalCentered="1" verticalCentered="1" gridLines="1" gridLinesSet="0"/>
  <pageMargins left="0.39370078740157483" right="0.39370078740157483" top="0.47244094488188981" bottom="0.47244094488188981" header="0.23622047244094491" footer="0.27559055118110237"/>
  <pageSetup paperSize="8" scale="58" orientation="portrait" r:id="rId1"/>
  <headerFooter alignWithMargins="0">
    <oddHeader>&amp;R&amp;P</oddHeader>
    <oddFooter>&amp;L&amp;8 0810013547100004wervingskost&amp;R&amp;D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7" ma:contentTypeDescription="Een nieuw document maken." ma:contentTypeScope="" ma:versionID="3f95adbf21a1d64530954976fa838e80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d91cbf4dd9c7acd33a11f2d6acbe453f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Props1.xml><?xml version="1.0" encoding="utf-8"?>
<ds:datastoreItem xmlns:ds="http://schemas.openxmlformats.org/officeDocument/2006/customXml" ds:itemID="{397B9883-01FB-46FB-AC85-7403C55875A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7AF49F-6B39-4462-A6C6-827D3975F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4354C9-D99C-423B-9065-14D191B2F26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82FE0D4-335E-4731-B4A5-653F5A6956D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6FDD89A-3F90-4A5B-9555-1813190FCC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12Vl min  050 (MC 8 euro)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Lange, Koen</dc:creator>
  <cp:lastModifiedBy>Beckers Hilde</cp:lastModifiedBy>
  <cp:lastPrinted>2018-12-13T09:40:54Z</cp:lastPrinted>
  <dcterms:created xsi:type="dcterms:W3CDTF">2001-12-17T12:44:43Z</dcterms:created>
  <dcterms:modified xsi:type="dcterms:W3CDTF">2024-05-23T11:58:10Z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0x010100AB1D7E9F5C5134488946C80A271817D7</vt:lpwstr>
  </property>
  <property fmtid="{D5CDD505-2E9C-101B-9397-08002B2CF9AE}" pid="3" name="_dlc_DocId">
    <vt:lpwstr>WDVX3WN3PX7N-502442316-3013</vt:lpwstr>
  </property>
  <property fmtid="{D5CDD505-2E9C-101B-9397-08002B2CF9AE}" pid="4" name="_dlc_DocIdItemGuid">
    <vt:lpwstr>c95b7c31-ab1f-4969-9746-e621a0a2f98f</vt:lpwstr>
  </property>
  <property fmtid="{D5CDD505-2E9C-101B-9397-08002B2CF9AE}" pid="5" name="_dlc_DocIdUrl">
    <vt:lpwstr>https://vlaamseoverheid.sharepoint.com/sites/AGO-otmJKCadv/_layouts/15/DocIdRedir.aspx?ID=WDVX3WN3PX7N-502442316-3013, WDVX3WN3PX7N-502442316-3013</vt:lpwstr>
  </property>
</Properties>
</file>