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aelbremy\Downloads\"/>
    </mc:Choice>
  </mc:AlternateContent>
  <xr:revisionPtr revIDLastSave="0" documentId="13_ncr:1_{CACDF4C2-DE74-4AD1-B340-2AE3F5CC4D2A}" xr6:coauthVersionLast="47" xr6:coauthVersionMax="47" xr10:uidLastSave="{00000000-0000-0000-0000-000000000000}"/>
  <bookViews>
    <workbookView xWindow="-108" yWindow="-108" windowWidth="23256" windowHeight="12576" xr2:uid="{00000000-000D-0000-FFFF-FFFF00000000}"/>
  </bookViews>
  <sheets>
    <sheet name="Simulatie-tabel" sheetId="12" r:id="rId1"/>
    <sheet name="Prijsnormen €" sheetId="10" r:id="rId2"/>
    <sheet name="Prijzentabel €" sheetId="9" r:id="rId3"/>
    <sheet name="Gebouwtypes" sheetId="20" state="hidden" r:id="rId4"/>
    <sheet name="LijstWM" sheetId="23" state="hidden" r:id="rId5"/>
    <sheet name="LijstGemeenten" sheetId="22" state="hidden" r:id="rId6"/>
    <sheet name="Basis-maxima" sheetId="6" state="hidden" r:id="rId7"/>
    <sheet name="Codetabel" sheetId="5" state="hidden" r:id="rId8"/>
    <sheet name="Code" sheetId="3" state="hidden" r:id="rId9"/>
  </sheets>
  <definedNames>
    <definedName name="_xlnm._FilterDatabase" localSheetId="7" hidden="1">Codetabel!$B$1:$R$49</definedName>
    <definedName name="_xlnm._FilterDatabase" localSheetId="5" hidden="1">LijstGemeenten!$A$1:$K$303</definedName>
    <definedName name="_xlnm._FilterDatabase" localSheetId="2" hidden="1">'Prijzentabel €'!$A$1:$B$134</definedName>
    <definedName name="_xlnm._FilterDatabase" localSheetId="0" hidden="1">'Simulatie-tabel'!$A$3:$BH$36</definedName>
    <definedName name="Aanpasbaar">Codetabel!$C$2:$C$4</definedName>
    <definedName name="_xlnm.Print_Area" localSheetId="3">Gebouwtypes!$A$1:$B$40</definedName>
    <definedName name="_xlnm.Print_Area" localSheetId="1">'Prijsnormen €'!$A$1:$C$46</definedName>
    <definedName name="_xlnm.Print_Area" localSheetId="0">'Simulatie-tabel'!$A$1:$BH$69</definedName>
    <definedName name="Auto">Codetabel!$I$2:$I$3</definedName>
    <definedName name="Basis">Codetabel!$F$2:$F$3</definedName>
    <definedName name="CBO">Codetabel!$A$2:$A$4</definedName>
    <definedName name="centrum">Codetabel!$E$2:$E$4</definedName>
    <definedName name="Deelrenovaties">Codetabel!#REF!</definedName>
    <definedName name="Gebouw">Codetabel!$O$2:$O$42</definedName>
    <definedName name="Gebouwtype">Codetabel!$R$2:$R$34</definedName>
    <definedName name="Gebouwtypes">Codetabel!$R$2:$R$53</definedName>
    <definedName name="Gemeenten">LijstGemeenten!$C$2:$C$311</definedName>
    <definedName name="Huur">Codetabel!$K$2:$K$4</definedName>
    <definedName name="Invulbouw">Codetabel!$B$2:$B$5</definedName>
    <definedName name="Keuzelijst">Codetabel!$R$2:$R$49</definedName>
    <definedName name="Keuzelijste">Codetabel!$R$2:$R$49</definedName>
    <definedName name="Koop">Codetabel!$K$2:$K$3</definedName>
    <definedName name="Lagen">Codetabel!$L$2:$L$4</definedName>
    <definedName name="Lijst_Gemeenten">LijstGemeenten!$B$2:$B$311</definedName>
    <definedName name="MV">Codetabel!$C$2:$C$3</definedName>
    <definedName name="Opp">Codetabel!$D$2:$D$5</definedName>
    <definedName name="oppcf">Codetabel!$D$2:$D$3</definedName>
    <definedName name="Soort">Codetabel!$G$2:$G$3</definedName>
    <definedName name="SoortWerk">Codetabel!$G$2:$G$6</definedName>
    <definedName name="Stad">Codetabel!$M$1:$M$6</definedName>
    <definedName name="Stadia">Codetabel!$M$3:$M$6</definedName>
    <definedName name="Stadium">Codetabel!$M$3:$M$3</definedName>
    <definedName name="Type">Codetabel!$J$2:$J$3</definedName>
    <definedName name="Types">Codetabel!$O$2:$O$53</definedName>
    <definedName name="Werk">Codetabel!$G$2:$G$6</definedName>
    <definedName name="WM_Naam">LijstWM!$B$2:$B$43</definedName>
    <definedName name="WM_nr">LijstWM!$A$2:$A$43</definedName>
    <definedName name="Woningtypes">Codetabel!$J$2:$J$4</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22" l="1"/>
  <c r="G4" i="22"/>
  <c r="G5" i="22"/>
  <c r="G6"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155" i="22"/>
  <c r="G156" i="22"/>
  <c r="G157" i="22"/>
  <c r="G158" i="22"/>
  <c r="G159" i="22"/>
  <c r="G160" i="22"/>
  <c r="G161" i="22"/>
  <c r="G162" i="22"/>
  <c r="G163" i="22"/>
  <c r="G164" i="22"/>
  <c r="G165" i="22"/>
  <c r="G166" i="22"/>
  <c r="G167" i="22"/>
  <c r="G168" i="22"/>
  <c r="G169" i="22"/>
  <c r="G170" i="22"/>
  <c r="G171" i="22"/>
  <c r="G172" i="22"/>
  <c r="G173" i="22"/>
  <c r="G174" i="22"/>
  <c r="G175" i="22"/>
  <c r="G176" i="22"/>
  <c r="G177" i="22"/>
  <c r="G178" i="22"/>
  <c r="G179" i="22"/>
  <c r="G180" i="22"/>
  <c r="G181" i="22"/>
  <c r="G182" i="22"/>
  <c r="G183" i="22"/>
  <c r="G184" i="22"/>
  <c r="G185" i="22"/>
  <c r="G186" i="22"/>
  <c r="G187" i="22"/>
  <c r="G188" i="22"/>
  <c r="G189" i="22"/>
  <c r="G190" i="22"/>
  <c r="G191" i="22"/>
  <c r="G192" i="22"/>
  <c r="G193" i="22"/>
  <c r="G194" i="22"/>
  <c r="G195" i="22"/>
  <c r="G196" i="22"/>
  <c r="G197" i="22"/>
  <c r="G198" i="22"/>
  <c r="G199" i="22"/>
  <c r="G200" i="22"/>
  <c r="G201" i="22"/>
  <c r="G202" i="22"/>
  <c r="G203" i="22"/>
  <c r="G204" i="22"/>
  <c r="G205" i="22"/>
  <c r="G206" i="22"/>
  <c r="G207" i="22"/>
  <c r="G208" i="22"/>
  <c r="G209" i="22"/>
  <c r="G210" i="22"/>
  <c r="G211" i="22"/>
  <c r="G212" i="22"/>
  <c r="G213" i="22"/>
  <c r="G214" i="22"/>
  <c r="G215" i="22"/>
  <c r="G216" i="22"/>
  <c r="G217" i="22"/>
  <c r="G218" i="22"/>
  <c r="G219" i="22"/>
  <c r="G220" i="22"/>
  <c r="G221" i="22"/>
  <c r="G222" i="22"/>
  <c r="G223" i="22"/>
  <c r="G224" i="22"/>
  <c r="G225" i="22"/>
  <c r="G226" i="22"/>
  <c r="G227" i="22"/>
  <c r="G228" i="22"/>
  <c r="G229" i="22"/>
  <c r="G230" i="22"/>
  <c r="G231" i="22"/>
  <c r="G232" i="22"/>
  <c r="G233" i="22"/>
  <c r="G234" i="22"/>
  <c r="G235" i="22"/>
  <c r="G236" i="22"/>
  <c r="G237" i="22"/>
  <c r="G238" i="22"/>
  <c r="G239" i="22"/>
  <c r="G240" i="22"/>
  <c r="G241" i="22"/>
  <c r="G242" i="22"/>
  <c r="G243" i="22"/>
  <c r="G244" i="22"/>
  <c r="G245" i="22"/>
  <c r="G246" i="22"/>
  <c r="G247" i="22"/>
  <c r="G248" i="22"/>
  <c r="G249" i="22"/>
  <c r="G250" i="22"/>
  <c r="G251" i="22"/>
  <c r="G252" i="22"/>
  <c r="G253" i="22"/>
  <c r="G254" i="22"/>
  <c r="G255" i="22"/>
  <c r="G256" i="22"/>
  <c r="G257" i="22"/>
  <c r="G258" i="22"/>
  <c r="G259" i="22"/>
  <c r="G260" i="22"/>
  <c r="G261" i="22"/>
  <c r="G262" i="22"/>
  <c r="G263" i="22"/>
  <c r="G264" i="22"/>
  <c r="G265" i="22"/>
  <c r="G266" i="22"/>
  <c r="G267" i="22"/>
  <c r="G268" i="22"/>
  <c r="G269" i="22"/>
  <c r="G270" i="22"/>
  <c r="G271" i="22"/>
  <c r="G272" i="22"/>
  <c r="G273" i="22"/>
  <c r="G274" i="22"/>
  <c r="G275" i="22"/>
  <c r="G276" i="22"/>
  <c r="G277" i="22"/>
  <c r="G278" i="22"/>
  <c r="G279" i="22"/>
  <c r="G280" i="22"/>
  <c r="G281" i="22"/>
  <c r="G282" i="22"/>
  <c r="G283" i="22"/>
  <c r="G284" i="22"/>
  <c r="G285" i="22"/>
  <c r="G286" i="22"/>
  <c r="G287" i="22"/>
  <c r="G288" i="22"/>
  <c r="G289" i="22"/>
  <c r="G290" i="22"/>
  <c r="G291" i="22"/>
  <c r="G292" i="22"/>
  <c r="G293" i="22"/>
  <c r="G294" i="22"/>
  <c r="G295" i="22"/>
  <c r="G296" i="22"/>
  <c r="G297" i="22"/>
  <c r="G298" i="22"/>
  <c r="G299" i="22"/>
  <c r="G300" i="22"/>
  <c r="G301" i="22"/>
  <c r="G302" i="22"/>
  <c r="G2" i="22"/>
  <c r="J45" i="12"/>
  <c r="G57" i="12"/>
  <c r="C49" i="12"/>
  <c r="C63" i="12"/>
  <c r="C62" i="12"/>
  <c r="T49" i="12"/>
  <c r="C61" i="12"/>
  <c r="Q57" i="12" l="1"/>
  <c r="AE43" i="12"/>
  <c r="F67" i="12"/>
  <c r="D68" i="12"/>
  <c r="X54" i="12"/>
  <c r="BC13" i="12" l="1"/>
  <c r="BD13" i="12"/>
  <c r="BC14" i="12"/>
  <c r="BD14" i="12"/>
  <c r="BC15" i="12"/>
  <c r="BD15" i="12"/>
  <c r="BC16" i="12"/>
  <c r="BD16" i="12"/>
  <c r="BC17" i="12"/>
  <c r="BD17" i="12"/>
  <c r="BD12" i="12"/>
  <c r="BC12" i="12"/>
  <c r="BD11" i="12"/>
  <c r="BC11" i="12"/>
  <c r="BD10" i="12"/>
  <c r="BC10" i="12"/>
  <c r="BD9" i="12"/>
  <c r="BC9" i="12"/>
  <c r="BD8" i="12"/>
  <c r="BC8" i="12"/>
  <c r="BD7" i="12"/>
  <c r="BC7" i="12"/>
  <c r="BD6" i="12"/>
  <c r="BC6" i="12"/>
  <c r="BD5" i="12"/>
  <c r="BC5" i="12"/>
  <c r="BD4" i="12"/>
  <c r="BC4" i="12"/>
  <c r="AX36" i="12"/>
  <c r="AW36" i="12"/>
  <c r="AX35" i="12"/>
  <c r="AW35" i="12"/>
  <c r="AX34" i="12"/>
  <c r="AW34" i="12"/>
  <c r="AX33" i="12"/>
  <c r="AW33" i="12"/>
  <c r="AX32" i="12"/>
  <c r="AW32" i="12"/>
  <c r="AX31" i="12"/>
  <c r="AW31" i="12"/>
  <c r="AX30" i="12"/>
  <c r="AW30" i="12"/>
  <c r="AX29" i="12"/>
  <c r="AW29" i="12"/>
  <c r="AX28" i="12"/>
  <c r="AW28" i="12"/>
  <c r="AX27" i="12"/>
  <c r="AW27" i="12"/>
  <c r="AX26" i="12"/>
  <c r="AW26" i="12"/>
  <c r="AX25" i="12"/>
  <c r="AW25" i="12"/>
  <c r="AX24" i="12"/>
  <c r="AW24" i="12"/>
  <c r="AX23" i="12"/>
  <c r="AW23" i="12"/>
  <c r="AX22" i="12"/>
  <c r="AW22" i="12"/>
  <c r="AX21" i="12"/>
  <c r="AW21" i="12"/>
  <c r="AX20" i="12"/>
  <c r="AW20" i="12"/>
  <c r="AX19" i="12"/>
  <c r="AW19" i="12"/>
  <c r="Q5" i="12"/>
  <c r="T5" i="12"/>
  <c r="Z5" i="12" s="1"/>
  <c r="Q6" i="12"/>
  <c r="T6" i="12"/>
  <c r="Z6" i="12" s="1"/>
  <c r="Q7" i="12"/>
  <c r="T7" i="12"/>
  <c r="Z7" i="12" s="1"/>
  <c r="Q8" i="12"/>
  <c r="T8" i="12"/>
  <c r="Z8" i="12" s="1"/>
  <c r="Q9" i="12"/>
  <c r="T9" i="12"/>
  <c r="Z9" i="12" s="1"/>
  <c r="Q10" i="12"/>
  <c r="T10" i="12"/>
  <c r="Z10" i="12" s="1"/>
  <c r="Q11" i="12"/>
  <c r="T11" i="12"/>
  <c r="Z11" i="12" s="1"/>
  <c r="Q12" i="12"/>
  <c r="T12" i="12"/>
  <c r="Z12" i="12" s="1"/>
  <c r="Q13" i="12"/>
  <c r="T13" i="12"/>
  <c r="Z13" i="12" s="1"/>
  <c r="Q14" i="12"/>
  <c r="T14" i="12"/>
  <c r="Z14" i="12" s="1"/>
  <c r="Q15" i="12"/>
  <c r="T15" i="12"/>
  <c r="Z15" i="12" s="1"/>
  <c r="Q16" i="12"/>
  <c r="T16" i="12"/>
  <c r="Z16" i="12" s="1"/>
  <c r="Q17" i="12"/>
  <c r="T17" i="12"/>
  <c r="Z17" i="12" s="1"/>
  <c r="BH10" i="12"/>
  <c r="BG10" i="12"/>
  <c r="BF10" i="12"/>
  <c r="BA10" i="12"/>
  <c r="AZ10" i="12"/>
  <c r="AY10" i="12"/>
  <c r="AX10" i="12"/>
  <c r="AW10" i="12"/>
  <c r="AU10" i="12"/>
  <c r="AT10" i="12"/>
  <c r="AR10" i="12"/>
  <c r="AQ10" i="12"/>
  <c r="AP10" i="12"/>
  <c r="AO10" i="12"/>
  <c r="AN10" i="12"/>
  <c r="AM10" i="12"/>
  <c r="AH10" i="12"/>
  <c r="AE10" i="12"/>
  <c r="AD10" i="12"/>
  <c r="AC10" i="12"/>
  <c r="P10" i="12"/>
  <c r="N10" i="12"/>
  <c r="M10" i="12"/>
  <c r="L10" i="12"/>
  <c r="BH9" i="12"/>
  <c r="BG9" i="12"/>
  <c r="BF9" i="12"/>
  <c r="BA9" i="12"/>
  <c r="AZ9" i="12"/>
  <c r="AY9" i="12"/>
  <c r="AX9" i="12"/>
  <c r="AW9" i="12"/>
  <c r="AU9" i="12"/>
  <c r="AT9" i="12"/>
  <c r="AR9" i="12"/>
  <c r="AQ9" i="12"/>
  <c r="AP9" i="12"/>
  <c r="AO9" i="12"/>
  <c r="AN9" i="12"/>
  <c r="AM9" i="12"/>
  <c r="AH9" i="12"/>
  <c r="AE9" i="12"/>
  <c r="AD9" i="12"/>
  <c r="AC9" i="12"/>
  <c r="P9" i="12"/>
  <c r="N9" i="12"/>
  <c r="M9" i="12"/>
  <c r="L9" i="12"/>
  <c r="BH8" i="12"/>
  <c r="BG8" i="12"/>
  <c r="BF8" i="12"/>
  <c r="BA8" i="12"/>
  <c r="AZ8" i="12"/>
  <c r="AY8" i="12"/>
  <c r="AX8" i="12"/>
  <c r="AW8" i="12"/>
  <c r="AU8" i="12"/>
  <c r="AT8" i="12"/>
  <c r="AR8" i="12"/>
  <c r="AQ8" i="12"/>
  <c r="AP8" i="12"/>
  <c r="AO8" i="12"/>
  <c r="AN8" i="12"/>
  <c r="AM8" i="12"/>
  <c r="AH8" i="12"/>
  <c r="AE8" i="12"/>
  <c r="AD8" i="12"/>
  <c r="AC8" i="12"/>
  <c r="P8" i="12"/>
  <c r="N8" i="12"/>
  <c r="M8" i="12"/>
  <c r="L8" i="12"/>
  <c r="BG7" i="12"/>
  <c r="BF7" i="12"/>
  <c r="BA7" i="12"/>
  <c r="AZ7" i="12"/>
  <c r="AX7" i="12"/>
  <c r="AW7" i="12"/>
  <c r="AU7" i="12"/>
  <c r="AT7" i="12"/>
  <c r="AR7" i="12"/>
  <c r="AQ7" i="12"/>
  <c r="AP7" i="12"/>
  <c r="AO7" i="12"/>
  <c r="AN7" i="12"/>
  <c r="AM7" i="12"/>
  <c r="AH7" i="12"/>
  <c r="AE7" i="12"/>
  <c r="AD7" i="12"/>
  <c r="AC7" i="12"/>
  <c r="P7" i="12"/>
  <c r="N7" i="12"/>
  <c r="M7" i="12"/>
  <c r="L7" i="12"/>
  <c r="BG6" i="12"/>
  <c r="BF6" i="12"/>
  <c r="BA6" i="12"/>
  <c r="AZ6" i="12"/>
  <c r="AX6" i="12"/>
  <c r="AW6" i="12"/>
  <c r="AU6" i="12"/>
  <c r="AT6" i="12"/>
  <c r="AR6" i="12"/>
  <c r="AQ6" i="12"/>
  <c r="AP6" i="12"/>
  <c r="AO6" i="12"/>
  <c r="AN6" i="12"/>
  <c r="AM6" i="12"/>
  <c r="AH6" i="12"/>
  <c r="AE6" i="12"/>
  <c r="AD6" i="12"/>
  <c r="AC6" i="12"/>
  <c r="P6" i="12"/>
  <c r="N6" i="12"/>
  <c r="M6" i="12"/>
  <c r="L6" i="12"/>
  <c r="BG5" i="12"/>
  <c r="BF5" i="12"/>
  <c r="BA5" i="12"/>
  <c r="AZ5" i="12"/>
  <c r="AX5" i="12"/>
  <c r="AW5" i="12"/>
  <c r="AU5" i="12"/>
  <c r="AT5" i="12"/>
  <c r="AR5" i="12"/>
  <c r="AQ5" i="12"/>
  <c r="AP5" i="12"/>
  <c r="AO5" i="12"/>
  <c r="AN5" i="12"/>
  <c r="AM5" i="12"/>
  <c r="AH5" i="12"/>
  <c r="AE5" i="12"/>
  <c r="AD5" i="12"/>
  <c r="AC5" i="12"/>
  <c r="P5" i="12"/>
  <c r="N5" i="12"/>
  <c r="M5" i="12"/>
  <c r="L5" i="12"/>
  <c r="R6" i="12" l="1"/>
  <c r="S6" i="12" s="1"/>
  <c r="R10" i="12"/>
  <c r="R5" i="12"/>
  <c r="S5" i="12" s="1"/>
  <c r="BD38" i="12"/>
  <c r="X41" i="12" s="1"/>
  <c r="BC38" i="12"/>
  <c r="X40" i="12" s="1"/>
  <c r="O7" i="12"/>
  <c r="R8" i="12"/>
  <c r="O9" i="12"/>
  <c r="AI8" i="12"/>
  <c r="K8" i="12" s="1"/>
  <c r="BE8" i="12" s="1"/>
  <c r="U13" i="12"/>
  <c r="V12" i="12"/>
  <c r="V16" i="12"/>
  <c r="U9" i="12"/>
  <c r="V8" i="12"/>
  <c r="U10" i="12"/>
  <c r="AA16" i="12"/>
  <c r="BB16" i="12" s="1"/>
  <c r="U6" i="12"/>
  <c r="AA15" i="12"/>
  <c r="BB15" i="12" s="1"/>
  <c r="U5" i="12"/>
  <c r="AA11" i="12"/>
  <c r="BB11" i="12" s="1"/>
  <c r="U16" i="12"/>
  <c r="U12" i="12"/>
  <c r="U8" i="12"/>
  <c r="U17" i="12"/>
  <c r="AA8" i="12"/>
  <c r="BB8" i="12" s="1"/>
  <c r="V15" i="12"/>
  <c r="V11" i="12"/>
  <c r="V7" i="12"/>
  <c r="AA7" i="12"/>
  <c r="BB7" i="12" s="1"/>
  <c r="U15" i="12"/>
  <c r="U11" i="12"/>
  <c r="U7" i="12"/>
  <c r="V14" i="12"/>
  <c r="V10" i="12"/>
  <c r="V6" i="12"/>
  <c r="U14" i="12"/>
  <c r="V17" i="12"/>
  <c r="V13" i="12"/>
  <c r="V9" i="12"/>
  <c r="V5" i="12"/>
  <c r="AA12" i="12"/>
  <c r="BB12" i="12" s="1"/>
  <c r="R7" i="12"/>
  <c r="S7" i="12" s="1"/>
  <c r="R9" i="12"/>
  <c r="AA14" i="12"/>
  <c r="BB14" i="12" s="1"/>
  <c r="AA10" i="12"/>
  <c r="BB10" i="12" s="1"/>
  <c r="AA6" i="12"/>
  <c r="BB6" i="12" s="1"/>
  <c r="AA17" i="12"/>
  <c r="BB17" i="12" s="1"/>
  <c r="AA13" i="12"/>
  <c r="BB13" i="12" s="1"/>
  <c r="AA9" i="12"/>
  <c r="BB9" i="12" s="1"/>
  <c r="AA5" i="12"/>
  <c r="BB5" i="12" s="1"/>
  <c r="AI5" i="12"/>
  <c r="O8" i="12"/>
  <c r="AI10" i="12"/>
  <c r="K10" i="12" s="1"/>
  <c r="BE10" i="12" s="1"/>
  <c r="AI9" i="12"/>
  <c r="K9" i="12" s="1"/>
  <c r="BE9" i="12" s="1"/>
  <c r="AI6" i="12"/>
  <c r="O10" i="12"/>
  <c r="O6" i="12"/>
  <c r="O5" i="12"/>
  <c r="AI7" i="12"/>
  <c r="AS6" i="12" l="1"/>
  <c r="S8" i="12"/>
  <c r="AS8" i="12"/>
  <c r="AS7" i="12"/>
  <c r="S9" i="12"/>
  <c r="AS9" i="12"/>
  <c r="S10" i="12"/>
  <c r="AS10" i="12"/>
  <c r="W9" i="12"/>
  <c r="W10" i="12"/>
  <c r="W13" i="12"/>
  <c r="W8" i="12"/>
  <c r="W5" i="12"/>
  <c r="W12" i="12"/>
  <c r="W16" i="12"/>
  <c r="W6" i="12"/>
  <c r="W17" i="12"/>
  <c r="W14" i="12"/>
  <c r="W7" i="12"/>
  <c r="W11" i="12"/>
  <c r="W15" i="12"/>
  <c r="AS5" i="12"/>
  <c r="K7" i="12"/>
  <c r="BE7" i="12" s="1"/>
  <c r="K5" i="12"/>
  <c r="BE5" i="12" s="1"/>
  <c r="K6" i="12" l="1"/>
  <c r="BE6" i="12" s="1"/>
  <c r="A124" i="9" l="1"/>
  <c r="A125" i="9" s="1"/>
  <c r="A126" i="9" s="1"/>
  <c r="A127" i="9" s="1"/>
  <c r="A128" i="9" s="1"/>
  <c r="A129" i="9" l="1"/>
  <c r="A130" i="9"/>
  <c r="A131" i="9" s="1"/>
  <c r="A132" i="9" s="1"/>
  <c r="A133" i="9" s="1"/>
  <c r="A134" i="9" s="1"/>
  <c r="N11" i="12"/>
  <c r="N12" i="12"/>
  <c r="N13" i="12"/>
  <c r="N14" i="12"/>
  <c r="N15" i="12"/>
  <c r="N16" i="12"/>
  <c r="N17" i="12"/>
  <c r="N4" i="12"/>
  <c r="M11" i="12"/>
  <c r="M12" i="12"/>
  <c r="M13" i="12"/>
  <c r="M14" i="12"/>
  <c r="M15" i="12"/>
  <c r="M16" i="12"/>
  <c r="M17" i="12"/>
  <c r="M4" i="12"/>
  <c r="BH17" i="12"/>
  <c r="AC4" i="12"/>
  <c r="AC11" i="12"/>
  <c r="AC12" i="12"/>
  <c r="AC13" i="12"/>
  <c r="AC14" i="12"/>
  <c r="AC15" i="12"/>
  <c r="AC16" i="12"/>
  <c r="AC17" i="12"/>
  <c r="BA11" i="12"/>
  <c r="BA12" i="12"/>
  <c r="BA13" i="12"/>
  <c r="BA14" i="12"/>
  <c r="BA15" i="12"/>
  <c r="BA16" i="12"/>
  <c r="BA17" i="12"/>
  <c r="BA4" i="12"/>
  <c r="AY17" i="12"/>
  <c r="AZ11" i="12"/>
  <c r="AZ12" i="12"/>
  <c r="AZ13" i="12"/>
  <c r="AZ14" i="12"/>
  <c r="AZ15" i="12"/>
  <c r="AZ16" i="12"/>
  <c r="AZ17" i="12"/>
  <c r="AD17" i="12"/>
  <c r="AD16" i="12"/>
  <c r="AD15" i="12"/>
  <c r="AD14" i="12"/>
  <c r="AD13" i="12"/>
  <c r="AD12" i="12"/>
  <c r="AD11" i="12"/>
  <c r="AD4" i="12"/>
  <c r="AD20" i="12"/>
  <c r="AD21" i="12"/>
  <c r="AD22" i="12"/>
  <c r="AD23" i="12"/>
  <c r="AD24" i="12"/>
  <c r="AD25" i="12"/>
  <c r="AD26" i="12"/>
  <c r="AD27" i="12"/>
  <c r="AD28" i="12"/>
  <c r="AD29" i="12"/>
  <c r="AD30" i="12"/>
  <c r="AD31" i="12"/>
  <c r="AD32" i="12"/>
  <c r="AD33" i="12"/>
  <c r="AD34" i="12"/>
  <c r="AD35" i="12"/>
  <c r="AD36" i="12"/>
  <c r="AD19" i="12"/>
  <c r="AA26" i="12"/>
  <c r="AA21" i="12"/>
  <c r="AA20" i="12"/>
  <c r="AA28" i="12"/>
  <c r="AA27" i="12"/>
  <c r="AA19" i="12"/>
  <c r="Q54" i="12"/>
  <c r="Q53" i="12"/>
  <c r="BA35" i="12" l="1"/>
  <c r="AZ35" i="12"/>
  <c r="AE35" i="12"/>
  <c r="AA35" i="12"/>
  <c r="BA25" i="12"/>
  <c r="AZ25" i="12"/>
  <c r="AE25" i="12"/>
  <c r="AA25" i="12"/>
  <c r="BA23" i="12"/>
  <c r="AZ23" i="12"/>
  <c r="AE23" i="12"/>
  <c r="AA23" i="12"/>
  <c r="AI35" i="12" l="1"/>
  <c r="AI25" i="12"/>
  <c r="AI23" i="12"/>
  <c r="AA53" i="12" l="1"/>
  <c r="AA54" i="12" s="1"/>
  <c r="AH57" i="12" s="1"/>
  <c r="AK57" i="12" s="1"/>
  <c r="Q55" i="12"/>
  <c r="A49" i="12"/>
  <c r="BH54" i="12"/>
  <c r="Y64" i="12"/>
  <c r="Y68" i="12"/>
  <c r="AA36" i="12"/>
  <c r="AA34" i="12"/>
  <c r="AA33" i="12"/>
  <c r="AA32" i="12"/>
  <c r="AA31" i="12"/>
  <c r="AA30" i="12"/>
  <c r="AA29" i="12"/>
  <c r="AA24" i="12"/>
  <c r="AA22" i="12"/>
  <c r="AE20" i="12"/>
  <c r="AE21" i="12"/>
  <c r="AE22" i="12"/>
  <c r="AE24" i="12"/>
  <c r="AE26" i="12"/>
  <c r="AE27" i="12"/>
  <c r="AE28" i="12"/>
  <c r="AE29" i="12"/>
  <c r="AE30" i="12"/>
  <c r="AE31" i="12"/>
  <c r="AE32" i="12"/>
  <c r="AE33" i="12"/>
  <c r="AE34" i="12"/>
  <c r="AE36" i="12"/>
  <c r="AE19" i="12"/>
  <c r="BA36" i="12"/>
  <c r="AZ36" i="12"/>
  <c r="BA34" i="12"/>
  <c r="AZ34" i="12"/>
  <c r="BA33" i="12"/>
  <c r="AZ33" i="12"/>
  <c r="BA32" i="12"/>
  <c r="AZ32" i="12"/>
  <c r="BA31" i="12"/>
  <c r="AZ31" i="12"/>
  <c r="BA30" i="12"/>
  <c r="AZ30" i="12"/>
  <c r="BA29" i="12"/>
  <c r="AZ29" i="12"/>
  <c r="BA28" i="12"/>
  <c r="AZ28" i="12"/>
  <c r="BA27" i="12"/>
  <c r="AZ27" i="12"/>
  <c r="BA26" i="12"/>
  <c r="AZ26" i="12"/>
  <c r="BA24" i="12"/>
  <c r="AZ24" i="12"/>
  <c r="BA22" i="12"/>
  <c r="AZ22" i="12"/>
  <c r="BA21" i="12"/>
  <c r="AZ21" i="12"/>
  <c r="BA20" i="12"/>
  <c r="AZ20" i="12"/>
  <c r="AZ19" i="12"/>
  <c r="BG13" i="12"/>
  <c r="AX13" i="12"/>
  <c r="AU13" i="12"/>
  <c r="AT13" i="12"/>
  <c r="AR13" i="12"/>
  <c r="AQ13" i="12"/>
  <c r="AP13" i="12"/>
  <c r="AO13" i="12"/>
  <c r="AN13" i="12"/>
  <c r="AM13" i="12"/>
  <c r="AH13" i="12"/>
  <c r="R13" i="12" s="1"/>
  <c r="S13" i="12" s="1"/>
  <c r="AE13" i="12"/>
  <c r="P13" i="12"/>
  <c r="L13" i="12"/>
  <c r="BG12" i="12"/>
  <c r="AX12" i="12"/>
  <c r="AU12" i="12"/>
  <c r="AT12" i="12"/>
  <c r="AR12" i="12"/>
  <c r="AQ12" i="12"/>
  <c r="AP12" i="12"/>
  <c r="AO12" i="12"/>
  <c r="AN12" i="12"/>
  <c r="AM12" i="12"/>
  <c r="AH12" i="12"/>
  <c r="R12" i="12" s="1"/>
  <c r="S12" i="12" s="1"/>
  <c r="AE12" i="12"/>
  <c r="P12" i="12"/>
  <c r="L12" i="12"/>
  <c r="BG11" i="12"/>
  <c r="AX11" i="12"/>
  <c r="AU11" i="12"/>
  <c r="AT11" i="12"/>
  <c r="AR11" i="12"/>
  <c r="AQ11" i="12"/>
  <c r="AP11" i="12"/>
  <c r="AO11" i="12"/>
  <c r="AN11" i="12"/>
  <c r="AM11" i="12"/>
  <c r="AH11" i="12"/>
  <c r="R11" i="12" s="1"/>
  <c r="S11" i="12" s="1"/>
  <c r="AE11" i="12"/>
  <c r="P11" i="12"/>
  <c r="L11" i="12"/>
  <c r="BG15" i="12"/>
  <c r="AX15" i="12"/>
  <c r="AU15" i="12"/>
  <c r="AT15" i="12"/>
  <c r="AR15" i="12"/>
  <c r="AQ15" i="12"/>
  <c r="AP15" i="12"/>
  <c r="AO15" i="12"/>
  <c r="AN15" i="12"/>
  <c r="AM15" i="12"/>
  <c r="AH15" i="12"/>
  <c r="R15" i="12" s="1"/>
  <c r="S15" i="12" s="1"/>
  <c r="AE15" i="12"/>
  <c r="P15" i="12"/>
  <c r="L15" i="12"/>
  <c r="BG14" i="12"/>
  <c r="AX14" i="12"/>
  <c r="AU14" i="12"/>
  <c r="AT14" i="12"/>
  <c r="AR14" i="12"/>
  <c r="AQ14" i="12"/>
  <c r="AP14" i="12"/>
  <c r="AO14" i="12"/>
  <c r="AN14" i="12"/>
  <c r="AM14" i="12"/>
  <c r="AH14" i="12"/>
  <c r="R14" i="12" s="1"/>
  <c r="S14" i="12" s="1"/>
  <c r="AE14" i="12"/>
  <c r="P14" i="12"/>
  <c r="L14" i="12"/>
  <c r="A37" i="12"/>
  <c r="BG17" i="12"/>
  <c r="AX17" i="12"/>
  <c r="AU17" i="12"/>
  <c r="AT17" i="12"/>
  <c r="AR17" i="12"/>
  <c r="AQ17" i="12"/>
  <c r="AP17" i="12"/>
  <c r="AO17" i="12"/>
  <c r="AN17" i="12"/>
  <c r="AM17" i="12"/>
  <c r="AH17" i="12"/>
  <c r="R17" i="12" s="1"/>
  <c r="S17" i="12" s="1"/>
  <c r="AE17" i="12"/>
  <c r="P17" i="12"/>
  <c r="L17" i="12"/>
  <c r="BG16" i="12"/>
  <c r="AX16" i="12"/>
  <c r="AU16" i="12"/>
  <c r="AT16" i="12"/>
  <c r="AR16" i="12"/>
  <c r="AQ16" i="12"/>
  <c r="AP16" i="12"/>
  <c r="AO16" i="12"/>
  <c r="AN16" i="12"/>
  <c r="AM16" i="12"/>
  <c r="AH16" i="12"/>
  <c r="R16" i="12" s="1"/>
  <c r="S16" i="12" s="1"/>
  <c r="AE16" i="12"/>
  <c r="P16" i="12"/>
  <c r="L16" i="12"/>
  <c r="BG4" i="12"/>
  <c r="AX4" i="12"/>
  <c r="AU4" i="12"/>
  <c r="AT4" i="12"/>
  <c r="AR4" i="12"/>
  <c r="AQ4" i="12"/>
  <c r="AP4" i="12"/>
  <c r="AO4" i="12"/>
  <c r="AN4" i="12"/>
  <c r="AM4" i="12"/>
  <c r="AH4" i="12"/>
  <c r="R4" i="12" s="1"/>
  <c r="AE4" i="12"/>
  <c r="P4" i="12"/>
  <c r="L4" i="12"/>
  <c r="AJ38" i="12"/>
  <c r="AJ9" i="12" s="1"/>
  <c r="G43" i="12"/>
  <c r="Q52" i="12" s="1"/>
  <c r="AZ45" i="12"/>
  <c r="BA45" i="12"/>
  <c r="BA19" i="12"/>
  <c r="AS17" i="12" l="1"/>
  <c r="AJ8" i="12"/>
  <c r="AK8" i="12" s="1"/>
  <c r="AL8" i="12" s="1"/>
  <c r="AV8" i="12" s="1"/>
  <c r="AJ7" i="12"/>
  <c r="AK7" i="12" s="1"/>
  <c r="AJ5" i="12"/>
  <c r="AK5" i="12" s="1"/>
  <c r="AK9" i="12"/>
  <c r="AL9" i="12" s="1"/>
  <c r="AV9" i="12" s="1"/>
  <c r="AJ10" i="12"/>
  <c r="AK10" i="12" s="1"/>
  <c r="AL10" i="12" s="1"/>
  <c r="AV10" i="12" s="1"/>
  <c r="AJ6" i="12"/>
  <c r="AK6" i="12" s="1"/>
  <c r="AJ35" i="12"/>
  <c r="AK35" i="12" s="1"/>
  <c r="BH35" i="12" s="1"/>
  <c r="Q4" i="12"/>
  <c r="T4" i="12"/>
  <c r="AI12" i="12"/>
  <c r="AJ17" i="12"/>
  <c r="AJ25" i="12"/>
  <c r="AK25" i="12" s="1"/>
  <c r="BH25" i="12" s="1"/>
  <c r="AJ23" i="12"/>
  <c r="AK23" i="12" s="1"/>
  <c r="BH23" i="12" s="1"/>
  <c r="AI16" i="12"/>
  <c r="AI14" i="12"/>
  <c r="O11" i="12"/>
  <c r="O4" i="12"/>
  <c r="O15" i="12"/>
  <c r="O14" i="12"/>
  <c r="AI11" i="12"/>
  <c r="AJ20" i="12"/>
  <c r="J43" i="12"/>
  <c r="AI15" i="12"/>
  <c r="AJ12" i="12"/>
  <c r="AQ38" i="12"/>
  <c r="O13" i="12"/>
  <c r="AJ13" i="12"/>
  <c r="O17" i="12"/>
  <c r="AI13" i="12"/>
  <c r="AR38" i="12"/>
  <c r="AX47" i="12" s="1"/>
  <c r="AP38" i="12"/>
  <c r="J39" i="12" s="1"/>
  <c r="AI17" i="12"/>
  <c r="AI4" i="12"/>
  <c r="AO38" i="12"/>
  <c r="BA47" i="12" s="1"/>
  <c r="AI24" i="12"/>
  <c r="AM38" i="12"/>
  <c r="AI27" i="12"/>
  <c r="AN38" i="12"/>
  <c r="G40" i="12" s="1"/>
  <c r="AI21" i="12"/>
  <c r="AJ27" i="12"/>
  <c r="AJ34" i="12"/>
  <c r="AJ15" i="12"/>
  <c r="AJ21" i="12"/>
  <c r="AJ4" i="12"/>
  <c r="AJ31" i="12"/>
  <c r="AJ19" i="12"/>
  <c r="AJ11" i="12"/>
  <c r="AJ28" i="12"/>
  <c r="BG38" i="12"/>
  <c r="Y41" i="12" s="1"/>
  <c r="AU38" i="12"/>
  <c r="R41" i="12" s="1"/>
  <c r="Q41" i="12" s="1"/>
  <c r="AJ24" i="12"/>
  <c r="AJ16" i="12"/>
  <c r="AJ26" i="12"/>
  <c r="AJ33" i="12"/>
  <c r="AJ30" i="12"/>
  <c r="AJ36" i="12"/>
  <c r="AT38" i="12"/>
  <c r="R40" i="12" s="1"/>
  <c r="AI20" i="12"/>
  <c r="AI28" i="12"/>
  <c r="AI32" i="12"/>
  <c r="O16" i="12"/>
  <c r="O12" i="12"/>
  <c r="AJ14" i="12"/>
  <c r="AJ29" i="12"/>
  <c r="AJ32" i="12"/>
  <c r="AJ22" i="12"/>
  <c r="AI19" i="12"/>
  <c r="AI22" i="12"/>
  <c r="AI31" i="12"/>
  <c r="AI34" i="12"/>
  <c r="AI30" i="12"/>
  <c r="AI36" i="12"/>
  <c r="AI26" i="12"/>
  <c r="AI29" i="12"/>
  <c r="AI33" i="12"/>
  <c r="AV35" i="12" l="1"/>
  <c r="AY35" i="12"/>
  <c r="AV23" i="12"/>
  <c r="AY23" i="12"/>
  <c r="AV25" i="12"/>
  <c r="AY25" i="12"/>
  <c r="V4" i="12"/>
  <c r="U4" i="12"/>
  <c r="AA43" i="12"/>
  <c r="AY38" i="12" s="1"/>
  <c r="AA39" i="12" s="1"/>
  <c r="AL5" i="12"/>
  <c r="BH5" i="12"/>
  <c r="AL7" i="12"/>
  <c r="BH7" i="12"/>
  <c r="AL6" i="12"/>
  <c r="BH6" i="12"/>
  <c r="AS16" i="12"/>
  <c r="AS14" i="12"/>
  <c r="AS11" i="12"/>
  <c r="AS15" i="12"/>
  <c r="AS13" i="12"/>
  <c r="AS12" i="12"/>
  <c r="AS4" i="12"/>
  <c r="AK27" i="12"/>
  <c r="BH27" i="12" s="1"/>
  <c r="G39" i="12"/>
  <c r="AK36" i="12"/>
  <c r="BH36" i="12" s="1"/>
  <c r="AK24" i="12"/>
  <c r="BH24" i="12" s="1"/>
  <c r="AK31" i="12"/>
  <c r="BH31" i="12" s="1"/>
  <c r="AK19" i="12"/>
  <c r="BH19" i="12" s="1"/>
  <c r="J41" i="12"/>
  <c r="BA38" i="12" s="1"/>
  <c r="AK20" i="12"/>
  <c r="BH20" i="12" s="1"/>
  <c r="AK34" i="12"/>
  <c r="BH34" i="12" s="1"/>
  <c r="AK22" i="12"/>
  <c r="BH22" i="12" s="1"/>
  <c r="AK33" i="12"/>
  <c r="BH33" i="12" s="1"/>
  <c r="AK21" i="12"/>
  <c r="BH21" i="12" s="1"/>
  <c r="AZ47" i="12"/>
  <c r="J40" i="12"/>
  <c r="AZ38" i="12" s="1"/>
  <c r="G41" i="12"/>
  <c r="AK30" i="12"/>
  <c r="BH30" i="12" s="1"/>
  <c r="AK28" i="12"/>
  <c r="BH28" i="12" s="1"/>
  <c r="S4" i="12"/>
  <c r="AK29" i="12"/>
  <c r="BH29" i="12" s="1"/>
  <c r="AK26" i="12"/>
  <c r="BH26" i="12" s="1"/>
  <c r="AK32" i="12"/>
  <c r="BH32" i="12" s="1"/>
  <c r="AA57" i="12"/>
  <c r="AJ47" i="12"/>
  <c r="AV21" i="12" l="1"/>
  <c r="AY21" i="12"/>
  <c r="AV28" i="12"/>
  <c r="AY28" i="12"/>
  <c r="AV34" i="12"/>
  <c r="AY34" i="12"/>
  <c r="AV27" i="12"/>
  <c r="AY27" i="12"/>
  <c r="AV30" i="12"/>
  <c r="AY30" i="12"/>
  <c r="AV20" i="12"/>
  <c r="AY20" i="12"/>
  <c r="AV26" i="12"/>
  <c r="AY26" i="12"/>
  <c r="AV22" i="12"/>
  <c r="AY22" i="12"/>
  <c r="AV32" i="12"/>
  <c r="AY32" i="12"/>
  <c r="AV31" i="12"/>
  <c r="AY31" i="12"/>
  <c r="AV24" i="12"/>
  <c r="AY24" i="12"/>
  <c r="AV29" i="12"/>
  <c r="AY29" i="12"/>
  <c r="AV33" i="12"/>
  <c r="AY33" i="12"/>
  <c r="AV36" i="12"/>
  <c r="AY36" i="12"/>
  <c r="AV19" i="12"/>
  <c r="AY19" i="12"/>
  <c r="AX38" i="12"/>
  <c r="AX43" i="12" s="1"/>
  <c r="BA43" i="12"/>
  <c r="BA46" i="12" s="1"/>
  <c r="W4" i="12"/>
  <c r="AY6" i="12"/>
  <c r="AY7" i="12"/>
  <c r="AY5" i="12"/>
  <c r="AV5" i="12"/>
  <c r="AV7" i="12"/>
  <c r="AV6" i="12"/>
  <c r="AV38" i="12"/>
  <c r="K12" i="12"/>
  <c r="BE12" i="12" s="1"/>
  <c r="K16" i="12"/>
  <c r="BE16" i="12" s="1"/>
  <c r="AS38" i="12"/>
  <c r="R39" i="12" s="1"/>
  <c r="R43" i="12" s="1"/>
  <c r="Q43" i="12" s="1"/>
  <c r="BF16" i="12"/>
  <c r="BF12" i="12"/>
  <c r="Q40" i="12"/>
  <c r="K4" i="12"/>
  <c r="Z4" i="12"/>
  <c r="K17" i="12"/>
  <c r="AA41" i="12"/>
  <c r="K11" i="12"/>
  <c r="AW38" i="12"/>
  <c r="AA40" i="12"/>
  <c r="K13" i="12"/>
  <c r="K15" i="12"/>
  <c r="K14" i="12"/>
  <c r="AA4" i="12" l="1"/>
  <c r="BB4" i="12" s="1"/>
  <c r="BB38" i="12" s="1"/>
  <c r="X39" i="12" s="1"/>
  <c r="X43" i="12" s="1"/>
  <c r="AK14" i="12"/>
  <c r="BH14" i="12" s="1"/>
  <c r="AK13" i="12"/>
  <c r="AK17" i="12"/>
  <c r="AL17" i="12" s="1"/>
  <c r="AK11" i="12"/>
  <c r="BH11" i="12" s="1"/>
  <c r="AK16" i="12"/>
  <c r="AK15" i="12"/>
  <c r="BH15" i="12" s="1"/>
  <c r="AK12" i="12"/>
  <c r="BE14" i="12"/>
  <c r="BF14" i="12"/>
  <c r="BE11" i="12"/>
  <c r="BF11" i="12"/>
  <c r="BE13" i="12"/>
  <c r="BF13" i="12"/>
  <c r="BE15" i="12"/>
  <c r="BF15" i="12"/>
  <c r="BE17" i="12"/>
  <c r="BF17" i="12"/>
  <c r="BE4" i="12"/>
  <c r="BF4" i="12"/>
  <c r="AW16" i="12"/>
  <c r="AW12" i="12"/>
  <c r="Q39" i="12"/>
  <c r="BH41" i="12"/>
  <c r="Q56" i="12"/>
  <c r="Q58" i="12" s="1"/>
  <c r="AK4" i="12" l="1"/>
  <c r="AL4" i="12" s="1"/>
  <c r="AY14" i="12"/>
  <c r="AY15" i="12"/>
  <c r="AY11" i="12"/>
  <c r="AJ41" i="12"/>
  <c r="BH16" i="12"/>
  <c r="AL16" i="12"/>
  <c r="AV16" i="12" s="1"/>
  <c r="AL14" i="12"/>
  <c r="AV14" i="12" s="1"/>
  <c r="BH13" i="12"/>
  <c r="AL13" i="12"/>
  <c r="AV13" i="12" s="1"/>
  <c r="BH12" i="12"/>
  <c r="AL12" i="12"/>
  <c r="AV12" i="12" s="1"/>
  <c r="AL11" i="12"/>
  <c r="AV11" i="12" s="1"/>
  <c r="AL15" i="12"/>
  <c r="AV15" i="12" s="1"/>
  <c r="BH4" i="12"/>
  <c r="BE38" i="12"/>
  <c r="Y39" i="12" s="1"/>
  <c r="BF38" i="12"/>
  <c r="Y40" i="12" s="1"/>
  <c r="AW15" i="12"/>
  <c r="AV17" i="12"/>
  <c r="AW17" i="12"/>
  <c r="AW13" i="12"/>
  <c r="AW14" i="12"/>
  <c r="AW11" i="12"/>
  <c r="AW4" i="12"/>
  <c r="Q59" i="12"/>
  <c r="AW43" i="12" l="1"/>
  <c r="AY12" i="12"/>
  <c r="AY13" i="12"/>
  <c r="AY16" i="12"/>
  <c r="AV4" i="12"/>
  <c r="AZ4" i="12"/>
  <c r="AY4" i="12"/>
  <c r="AY43" i="12" s="1"/>
  <c r="Y43" i="12"/>
  <c r="AW47" i="12"/>
  <c r="AZ43" i="12" l="1"/>
  <c r="AZ46" i="12" s="1"/>
  <c r="AV43" i="12"/>
  <c r="AV47" i="12" s="1"/>
  <c r="BH39" i="12"/>
  <c r="BH40" i="12" l="1"/>
  <c r="BH43" i="12" s="1"/>
  <c r="BH53" i="12"/>
  <c r="BH52" i="12" s="1"/>
  <c r="BH55" i="12" s="1"/>
  <c r="AY45" i="12"/>
  <c r="AY47" i="12" s="1"/>
  <c r="AJ45" i="12"/>
  <c r="AH53" i="12"/>
  <c r="AJ39" i="12"/>
  <c r="Q61" i="12" l="1"/>
  <c r="Q62" i="12" s="1"/>
  <c r="Q66" i="12" s="1"/>
  <c r="AJ40" i="12"/>
  <c r="AJ48" i="12" s="1"/>
  <c r="AY46" i="12"/>
  <c r="AH54" i="12"/>
  <c r="AH52" i="12" s="1"/>
  <c r="AK52" i="12" s="1"/>
  <c r="AJ43" i="12"/>
  <c r="AJ46" i="12"/>
  <c r="Q68" i="12" l="1"/>
  <c r="AH55" i="12"/>
  <c r="AH56" i="12" l="1"/>
  <c r="BH56" i="12" s="1"/>
  <c r="BH58" i="12" s="1"/>
  <c r="AK56"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wb0771</author>
    <author>telewerk4</author>
    <author>Bosmans, Wouter</author>
    <author>Aelbrecht, Myriam</author>
  </authors>
  <commentList>
    <comment ref="A2" authorId="0" shapeId="0" xr:uid="{00000000-0006-0000-0000-000001000000}">
      <text>
        <r>
          <rPr>
            <b/>
            <sz val="9"/>
            <color indexed="81"/>
            <rFont val="Tahoma"/>
            <family val="2"/>
          </rPr>
          <t>NB = Nieuwbouw
VB = Vervangingsbouw
REN = Renovatie</t>
        </r>
      </text>
    </comment>
    <comment ref="B2" authorId="1" shapeId="0" xr:uid="{00000000-0006-0000-0000-000002000000}">
      <text>
        <r>
          <rPr>
            <b/>
            <sz val="9"/>
            <color indexed="81"/>
            <rFont val="Tahoma"/>
            <family val="2"/>
          </rPr>
          <t>Bestemming
H = Huur (-woningen)
K = Koop (-woningen)
A = Andere</t>
        </r>
        <r>
          <rPr>
            <sz val="9"/>
            <color indexed="81"/>
            <rFont val="Tahoma"/>
            <family val="2"/>
          </rPr>
          <t xml:space="preserve">
</t>
        </r>
      </text>
    </comment>
    <comment ref="D2" authorId="0" shapeId="0" xr:uid="{00000000-0006-0000-0000-000003000000}">
      <text>
        <r>
          <rPr>
            <sz val="9"/>
            <color indexed="81"/>
            <rFont val="Tahoma"/>
            <family val="2"/>
          </rPr>
          <t>A = appartement, duplexwoning
E = eengezinshuis, bunglaow (grondgebonden)
K = Kamerwoning</t>
        </r>
      </text>
    </comment>
    <comment ref="H2" authorId="0" shapeId="0" xr:uid="{00000000-0006-0000-0000-000004000000}">
      <text>
        <r>
          <rPr>
            <sz val="9"/>
            <color indexed="81"/>
            <rFont val="Tahoma"/>
            <family val="2"/>
          </rPr>
          <t>Oppervlaktesurplus voor verticale circulatie
1 woonlaag = 0 m²
2 woonlagen = 6 m²
3 of meer lagen = 10 m²</t>
        </r>
      </text>
    </comment>
    <comment ref="I2" authorId="0" shapeId="0" xr:uid="{00000000-0006-0000-0000-000005000000}">
      <text>
        <r>
          <rPr>
            <b/>
            <sz val="9"/>
            <color indexed="81"/>
            <rFont val="Tahoma"/>
            <family val="2"/>
          </rPr>
          <t>Effectief voorziene oppervlakte berging binnen het beschermd volume</t>
        </r>
        <r>
          <rPr>
            <sz val="9"/>
            <color indexed="81"/>
            <rFont val="Tahoma"/>
            <family val="2"/>
          </rPr>
          <t xml:space="preserve">
</t>
        </r>
      </text>
    </comment>
    <comment ref="J2" authorId="0" shapeId="0" xr:uid="{00000000-0006-0000-0000-000006000000}">
      <text>
        <r>
          <rPr>
            <b/>
            <sz val="9"/>
            <color indexed="81"/>
            <rFont val="Tahoma"/>
            <family val="2"/>
          </rPr>
          <t>Woningoppervlakte gemeten excl. opp. buitenmuren maar incl opp. binnenmuren</t>
        </r>
      </text>
    </comment>
    <comment ref="Y2" authorId="0" shapeId="0" xr:uid="{00000000-0006-0000-0000-000007000000}">
      <text>
        <r>
          <rPr>
            <b/>
            <sz val="9"/>
            <color indexed="81"/>
            <rFont val="Tahoma"/>
            <family val="2"/>
          </rPr>
          <t>Zie tabblad prijsnormen</t>
        </r>
        <r>
          <rPr>
            <sz val="9"/>
            <color indexed="81"/>
            <rFont val="Tahoma"/>
            <family val="2"/>
          </rPr>
          <t xml:space="preserve">
</t>
        </r>
      </text>
    </comment>
    <comment ref="AA2" authorId="2" shapeId="0" xr:uid="{3D01A2C0-5AA3-45F3-ADC4-3853B5DD3177}">
      <text>
        <r>
          <rPr>
            <b/>
            <sz val="9"/>
            <color indexed="81"/>
            <rFont val="Tahoma"/>
            <family val="2"/>
          </rPr>
          <t>Lineair geïnterpoleerd en verhoogd met de eventuele Cf Kleiner bouwen en Prijscorrectie</t>
        </r>
      </text>
    </comment>
    <comment ref="AE2" authorId="1" shapeId="0" xr:uid="{00000000-0006-0000-0000-000008000000}">
      <text>
        <r>
          <rPr>
            <sz val="9"/>
            <color indexed="81"/>
            <rFont val="Tahoma"/>
            <family val="2"/>
          </rPr>
          <t xml:space="preserve">Verhogingspercentage gemeente
Centrumsteden 10%
Werkgebied Vlabinvest 5% 
Let wel: voor posten volgens raming  (afbraakwerken, …) steeds 0%
</t>
        </r>
      </text>
    </comment>
    <comment ref="AF2" authorId="0" shapeId="0" xr:uid="{00000000-0006-0000-0000-000009000000}">
      <text>
        <r>
          <rPr>
            <sz val="9"/>
            <color indexed="81"/>
            <rFont val="Tahoma"/>
            <family val="2"/>
          </rPr>
          <t xml:space="preserve">Verhogingspercentage invulbouw (6% / 8% / 10%) : 
Voor projecten die aan één of meerdere van onderstaande invulbouwcriteria beantwoorden wordt een trapsgewijs verhogingspercentage toegekend. Gebouwen die aan alle 3 criteria beantwoorden krijgen 10% toegekend, gebouwen die aan twee criteria beantwoorden 8%. Gebouwen waarvoor enkel criterium 1 geldt krijgen een verhogingspercentage van 6%. Ingeval van r gewone enovatiewerken wordt het percentage beperkt tot maximum 6%
1. Projecten aangebouwd tegen minstens één bestaande volwaardige wachtgevel (over meer dan 1 verdieping). Indien het een wachtgevel jonger dan 5 jaar betreft, is deze geen eigendom van de initiatiefnemer of door hem gebouwd. 
2. Projecten aangebouwd tegen minstens één tweede volwaardige wachtgevel (over meer dan 1 verdieping). Indien het een wachtgevel jonger dan 5 jaar betreft, is deze geen eigendom van de initiatiefnemer of door hem gebouwd.
3. Projecten waarvan minstens één volledige gevel rechtstreeks grenst aan het openbaar domein (bouwlijn valt samen met de rooilijn); </t>
        </r>
      </text>
    </comment>
    <comment ref="AG2" authorId="0" shapeId="0" xr:uid="{00000000-0006-0000-0000-00000A000000}">
      <text>
        <r>
          <rPr>
            <b/>
            <sz val="9"/>
            <color indexed="81"/>
            <rFont val="Tahoma"/>
            <family val="2"/>
          </rPr>
          <t xml:space="preserve">Verhogingspercentage aangepast bouwen (1%)
</t>
        </r>
        <r>
          <rPr>
            <sz val="9"/>
            <color indexed="81"/>
            <rFont val="Tahoma"/>
            <family val="2"/>
          </rPr>
          <t>Voor aangepaste woningen, conform de C, wordt een verhogingspercentage van 1% toegekend, samen met een verhoging van de maximum WO van 10% (oppervlaktecoëfficiënt 1,1 in kolom AF).</t>
        </r>
      </text>
    </comment>
    <comment ref="C39" authorId="3" shapeId="0" xr:uid="{4DA75919-65F6-4ADA-91D9-DEC68A0D031D}">
      <text>
        <r>
          <rPr>
            <sz val="9"/>
            <color indexed="81"/>
            <rFont val="Tahoma"/>
            <family val="2"/>
          </rPr>
          <t xml:space="preserve">Kies soort project
</t>
        </r>
      </text>
    </comment>
  </commentList>
</comments>
</file>

<file path=xl/sharedStrings.xml><?xml version="1.0" encoding="utf-8"?>
<sst xmlns="http://schemas.openxmlformats.org/spreadsheetml/2006/main" count="2094" uniqueCount="878">
  <si>
    <t>SOORT WERK</t>
  </si>
  <si>
    <t>BESTEMMING</t>
  </si>
  <si>
    <t>OMSCHRIJVING</t>
  </si>
  <si>
    <r>
      <t xml:space="preserve">TYPE  </t>
    </r>
    <r>
      <rPr>
        <sz val="11"/>
        <color theme="1"/>
        <rFont val="Calibri"/>
        <family val="2"/>
        <scheme val="minor"/>
      </rPr>
      <t>(A / E / K)</t>
    </r>
  </si>
  <si>
    <t># SLPK</t>
  </si>
  <si>
    <t># PERS</t>
  </si>
  <si>
    <t># STUK</t>
  </si>
  <si>
    <t>m² surplus</t>
  </si>
  <si>
    <t>m² berging</t>
  </si>
  <si>
    <t>WO METING</t>
  </si>
  <si>
    <t>tot. correctie</t>
  </si>
  <si>
    <t>tot. berging</t>
  </si>
  <si>
    <t>max. berging</t>
  </si>
  <si>
    <t>basismax.</t>
  </si>
  <si>
    <t>BasisMax(*)</t>
  </si>
  <si>
    <t>tot. WO-meting</t>
  </si>
  <si>
    <t>% t.o.v.</t>
  </si>
  <si>
    <r>
      <t>WO MAX</t>
    </r>
    <r>
      <rPr>
        <sz val="11"/>
        <color theme="1"/>
        <rFont val="Calibri"/>
        <family val="2"/>
        <scheme val="minor"/>
      </rPr>
      <t xml:space="preserve"> (m²)</t>
    </r>
  </si>
  <si>
    <t>tot. max. WO</t>
  </si>
  <si>
    <t>WO PLAFOND</t>
  </si>
  <si>
    <r>
      <t xml:space="preserve"> POSTEN   + / - </t>
    </r>
    <r>
      <rPr>
        <sz val="11"/>
        <color theme="1"/>
        <rFont val="Calibri"/>
        <family val="2"/>
        <scheme val="minor"/>
      </rPr>
      <t>(commentaar)</t>
    </r>
  </si>
  <si>
    <t>prijscorr. / m²</t>
  </si>
  <si>
    <t>Cf_Kleiner bouwen</t>
  </si>
  <si>
    <t>REF. PRIJS / m²</t>
  </si>
  <si>
    <r>
      <t xml:space="preserve">Garage / Carport </t>
    </r>
    <r>
      <rPr>
        <sz val="11"/>
        <color theme="1"/>
        <rFont val="Calibri"/>
        <family val="2"/>
        <scheme val="minor"/>
      </rPr>
      <t>(G / C)</t>
    </r>
  </si>
  <si>
    <t>Prijs Garage / Carport</t>
  </si>
  <si>
    <t>Basisprijscoëfficient</t>
  </si>
  <si>
    <t>Centrumstad / Vlabinv</t>
  </si>
  <si>
    <t>Invulbouw verhoging %</t>
  </si>
  <si>
    <t>Aangepast bouwen %</t>
  </si>
  <si>
    <t>OPP-Coëfficient</t>
  </si>
  <si>
    <t>PRIJS-Coëfficient</t>
  </si>
  <si>
    <t>Index-Coëfficient</t>
  </si>
  <si>
    <t>MAXIMUMPRIJS / TYPE</t>
  </si>
  <si>
    <t>Prijs.excl.garage</t>
  </si>
  <si>
    <t># WON HUUR</t>
  </si>
  <si>
    <t># WON KOOP</t>
  </si>
  <si>
    <t># WON ANDERE</t>
  </si>
  <si>
    <t>WO HUUR</t>
  </si>
  <si>
    <t>WO KOOP</t>
  </si>
  <si>
    <t>WO ANDERE</t>
  </si>
  <si>
    <t>WO MAX HUUR</t>
  </si>
  <si>
    <t>WO MAX KOOP</t>
  </si>
  <si>
    <t>WO MAX ANDERE</t>
  </si>
  <si>
    <t>Plafond Huur excl garage</t>
  </si>
  <si>
    <t>Plafond Koop excl garage</t>
  </si>
  <si>
    <t>Plafond Andere excl garage</t>
  </si>
  <si>
    <t>Plafond Huur</t>
  </si>
  <si>
    <t>Plafond Koop</t>
  </si>
  <si>
    <t>Plafond Andere</t>
  </si>
  <si>
    <t>Totaal Correctie Huur</t>
  </si>
  <si>
    <t>Totaal Correctie Koop</t>
  </si>
  <si>
    <t>Totaal Correctie Andere</t>
  </si>
  <si>
    <t>PRIJS X AANTAL</t>
  </si>
  <si>
    <t>Woningtypes</t>
  </si>
  <si>
    <t>NB</t>
  </si>
  <si>
    <t>Diversen</t>
  </si>
  <si>
    <t># stuks</t>
  </si>
  <si>
    <t>Oppervlakte</t>
  </si>
  <si>
    <t>Lift app</t>
  </si>
  <si>
    <t>liften</t>
  </si>
  <si>
    <t># stopplaatsen</t>
  </si>
  <si>
    <t>PV-installatie</t>
  </si>
  <si>
    <t>PV-app</t>
  </si>
  <si>
    <t>kWp / installatie</t>
  </si>
  <si>
    <t>PV-huis</t>
  </si>
  <si>
    <t>Zonneboiler App</t>
  </si>
  <si>
    <t>ZB-app</t>
  </si>
  <si>
    <t>Zonneboiler Huis</t>
  </si>
  <si>
    <t>ZB-huis</t>
  </si>
  <si>
    <t>Warmtepomp</t>
  </si>
  <si>
    <t>WP/BW-app</t>
  </si>
  <si>
    <t>WP/LW-huis</t>
  </si>
  <si>
    <t>Terrassen</t>
  </si>
  <si>
    <t>balkons&amp;terrassen</t>
  </si>
  <si>
    <t>Regenwaterputten</t>
  </si>
  <si>
    <t>RWP</t>
  </si>
  <si>
    <t># extra aangesloten won</t>
  </si>
  <si>
    <t xml:space="preserve">Ondergrondse parking </t>
  </si>
  <si>
    <t>park-ondgr</t>
  </si>
  <si>
    <t>Ondergrondse parking MV</t>
  </si>
  <si>
    <t>Kelderbergingen APP</t>
  </si>
  <si>
    <t>berg-ondh</t>
  </si>
  <si>
    <t>Vuilnisberging APP</t>
  </si>
  <si>
    <t>berg-afval</t>
  </si>
  <si>
    <t>Fietsenberging ondergr</t>
  </si>
  <si>
    <t>berg-fiets</t>
  </si>
  <si>
    <t>Stookplaats dak</t>
  </si>
  <si>
    <t>ruimte-CV</t>
  </si>
  <si>
    <t>BEN-niveau (nieuwbouw)</t>
  </si>
  <si>
    <t>BEN-app</t>
  </si>
  <si>
    <t>BEN-huis</t>
  </si>
  <si>
    <t># WON</t>
  </si>
  <si>
    <t>WO-meting</t>
  </si>
  <si>
    <t>%</t>
  </si>
  <si>
    <t>Max WO</t>
  </si>
  <si>
    <t>Totaal Cf-kleiner bouwen</t>
  </si>
  <si>
    <t>Totaal Posten +/-</t>
  </si>
  <si>
    <t>Suppl kl. woninggroepen</t>
  </si>
  <si>
    <t xml:space="preserve">Aandeel Huur  </t>
  </si>
  <si>
    <t xml:space="preserve">Aandeel Koop  </t>
  </si>
  <si>
    <t xml:space="preserve">Aandeel Andere  </t>
  </si>
  <si>
    <t xml:space="preserve">   excl. btw &amp; studiekosten</t>
  </si>
  <si>
    <t xml:space="preserve">TOTALEN  </t>
  </si>
  <si>
    <t>Gemeente (ligging project)</t>
  </si>
  <si>
    <t xml:space="preserve">Gem. prijs huurwoning  </t>
  </si>
  <si>
    <t>CBO</t>
  </si>
  <si>
    <t xml:space="preserve">PROJECTNAAM  </t>
  </si>
  <si>
    <t>Bouwen van xx woningen - ... in …</t>
  </si>
  <si>
    <t>HUIZEGEM</t>
  </si>
  <si>
    <t>Gem. m² prijs WO</t>
  </si>
  <si>
    <t>plafondprijs/m2</t>
  </si>
  <si>
    <t xml:space="preserve">DOSSIERNUMMER  </t>
  </si>
  <si>
    <t>2020/0001/01</t>
  </si>
  <si>
    <t xml:space="preserve">Gem. prijs koopwoning  </t>
  </si>
  <si>
    <t xml:space="preserve">ONTWERPER  </t>
  </si>
  <si>
    <t>Architect</t>
  </si>
  <si>
    <t xml:space="preserve">Gem. m² prijs WO  </t>
  </si>
  <si>
    <t>Samenvatting plafondprijzen en offertebedragen</t>
  </si>
  <si>
    <t>Alle bedragen zijn exclusief btw of andere kosten.</t>
  </si>
  <si>
    <t>Forfait</t>
  </si>
  <si>
    <t>Forfait x aantal</t>
  </si>
  <si>
    <t>PRIJSPLAFONDS</t>
  </si>
  <si>
    <t>Conformiteit-%</t>
  </si>
  <si>
    <t>OFFERTEBEDRAGEN</t>
  </si>
  <si>
    <t>aantal wooneenheden huur (basisforfait)</t>
  </si>
  <si>
    <t>aantal gelegen op uitgeruste grond (suppl)</t>
  </si>
  <si>
    <t xml:space="preserve">   2. Bovengrens SHM</t>
  </si>
  <si>
    <t>Aandeel HUUR</t>
  </si>
  <si>
    <t>Offerte Huur</t>
  </si>
  <si>
    <t>aantal gelegen in woongebied (suppl)</t>
  </si>
  <si>
    <t>Aandeel KOOP</t>
  </si>
  <si>
    <t>Offerte Koop</t>
  </si>
  <si>
    <t>aantal eengezinswoningen (suppl)</t>
  </si>
  <si>
    <t>studiekosten forfaitair 5%</t>
  </si>
  <si>
    <t>forfaitair 5%</t>
  </si>
  <si>
    <t>totaal forfaits grondaandeel</t>
  </si>
  <si>
    <t>Grondaandeel / woning</t>
  </si>
  <si>
    <t>grondprijs KOOP</t>
  </si>
  <si>
    <t>FS3 plafond grondprijs</t>
  </si>
  <si>
    <t xml:space="preserve">Totaalprijs grondaandeel </t>
  </si>
  <si>
    <t xml:space="preserve">TOTAALPRIJS CBO (excl. B.T.W.)   </t>
  </si>
  <si>
    <t>INITIATIEFNEMER:</t>
  </si>
  <si>
    <t>BRUSSEL</t>
  </si>
  <si>
    <t>Datum:</t>
  </si>
  <si>
    <t>PROJECTNAAM:</t>
  </si>
  <si>
    <t>Handtekening(-en):</t>
  </si>
  <si>
    <t>DOSSIERNUMMER:</t>
  </si>
  <si>
    <t>Voornaam + Naam:</t>
  </si>
  <si>
    <t>OVERZICHT PRIJSNORMEN</t>
  </si>
  <si>
    <t>bijkomende posten</t>
  </si>
  <si>
    <t xml:space="preserve">paal- of putfunderingen </t>
  </si>
  <si>
    <t>100 EUR bouwlagen 1-4</t>
  </si>
  <si>
    <t>/m²</t>
  </si>
  <si>
    <t>50 EURO vanaf bouwlaag 5</t>
  </si>
  <si>
    <t xml:space="preserve">plaatfunderingen </t>
  </si>
  <si>
    <t>50 EUR bouwlagen 1-4</t>
  </si>
  <si>
    <t>15 EURO vanaf bouwlaag 5</t>
  </si>
  <si>
    <t>ontbrekende posten</t>
  </si>
  <si>
    <t>vloerbekleding</t>
  </si>
  <si>
    <t>wandbetegeling (faïence)</t>
  </si>
  <si>
    <t>binnendeuren</t>
  </si>
  <si>
    <t>keukenmeubilair</t>
  </si>
  <si>
    <t>sanitaire toestellen</t>
  </si>
  <si>
    <t>schilderwerken</t>
  </si>
  <si>
    <t>forfaitaire posten</t>
  </si>
  <si>
    <t>garages - gegroepeerd</t>
  </si>
  <si>
    <t>/stuk</t>
  </si>
  <si>
    <t>carports - gegroepeerd</t>
  </si>
  <si>
    <t>bovengrondse verharde parkeerplaatsen</t>
  </si>
  <si>
    <t>ondergrondse staanplaatsen / garages</t>
  </si>
  <si>
    <t>liften 25.000 euro + 6.250 euro / stopplaats</t>
  </si>
  <si>
    <t>fietsbergingen, tuinbergingen, kelderbergingen, teller- en vuilnislokalen</t>
  </si>
  <si>
    <t>terrassen  op verdiepingen en uitkragende en balkons</t>
  </si>
  <si>
    <t>collectieve ruimte</t>
  </si>
  <si>
    <t>gemeenschappelijke ruimte met woonfunctie (begrenzing oppervlakte tot verschil MaxWO en WO-meting</t>
  </si>
  <si>
    <t>gemeenschappelijke buitenruimte</t>
  </si>
  <si>
    <t>forfait per woning</t>
  </si>
  <si>
    <t>duurzame mobiliteit</t>
  </si>
  <si>
    <t>investering tot maximum</t>
  </si>
  <si>
    <t>per niet gerealiseerde autobergplaats</t>
  </si>
  <si>
    <t>technieken - energieprestaties</t>
  </si>
  <si>
    <t>zonneboilers</t>
  </si>
  <si>
    <t>/ appartement</t>
  </si>
  <si>
    <t>/ huis</t>
  </si>
  <si>
    <t>kWp</t>
  </si>
  <si>
    <t>met maximum van</t>
  </si>
  <si>
    <t>warmtepompen LW (Lucht-Water)</t>
  </si>
  <si>
    <t>warmtepompen BW (Bodem-Water of Water-Water)</t>
  </si>
  <si>
    <t>collectieve installaties (WKK / warmtepomp ...)</t>
  </si>
  <si>
    <t>/ woning</t>
  </si>
  <si>
    <t>BEN-niveau appartementen</t>
  </si>
  <si>
    <t>BEN-niveau huizen</t>
  </si>
  <si>
    <t>regenwaterput conform Hemelwaterverordening + individueel bijvulsysteem met min. 2 aftappunten (toilet, wasmachine en/of dienstkraan)</t>
  </si>
  <si>
    <t>/ put</t>
  </si>
  <si>
    <t>putinhoud min. 2.000 liter per aangesloten appartement.</t>
  </si>
  <si>
    <t>/ extra aangesloten app</t>
  </si>
  <si>
    <t>extra posten volgens raming</t>
  </si>
  <si>
    <t>stut- en ondervangingswerken (Berlinerwanden, palenwanden, …)</t>
  </si>
  <si>
    <t>raming of bestelbedrag</t>
  </si>
  <si>
    <t>ergonomische uitrustingen voor personen met een handicap</t>
  </si>
  <si>
    <t>afbraakwerken vervangingsbouw</t>
  </si>
  <si>
    <t>asbestverwijdering</t>
  </si>
  <si>
    <t>grondverzet - sanering reservegronden</t>
  </si>
  <si>
    <t>supplement kleine woninggroepen</t>
  </si>
  <si>
    <t>eerste 500m²</t>
  </si>
  <si>
    <t>groter dan 500m²</t>
  </si>
  <si>
    <t>/forfait</t>
  </si>
  <si>
    <t>renovatie</t>
  </si>
  <si>
    <t xml:space="preserve">maximumprijs afbraak bij vervangingsbouw : </t>
  </si>
  <si>
    <t xml:space="preserve"> woning</t>
  </si>
  <si>
    <t xml:space="preserve"> appartement</t>
  </si>
  <si>
    <t>Code</t>
  </si>
  <si>
    <t>Omschrijving</t>
  </si>
  <si>
    <t>A</t>
  </si>
  <si>
    <t>Appartement - gesitueerd in appartementsgebouw _x000D_
* Minimaal 3 woongelegenheden per gebouw_x000D_
* Studio's (0 slpk) - kleine flats (1slpk) - appartementen met mezzanine - …
* Duowoningen: benedenwoning en bovenwoning</t>
  </si>
  <si>
    <t>E</t>
  </si>
  <si>
    <t>* Eengezinshuis - grondgebonden verdiepingswoningen en gelijkvloerse bungalows</t>
  </si>
  <si>
    <t>K</t>
  </si>
  <si>
    <t>* Kamerwoning</t>
  </si>
  <si>
    <t>garage</t>
  </si>
  <si>
    <t>Gesloten garagebox - gegroepeerd bovengronds_x000D_
Niet onlosmakelijk verbonden met een individuele woning_x000D_
Gesitueerd in gegroepeerde batterij garages</t>
  </si>
  <si>
    <t>carport</t>
  </si>
  <si>
    <t>Overdekte autostaanplaats - Carport_x000D_
Niet onlosmakelijk verbonden met woongelegenheid_x000D_
Gesitueerd bovengronds of ondergronds</t>
  </si>
  <si>
    <t>park-bovgr</t>
  </si>
  <si>
    <t>Private autostaanplaats bovengronds (in open lucht)_x000D_
Niet onlosmakelijk verbonden aan een gebouw</t>
  </si>
  <si>
    <t>Ondergrondse parkeerplaats</t>
  </si>
  <si>
    <t>ADL-Centrale</t>
  </si>
  <si>
    <t>Dispatchingsruimte voor ADL- cluster - Aanpasbaar bouwen - Dienstencentrum</t>
  </si>
  <si>
    <t>afbraak</t>
  </si>
  <si>
    <t>Woning of gebouw bestemd voor afbraak</t>
  </si>
  <si>
    <t>archief</t>
  </si>
  <si>
    <t>Archief</t>
  </si>
  <si>
    <t>Vuilnisberging - Lokaal vuilniscontainers</t>
  </si>
  <si>
    <t>berg-divs</t>
  </si>
  <si>
    <t>Berging met andere (gemeenschappelijke) bestemming, ...</t>
  </si>
  <si>
    <t>Gemeenschappelijke fiets- &amp; bromfietsstalling - staanplaats moto's, kinderwagens, rolstoelen, ...</t>
  </si>
  <si>
    <t>berg-indiv</t>
  </si>
  <si>
    <t>Individuele private (kelder-) bergingen in appartementsgebouw, dewelke niet onlosmakelijk geïntegreerd of rechtstreeks toegangelijk zijn vanuit de woningen.</t>
  </si>
  <si>
    <t>berg-meter</t>
  </si>
  <si>
    <t>Tellerberging - Meterlokaal in appartementsgebouwen</t>
  </si>
  <si>
    <t>Berging onderhoudsmaterieel SHM, poetspersoneel, ...</t>
  </si>
  <si>
    <t>berg-tuin</t>
  </si>
  <si>
    <t>Tuinberging</t>
  </si>
  <si>
    <t>dienstencentrum</t>
  </si>
  <si>
    <t>diversen</t>
  </si>
  <si>
    <t>Diversen niet nader benoemd - enkel op te nemen in functie van simulatietabel</t>
  </si>
  <si>
    <t>handelsruimte</t>
  </si>
  <si>
    <t>Commerciele ruimten - nachtwinkels - verkoopsruimten - kapperszaken - ...</t>
  </si>
  <si>
    <t>horeca</t>
  </si>
  <si>
    <t>Café - Restaurant (publiek toegankelijk)_x000D_</t>
  </si>
  <si>
    <t>jeugdhuis</t>
  </si>
  <si>
    <t>Jeugdhuis</t>
  </si>
  <si>
    <t>kantine</t>
  </si>
  <si>
    <t>Kantine - Niet publiek toegankelijke cafetaria</t>
  </si>
  <si>
    <t>kantoor</t>
  </si>
  <si>
    <t>Kantoorruimte - Administratieve diensten</t>
  </si>
  <si>
    <t>kribbe</t>
  </si>
  <si>
    <t>Kinderkribbe - Crèche</t>
  </si>
  <si>
    <t>Liften</t>
  </si>
  <si>
    <t>magazijn</t>
  </si>
  <si>
    <t>omgeving</t>
  </si>
  <si>
    <t>omgevingswerken</t>
  </si>
  <si>
    <t>onbenoemd</t>
  </si>
  <si>
    <t>Niet nader omschreven</t>
  </si>
  <si>
    <t>ruimte-adm</t>
  </si>
  <si>
    <t>administratieve ruimte</t>
  </si>
  <si>
    <t>Stookruimte - collectieve centrale verwarming</t>
  </si>
  <si>
    <t>ruimte-gem</t>
  </si>
  <si>
    <t>Gemeenschappelijke recreatieruimte (bv. bejaarden, wijklokaal, ...)</t>
  </si>
  <si>
    <t>ruimte-pol</t>
  </si>
  <si>
    <t>Polyvalente ruimte : vergaderzaal, Feestzaal</t>
  </si>
  <si>
    <t>ruimte-was</t>
  </si>
  <si>
    <t>Gemeenschappelijke wasruimte</t>
  </si>
  <si>
    <t>SHM-bureel</t>
  </si>
  <si>
    <t>SHM-magaz</t>
  </si>
  <si>
    <t>Stockruimte materieel SHM</t>
  </si>
  <si>
    <t>SHM-werkh</t>
  </si>
  <si>
    <t>Werkhuis - Atelier SHM</t>
  </si>
  <si>
    <t>SHM-zetel</t>
  </si>
  <si>
    <t>Administratieve zetel SHM</t>
  </si>
  <si>
    <t>Woonhaven Antwerpen</t>
  </si>
  <si>
    <t>Providentia</t>
  </si>
  <si>
    <t>Gewestelijke Maatschappij voor Volkshuisvesting</t>
  </si>
  <si>
    <t>Woonpunt Zennevallei</t>
  </si>
  <si>
    <t>Vivendo</t>
  </si>
  <si>
    <t>Ons Onderdak</t>
  </si>
  <si>
    <t>Tuinwijk</t>
  </si>
  <si>
    <t>Provincie</t>
  </si>
  <si>
    <t>Arrondissement</t>
  </si>
  <si>
    <t>Gemeente</t>
  </si>
  <si>
    <t>Ruimtelijke indeling</t>
  </si>
  <si>
    <t>SUPPL</t>
  </si>
  <si>
    <t>Grondprijsfactor 1/12/2015</t>
  </si>
  <si>
    <t>Grondprijsfactor 1/5/2014</t>
  </si>
  <si>
    <t>OOST-VLAANDEREN</t>
  </si>
  <si>
    <t>AALST</t>
  </si>
  <si>
    <t>Centrumstad</t>
  </si>
  <si>
    <t>GENT</t>
  </si>
  <si>
    <t>AALTER</t>
  </si>
  <si>
    <t>Buitengebied</t>
  </si>
  <si>
    <t>VLAAMS-BRABANT</t>
  </si>
  <si>
    <t>LEUVEN</t>
  </si>
  <si>
    <t>AARSCHOT</t>
  </si>
  <si>
    <t>Structuurondersteunend kleinstedelijk gebied</t>
  </si>
  <si>
    <t>ANTWERPEN</t>
  </si>
  <si>
    <t>AARTSELAAR</t>
  </si>
  <si>
    <t>HALLE-VILVOORDE</t>
  </si>
  <si>
    <t>AFFLIGEM</t>
  </si>
  <si>
    <t>Vlabinvest gemeenten</t>
  </si>
  <si>
    <t>LIMBURG</t>
  </si>
  <si>
    <t>TONGEREN</t>
  </si>
  <si>
    <t>ALKEN</t>
  </si>
  <si>
    <t>WEST-VLAANDEREN</t>
  </si>
  <si>
    <t>VEURNE</t>
  </si>
  <si>
    <t>ALVERINGEM</t>
  </si>
  <si>
    <t>KORTRIJK</t>
  </si>
  <si>
    <t>ANZEGEM</t>
  </si>
  <si>
    <t>TIELT</t>
  </si>
  <si>
    <t>ARDOOIE</t>
  </si>
  <si>
    <t>TURNHOUT</t>
  </si>
  <si>
    <t>ARENDONK</t>
  </si>
  <si>
    <t>HASSELT</t>
  </si>
  <si>
    <t>AS</t>
  </si>
  <si>
    <t>ASSE</t>
  </si>
  <si>
    <t>EEKLO</t>
  </si>
  <si>
    <t>ASSENEDE</t>
  </si>
  <si>
    <t>AVELGEM</t>
  </si>
  <si>
    <t>BAARLE-HERTOG</t>
  </si>
  <si>
    <t>BALEN</t>
  </si>
  <si>
    <t>BRUGGE</t>
  </si>
  <si>
    <t>BEERNEM</t>
  </si>
  <si>
    <t>BEERSE</t>
  </si>
  <si>
    <t>Regionaalstedelijk gebied</t>
  </si>
  <si>
    <t>BEERSEL</t>
  </si>
  <si>
    <t>BEGIJNENDIJK</t>
  </si>
  <si>
    <t>BEKKEVOORT</t>
  </si>
  <si>
    <t>BERINGEN</t>
  </si>
  <si>
    <t>Kleinstedelijk gebied op provinciaal niveau</t>
  </si>
  <si>
    <t>MECHELEN</t>
  </si>
  <si>
    <t>BERLAAR</t>
  </si>
  <si>
    <t>DENDERMONDE</t>
  </si>
  <si>
    <t>BERLARE</t>
  </si>
  <si>
    <t>BERTEM</t>
  </si>
  <si>
    <t>BEVER</t>
  </si>
  <si>
    <t>SINT-NIKLAAS</t>
  </si>
  <si>
    <t>BEVEREN</t>
  </si>
  <si>
    <t>BIERBEEK</t>
  </si>
  <si>
    <t>BILZEN</t>
  </si>
  <si>
    <t>BLANKENBERGE</t>
  </si>
  <si>
    <t>MAASEIK</t>
  </si>
  <si>
    <t>BOCHOLT</t>
  </si>
  <si>
    <t>BOECHOUT</t>
  </si>
  <si>
    <t>BONHEIDEN</t>
  </si>
  <si>
    <t>BOOM</t>
  </si>
  <si>
    <t>BOORTMEERBEEK</t>
  </si>
  <si>
    <t>BORGLOON</t>
  </si>
  <si>
    <t>BORNEM</t>
  </si>
  <si>
    <t>BORSBEEK</t>
  </si>
  <si>
    <t>BOUTERSEM</t>
  </si>
  <si>
    <t>OUDENAARDE</t>
  </si>
  <si>
    <t>BRAKEL</t>
  </si>
  <si>
    <t>BRASSCHAAT</t>
  </si>
  <si>
    <t>BRECHT</t>
  </si>
  <si>
    <t>OOSTENDE</t>
  </si>
  <si>
    <t>BREDENE</t>
  </si>
  <si>
    <t>BREE</t>
  </si>
  <si>
    <t>BUGGENHOUT</t>
  </si>
  <si>
    <t>DAMME</t>
  </si>
  <si>
    <t>DE HAAN</t>
  </si>
  <si>
    <t>DE PANNE</t>
  </si>
  <si>
    <t>DE PINTE</t>
  </si>
  <si>
    <t>DEERLIJK</t>
  </si>
  <si>
    <t>DEINZE</t>
  </si>
  <si>
    <t>DENDERLEEUW</t>
  </si>
  <si>
    <t>DENTERGEM</t>
  </si>
  <si>
    <t>DESSEL</t>
  </si>
  <si>
    <t>DESTELBERGEN</t>
  </si>
  <si>
    <t>DIEPENBEEK</t>
  </si>
  <si>
    <t>DIEST</t>
  </si>
  <si>
    <t>DIKSMUIDE</t>
  </si>
  <si>
    <t>DILBEEK</t>
  </si>
  <si>
    <t>DILSEN-STOKKEM</t>
  </si>
  <si>
    <t>DROGENBOS</t>
  </si>
  <si>
    <t>DUFFEL</t>
  </si>
  <si>
    <t>EDEGEM</t>
  </si>
  <si>
    <t>ERPE-MERE</t>
  </si>
  <si>
    <t>ESSEN</t>
  </si>
  <si>
    <t>EVERGEM</t>
  </si>
  <si>
    <t>GALMAARDEN</t>
  </si>
  <si>
    <t>GAVERE</t>
  </si>
  <si>
    <t>GEEL</t>
  </si>
  <si>
    <t>GEETBETS</t>
  </si>
  <si>
    <t>GENK</t>
  </si>
  <si>
    <t>GERAARDSBERGEN</t>
  </si>
  <si>
    <t>GINGELOM</t>
  </si>
  <si>
    <t>GISTEL</t>
  </si>
  <si>
    <t>GLABBEEK</t>
  </si>
  <si>
    <t>GOOIK</t>
  </si>
  <si>
    <t>GRIMBERGEN</t>
  </si>
  <si>
    <t>GROBBENDONK</t>
  </si>
  <si>
    <t>HAACHT</t>
  </si>
  <si>
    <t>HAALTERT</t>
  </si>
  <si>
    <t>HALEN</t>
  </si>
  <si>
    <t>HALLE</t>
  </si>
  <si>
    <t>HAM</t>
  </si>
  <si>
    <t>HAMME</t>
  </si>
  <si>
    <t>HAMONT-ACHEL</t>
  </si>
  <si>
    <t>HARELBEKE</t>
  </si>
  <si>
    <t>HECHTEL-EKSEL</t>
  </si>
  <si>
    <t>HEERS</t>
  </si>
  <si>
    <t>HEIST-OP-DEN-BERG</t>
  </si>
  <si>
    <t>HEMIKSEM</t>
  </si>
  <si>
    <t>HERENT</t>
  </si>
  <si>
    <t>HERENTALS</t>
  </si>
  <si>
    <t>HERENTHOUT</t>
  </si>
  <si>
    <t>HERK-DE-STAD</t>
  </si>
  <si>
    <t>HERNE</t>
  </si>
  <si>
    <t>HERSELT</t>
  </si>
  <si>
    <t>HERSTAPPE</t>
  </si>
  <si>
    <t>HERZELE</t>
  </si>
  <si>
    <t>HEUSDEN-ZOLDER</t>
  </si>
  <si>
    <t>IEPER</t>
  </si>
  <si>
    <t>HEUVELLAND</t>
  </si>
  <si>
    <t>HOEGAARDEN</t>
  </si>
  <si>
    <t>HOEILAART</t>
  </si>
  <si>
    <t>HOESELT</t>
  </si>
  <si>
    <t>HOLSBEEK</t>
  </si>
  <si>
    <t>ROESELARE</t>
  </si>
  <si>
    <t>HOOGLEDE</t>
  </si>
  <si>
    <t>HOOGSTRATEN</t>
  </si>
  <si>
    <t>HOREBEKE</t>
  </si>
  <si>
    <t>HOUTHALEN-HELCHTEREN</t>
  </si>
  <si>
    <t>HOUTHULST</t>
  </si>
  <si>
    <t>HOVE</t>
  </si>
  <si>
    <t>HULDENBERG</t>
  </si>
  <si>
    <t>HULSHOUT</t>
  </si>
  <si>
    <t>ICHTEGEM</t>
  </si>
  <si>
    <t>INGELMUNSTER</t>
  </si>
  <si>
    <t>IZEGEM</t>
  </si>
  <si>
    <t>JABBEKE</t>
  </si>
  <si>
    <t>KALMTHOUT</t>
  </si>
  <si>
    <t>KAMPENHOUT</t>
  </si>
  <si>
    <t>KAPELLEN</t>
  </si>
  <si>
    <t>KAPELLE-OP-DEN-BOS</t>
  </si>
  <si>
    <t>KAPRIJKE</t>
  </si>
  <si>
    <t>KASTERLEE</t>
  </si>
  <si>
    <t>KEERBERGEN</t>
  </si>
  <si>
    <t>KINROOI</t>
  </si>
  <si>
    <t>KLUISBERGEN</t>
  </si>
  <si>
    <t>KNOKKE-HEIST</t>
  </si>
  <si>
    <t>KOEKELARE</t>
  </si>
  <si>
    <t>KOKSIJDE</t>
  </si>
  <si>
    <t>KONTICH</t>
  </si>
  <si>
    <t>KORTEMARK</t>
  </si>
  <si>
    <t>KORTENAKEN</t>
  </si>
  <si>
    <t>KORTENBERG</t>
  </si>
  <si>
    <t>KORTESSEM</t>
  </si>
  <si>
    <t>KRAAINEM</t>
  </si>
  <si>
    <t>KRUIBEKE</t>
  </si>
  <si>
    <t>KUURNE</t>
  </si>
  <si>
    <t>LAAKDAL</t>
  </si>
  <si>
    <t>LAARNE</t>
  </si>
  <si>
    <t>LANAKEN</t>
  </si>
  <si>
    <t>LANDEN</t>
  </si>
  <si>
    <t>LANGEMARK-POELKAPELLE</t>
  </si>
  <si>
    <t>LEBBEKE</t>
  </si>
  <si>
    <t>LEDE</t>
  </si>
  <si>
    <t>LEDEGEM</t>
  </si>
  <si>
    <t>LENDELEDE</t>
  </si>
  <si>
    <t>LENNIK</t>
  </si>
  <si>
    <t>LEOPOLDSBURG</t>
  </si>
  <si>
    <t>LICHTERVELDE</t>
  </si>
  <si>
    <t>LIEDEKERKE</t>
  </si>
  <si>
    <t>LIER</t>
  </si>
  <si>
    <t>LIERDE</t>
  </si>
  <si>
    <t>LILLE</t>
  </si>
  <si>
    <t>LINKEBEEK</t>
  </si>
  <si>
    <t>LINT</t>
  </si>
  <si>
    <t>LINTER</t>
  </si>
  <si>
    <t>LOCHRISTI</t>
  </si>
  <si>
    <t>LOKEREN</t>
  </si>
  <si>
    <t>LOMMEL</t>
  </si>
  <si>
    <t>LONDERZEEL</t>
  </si>
  <si>
    <t>LO-RENINGE</t>
  </si>
  <si>
    <t>LUBBEEK</t>
  </si>
  <si>
    <t>LUMMEN</t>
  </si>
  <si>
    <t>MAARKEDAL</t>
  </si>
  <si>
    <t>MAASMECHELEN</t>
  </si>
  <si>
    <t>MACHELEN</t>
  </si>
  <si>
    <t>MALDEGEM</t>
  </si>
  <si>
    <t>MALLE</t>
  </si>
  <si>
    <t>MEERHOUT</t>
  </si>
  <si>
    <t>MEISE</t>
  </si>
  <si>
    <t>MELLE</t>
  </si>
  <si>
    <t>MENEN</t>
  </si>
  <si>
    <t>MERCHTEM</t>
  </si>
  <si>
    <t>MERELBEKE</t>
  </si>
  <si>
    <t>MERKSPLAS</t>
  </si>
  <si>
    <t>MESEN</t>
  </si>
  <si>
    <t>MEULEBEKE</t>
  </si>
  <si>
    <t>MIDDELKERKE</t>
  </si>
  <si>
    <t>MOERBEKE</t>
  </si>
  <si>
    <t>MOL</t>
  </si>
  <si>
    <t>MOORSLEDE</t>
  </si>
  <si>
    <t>MORTSEL</t>
  </si>
  <si>
    <t>NAZARETH</t>
  </si>
  <si>
    <t>NIEL</t>
  </si>
  <si>
    <t>NIEUWERKERKEN</t>
  </si>
  <si>
    <t>NIEUWPOORT</t>
  </si>
  <si>
    <t>NIJLEN</t>
  </si>
  <si>
    <t>NINOVE</t>
  </si>
  <si>
    <t>OLEN</t>
  </si>
  <si>
    <t>OOSTERZELE</t>
  </si>
  <si>
    <t>OOSTKAMP</t>
  </si>
  <si>
    <t>OOSTROZEBEKE</t>
  </si>
  <si>
    <t>OPWIJK</t>
  </si>
  <si>
    <t>OUDENBURG</t>
  </si>
  <si>
    <t>OUD-HEVERLEE</t>
  </si>
  <si>
    <t>OUD-TURNHOUT</t>
  </si>
  <si>
    <t>OVERIJSE</t>
  </si>
  <si>
    <t>PEER</t>
  </si>
  <si>
    <t>PEPINGEN</t>
  </si>
  <si>
    <t>PITTEM</t>
  </si>
  <si>
    <t>POPERINGE</t>
  </si>
  <si>
    <t>PUTTE</t>
  </si>
  <si>
    <t>RANST</t>
  </si>
  <si>
    <t>RAVELS</t>
  </si>
  <si>
    <t>RETIE</t>
  </si>
  <si>
    <t>RIEMST</t>
  </si>
  <si>
    <t>RIJKEVORSEL</t>
  </si>
  <si>
    <t>RONSE</t>
  </si>
  <si>
    <t>ROOSDAAL</t>
  </si>
  <si>
    <t>ROTSELAAR</t>
  </si>
  <si>
    <t>RUISELEDE</t>
  </si>
  <si>
    <t>RUMST</t>
  </si>
  <si>
    <t>SCHELLE</t>
  </si>
  <si>
    <t>SCHERPENHEUVEL-ZICHEM</t>
  </si>
  <si>
    <t>SCHILDE</t>
  </si>
  <si>
    <t>SCHOTEN</t>
  </si>
  <si>
    <t>SINT-GENESIUS-RODE</t>
  </si>
  <si>
    <t>SINT-GILLIS-WAAS</t>
  </si>
  <si>
    <t>SINT-KATELIJNE-WAVER</t>
  </si>
  <si>
    <t>SINT-LAUREINS</t>
  </si>
  <si>
    <t>SINT-LIEVENS-HOUTEM</t>
  </si>
  <si>
    <t>SINT-MARTENS-LATEM</t>
  </si>
  <si>
    <t>SINT-PIETERS-LEEUW</t>
  </si>
  <si>
    <t>SINT-TRUIDEN</t>
  </si>
  <si>
    <t>SPIERE-HELKIJN</t>
  </si>
  <si>
    <t>STABROEK</t>
  </si>
  <si>
    <t>STADEN</t>
  </si>
  <si>
    <t>STEENOKKERZEEL</t>
  </si>
  <si>
    <t>STEKENE</t>
  </si>
  <si>
    <t>TEMSE</t>
  </si>
  <si>
    <t>TERNAT</t>
  </si>
  <si>
    <t>TERVUREN</t>
  </si>
  <si>
    <t>TESSENDERLO</t>
  </si>
  <si>
    <t>TIELT-WINGE</t>
  </si>
  <si>
    <t>TIENEN</t>
  </si>
  <si>
    <t>TORHOUT</t>
  </si>
  <si>
    <t>TREMELO</t>
  </si>
  <si>
    <t>VILVOORDE</t>
  </si>
  <si>
    <t>VLETEREN</t>
  </si>
  <si>
    <t>VOEREN</t>
  </si>
  <si>
    <t>VORSELAAR</t>
  </si>
  <si>
    <t>VOSSELAAR</t>
  </si>
  <si>
    <t>WAASMUNSTER</t>
  </si>
  <si>
    <t>WACHTEBEKE</t>
  </si>
  <si>
    <t>WAREGEM</t>
  </si>
  <si>
    <t>WELLEN</t>
  </si>
  <si>
    <t>WEMMEL</t>
  </si>
  <si>
    <t>WERVIK</t>
  </si>
  <si>
    <t>WESTERLO</t>
  </si>
  <si>
    <t>WETTEREN</t>
  </si>
  <si>
    <t>WEVELGEM</t>
  </si>
  <si>
    <t>WEZEMBEEK-OPPEM</t>
  </si>
  <si>
    <t>WICHELEN</t>
  </si>
  <si>
    <t>WIELSBEKE</t>
  </si>
  <si>
    <t>WIJNEGEM</t>
  </si>
  <si>
    <t>WILLEBROEK</t>
  </si>
  <si>
    <t>WINGENE</t>
  </si>
  <si>
    <t>WOMMELGEM</t>
  </si>
  <si>
    <t>WORTEGEM-PETEGEM</t>
  </si>
  <si>
    <t>WUUSTWEZEL</t>
  </si>
  <si>
    <t>ZANDHOVEN</t>
  </si>
  <si>
    <t>ZAVENTEM</t>
  </si>
  <si>
    <t>ZEDELGEM</t>
  </si>
  <si>
    <t>ZELE</t>
  </si>
  <si>
    <t>ZELZATE</t>
  </si>
  <si>
    <t>ZEMST</t>
  </si>
  <si>
    <t>ZOERSEL</t>
  </si>
  <si>
    <t>ZONHOVEN</t>
  </si>
  <si>
    <t>ZONNEBEKE</t>
  </si>
  <si>
    <t>ZOTTEGEM</t>
  </si>
  <si>
    <t>ZOUTLEEUW</t>
  </si>
  <si>
    <t>ZUIENKERKE</t>
  </si>
  <si>
    <t>ZULTE</t>
  </si>
  <si>
    <t>ZUTENDAAL</t>
  </si>
  <si>
    <t>ZWALM</t>
  </si>
  <si>
    <t>ZWEVEGEM</t>
  </si>
  <si>
    <t>ZWIJNDRECHT</t>
  </si>
  <si>
    <t>Aantal</t>
  </si>
  <si>
    <t>PERS.</t>
  </si>
  <si>
    <t>SLPK.</t>
  </si>
  <si>
    <t>x</t>
  </si>
  <si>
    <t>X</t>
  </si>
  <si>
    <t>Invulbouw</t>
  </si>
  <si>
    <t>Aanpasbaar</t>
  </si>
  <si>
    <t>Opp_Cf</t>
  </si>
  <si>
    <t>Centrum</t>
  </si>
  <si>
    <t>Basis</t>
  </si>
  <si>
    <t>Werk</t>
  </si>
  <si>
    <t>Auto</t>
  </si>
  <si>
    <t>Type</t>
  </si>
  <si>
    <t>K/H</t>
  </si>
  <si>
    <t>Lagen</t>
  </si>
  <si>
    <t>Basis aanbesteding</t>
  </si>
  <si>
    <t>BA</t>
  </si>
  <si>
    <t>WOPrijsm2-incl. 0/1</t>
  </si>
  <si>
    <t>Lijst gebouwtypes</t>
  </si>
  <si>
    <t>% Deelrenovatie(-s)</t>
  </si>
  <si>
    <t>C</t>
  </si>
  <si>
    <t>Aankoop Goede woning</t>
  </si>
  <si>
    <t>AGW</t>
  </si>
  <si>
    <t>diversen-raming/offerte</t>
  </si>
  <si>
    <t>01 - totaalrenovatie EPB-nieuwbouw</t>
  </si>
  <si>
    <t>VB</t>
  </si>
  <si>
    <t>G</t>
  </si>
  <si>
    <t>H</t>
  </si>
  <si>
    <t>Aankoop Nieuwbouw</t>
  </si>
  <si>
    <t>ANB</t>
  </si>
  <si>
    <t>afbraak-raming/offerte</t>
  </si>
  <si>
    <t>02 - gevel &amp; isolatie (volledig nieuw)</t>
  </si>
  <si>
    <t>garages</t>
  </si>
  <si>
    <t>03 - dak + isolatie (volledig nieuw)</t>
  </si>
  <si>
    <t>Opening bieding</t>
  </si>
  <si>
    <t>OB</t>
  </si>
  <si>
    <t>balkons</t>
  </si>
  <si>
    <t>carports</t>
  </si>
  <si>
    <t>03 - na-isolatie daken</t>
  </si>
  <si>
    <t>Uitvoeringsdossier</t>
  </si>
  <si>
    <t>UD</t>
  </si>
  <si>
    <t>04 - buitenschrijnwerk</t>
  </si>
  <si>
    <t>Voorontwerp</t>
  </si>
  <si>
    <t>VO</t>
  </si>
  <si>
    <t>05 - binnenafwerking (volledig nieuw)</t>
  </si>
  <si>
    <t>06 - technieken CV&amp; fluida (volledig nieuw)</t>
  </si>
  <si>
    <t>07 - elektrische installatie (volledig nieuw)</t>
  </si>
  <si>
    <t>17 - riolering onderbouw (volledig nieuw)</t>
  </si>
  <si>
    <t>21- na-isolatie gevels</t>
  </si>
  <si>
    <t>berg-met</t>
  </si>
  <si>
    <t>22 - vervanging gevelschil</t>
  </si>
  <si>
    <t>32-35 - dakbedekking / dichting</t>
  </si>
  <si>
    <t>37 - dakranden &amp; kroonlijsten</t>
  </si>
  <si>
    <t>buitenruimte-collectief</t>
  </si>
  <si>
    <t>38 - dakwaterafvoer</t>
  </si>
  <si>
    <t>50-51 - pleister- &amp; plaatafwerkingen</t>
  </si>
  <si>
    <t>CV-collectief</t>
  </si>
  <si>
    <t>52 - dekvloer</t>
  </si>
  <si>
    <t>53 - vloerafwerking</t>
  </si>
  <si>
    <t>ruimte-collectief</t>
  </si>
  <si>
    <t>54-55 - binnendeuren &amp; trappen</t>
  </si>
  <si>
    <t>56 - keukenmeubilair</t>
  </si>
  <si>
    <t>ruimte-polyvalent</t>
  </si>
  <si>
    <t>57 - tabletten &amp; faience</t>
  </si>
  <si>
    <t>60 - sanitaire leidingen</t>
  </si>
  <si>
    <t>61 - sanitaire toestellen</t>
  </si>
  <si>
    <t>62 - sanitaire kranen</t>
  </si>
  <si>
    <t>63-66 - CV-leidingen &amp; afgifte</t>
  </si>
  <si>
    <t>64-65 - CV-verwarmingstoestel, gas &amp; rookgasafvoer</t>
  </si>
  <si>
    <t>68 - ventilatiesysteem (systeem C/D)</t>
  </si>
  <si>
    <t>KW-piek</t>
  </si>
  <si>
    <t>70 - elektro / grote upgrade (bv. nieuwe verdeelborden, …)</t>
  </si>
  <si>
    <t>70 - elektro / kleine upgrade (bv. in functie keuring AREI)</t>
  </si>
  <si>
    <t>woonfunctie coll.</t>
  </si>
  <si>
    <t>Pakket vernieuwing keukenruimte (i) inclusief technieken en binnenafwerking</t>
  </si>
  <si>
    <t>Pakket vernieuwing badkamers (i) inclusief technieken en binnenafwerking</t>
  </si>
  <si>
    <t>WP/BW-huis</t>
  </si>
  <si>
    <t>WP/LW-app</t>
  </si>
  <si>
    <t>Woonfunctie coll.</t>
  </si>
  <si>
    <t>RefPrijs Onder</t>
  </si>
  <si>
    <t>Refprijs Boven</t>
  </si>
  <si>
    <t>Lin.Interpolatie</t>
  </si>
  <si>
    <t>m2</t>
  </si>
  <si>
    <t>Prijs / m2</t>
  </si>
  <si>
    <t>Totaal KleinBouw Huur</t>
  </si>
  <si>
    <t>Totaal KleinBouw Koop</t>
  </si>
  <si>
    <t>Totaal KleinBouw Andere</t>
  </si>
  <si>
    <t xml:space="preserve">   1. Berekening FS3 grondverwerving</t>
  </si>
  <si>
    <t>renovatiekosten project</t>
  </si>
  <si>
    <t>aankoopprijs grond + gebouw HUUR</t>
  </si>
  <si>
    <t>REN</t>
  </si>
  <si>
    <t>Soort WERK CBO</t>
  </si>
  <si>
    <t>NIEUWBOUW</t>
  </si>
  <si>
    <t>RENOVATIE</t>
  </si>
  <si>
    <t>1. Schattingsprijs</t>
  </si>
  <si>
    <t>RENOVATIE + NIEUWBOUW</t>
  </si>
  <si>
    <t xml:space="preserve">Offerte Huur </t>
  </si>
  <si>
    <t xml:space="preserve">Offerte Koop </t>
  </si>
  <si>
    <t xml:space="preserve">Offerte Andere </t>
  </si>
  <si>
    <t>Maximum verkoopprijs</t>
  </si>
  <si>
    <t xml:space="preserve">   2. Bovengrens grondforfait WM</t>
  </si>
  <si>
    <t>PLAFONDPRIJS FS3 NIEUWBOUW</t>
  </si>
  <si>
    <t>WM-nr</t>
  </si>
  <si>
    <t>Naam WM</t>
  </si>
  <si>
    <t>De Voorkempen - H.E.</t>
  </si>
  <si>
    <t>Woonkade Rupelstreek</t>
  </si>
  <si>
    <t>Thuisrand</t>
  </si>
  <si>
    <t>Woonboog</t>
  </si>
  <si>
    <t>Woonmaatschappij De Noorderkempen</t>
  </si>
  <si>
    <t>LeefGoed</t>
  </si>
  <si>
    <t>Woonmaatschappij Rivierenland</t>
  </si>
  <si>
    <t>Woonstroom</t>
  </si>
  <si>
    <t>Woonschakel Berg en Nete</t>
  </si>
  <si>
    <t>Woonveer Klein-Brabant</t>
  </si>
  <si>
    <t>Wonen in Limburg (WiL)</t>
  </si>
  <si>
    <t>Woonmaatschappij Dender-Zuid</t>
  </si>
  <si>
    <t>Thuispunt Gent</t>
  </si>
  <si>
    <t>Woonmaatschappij Meetjesland</t>
  </si>
  <si>
    <t>Woonpijler</t>
  </si>
  <si>
    <t>Dimensa</t>
  </si>
  <si>
    <t>Woonmaatschappij Vlaamse Ardennen</t>
  </si>
  <si>
    <t>WoonST</t>
  </si>
  <si>
    <t>Woonpunt Waas</t>
  </si>
  <si>
    <t>Dijledal</t>
  </si>
  <si>
    <t>Kanvaz</t>
  </si>
  <si>
    <t>Woontrots</t>
  </si>
  <si>
    <t>SW+</t>
  </si>
  <si>
    <t>Zetus</t>
  </si>
  <si>
    <t>Woonstart</t>
  </si>
  <si>
    <t>Thuiswest</t>
  </si>
  <si>
    <t>Woonsprong</t>
  </si>
  <si>
    <t>Woonmaatschappij Ijzer en Zee</t>
  </si>
  <si>
    <t>Woonmaatschappij Vivus</t>
  </si>
  <si>
    <t>!Mpuls Menen-Wervik</t>
  </si>
  <si>
    <t>WM Elan</t>
  </si>
  <si>
    <t>De Voorbeeldige Woonmaatschappij</t>
  </si>
  <si>
    <t xml:space="preserve">BOUWKOSTEN </t>
  </si>
  <si>
    <t xml:space="preserve">
 Soort project CBO</t>
  </si>
  <si>
    <t>Naam inschrijver</t>
  </si>
  <si>
    <t>MAXIMUM KOSTPRIJS- &amp; OPPERVLAKTESIMULATIE - NIEUWBOUW / RENOVATIE CBO+ 2024-1</t>
  </si>
  <si>
    <t>Laagste van schatting/bovengrens WM op FS3-plafond</t>
  </si>
  <si>
    <t xml:space="preserve">WOONMAATSCHAPPIJ (WM) </t>
  </si>
  <si>
    <t>Opgemaakt in:</t>
  </si>
  <si>
    <t>Alle onderstaande gekleurde velden invullen (en/of keuze maken uit dropdown menu)</t>
  </si>
  <si>
    <t xml:space="preserve">  Wonen in Vlaanderen 
 Afdeling sociale woonprojecten</t>
  </si>
  <si>
    <t>Alleen gekleurde velden invullen</t>
  </si>
  <si>
    <t>KRUISEM</t>
  </si>
  <si>
    <t>LIEVEGEM</t>
  </si>
  <si>
    <t>OUDSBERGEN</t>
  </si>
  <si>
    <t>PELT</t>
  </si>
  <si>
    <t>PUURS-SINT-AMANDS</t>
  </si>
  <si>
    <t>grondfactor gemeente (Cf 2023-2024)</t>
  </si>
  <si>
    <t>Voorzitter</t>
  </si>
  <si>
    <t>Algemeen directeur</t>
  </si>
  <si>
    <t>Adjunct-alg.directeur (±)</t>
  </si>
  <si>
    <t>Directeur Patrimonium</t>
  </si>
  <si>
    <t>Directeur klanten</t>
  </si>
  <si>
    <t>Financieel directeur</t>
  </si>
  <si>
    <t>Directeur (+ titel tussen haakjes)</t>
  </si>
  <si>
    <t>Unit-directeurs</t>
  </si>
  <si>
    <t>Vanbaeden Cindy (ad interim)</t>
  </si>
  <si>
    <t>Daan Janssen</t>
  </si>
  <si>
    <t>Van Doesburg Els</t>
  </si>
  <si>
    <t>Wouter Gehre</t>
  </si>
  <si>
    <t>Anne Vanachter (adjunct-directeur)</t>
  </si>
  <si>
    <t>Verhegge Matthias</t>
  </si>
  <si>
    <t>Paul Deckers</t>
  </si>
  <si>
    <t>Jef Schoors (dir.bouwen)</t>
  </si>
  <si>
    <t>Ilse Vanhoof (dir. frontoffice)</t>
  </si>
  <si>
    <t>Yasmine Driesmans</t>
  </si>
  <si>
    <t>Van Tendeloo Kelly</t>
  </si>
  <si>
    <t>Anja Schoeters</t>
  </si>
  <si>
    <t>Hauwaert Jan</t>
  </si>
  <si>
    <t>Marc Vanden Eynde</t>
  </si>
  <si>
    <t>Kristina Verhoye (adjunct-directeur)</t>
  </si>
  <si>
    <t>Heylen Hans</t>
  </si>
  <si>
    <t>Christophe Dekoninck</t>
  </si>
  <si>
    <t>De Blaiser Raf</t>
  </si>
  <si>
    <t>Bart Smets</t>
  </si>
  <si>
    <t>Brandt John</t>
  </si>
  <si>
    <t>Erik Schoofs (wn)</t>
  </si>
  <si>
    <t>Delanoeije Bert</t>
  </si>
  <si>
    <t>Yvette Dierckx</t>
  </si>
  <si>
    <t>Callens Erwin</t>
  </si>
  <si>
    <t>Peter Van Hoffelen</t>
  </si>
  <si>
    <t>Bosmans Louis</t>
  </si>
  <si>
    <t>Frank Maeremans</t>
  </si>
  <si>
    <t>Chantal Cuypers (operationeel directeur)</t>
  </si>
  <si>
    <t>Casier Lien</t>
  </si>
  <si>
    <t>Leen Deraedt</t>
  </si>
  <si>
    <t>Laeremans Bart</t>
  </si>
  <si>
    <t>Els Dubois</t>
  </si>
  <si>
    <t>Pieters Dirk</t>
  </si>
  <si>
    <t>Bart Vranken</t>
  </si>
  <si>
    <t>Stockman Christophe</t>
  </si>
  <si>
    <t>Erik Thora</t>
  </si>
  <si>
    <t>Dumst Guy</t>
  </si>
  <si>
    <t>Lym De Brouwer</t>
  </si>
  <si>
    <t>Van Roy Mark</t>
  </si>
  <si>
    <t>Bjorn Mallants</t>
  </si>
  <si>
    <t>Martine Straetemans (adjunct-directeur)</t>
  </si>
  <si>
    <t>Inter-Vilvoordse Maatschappij voor Huisvesting</t>
  </si>
  <si>
    <t>Piqueur Jan</t>
  </si>
  <si>
    <t>Olivier Moelaert</t>
  </si>
  <si>
    <t>Demeestere Guy</t>
  </si>
  <si>
    <t>Wim Moyaert</t>
  </si>
  <si>
    <t>Bernard Despiegelaere</t>
  </si>
  <si>
    <t>Demon Franky</t>
  </si>
  <si>
    <t>Koen De Craemer</t>
  </si>
  <si>
    <t>Iacopucci Pietro</t>
  </si>
  <si>
    <t>Koen Verdru</t>
  </si>
  <si>
    <t>Bolle Philip</t>
  </si>
  <si>
    <t>Tim Fastré</t>
  </si>
  <si>
    <t>Decaluwe Veronique</t>
  </si>
  <si>
    <t>Karel Maddens</t>
  </si>
  <si>
    <t>Thomas Raes (operationeel directeur)</t>
  </si>
  <si>
    <t>Blancke Guy</t>
  </si>
  <si>
    <t>Sonny Ghesquière</t>
  </si>
  <si>
    <t>Claeys Kurt</t>
  </si>
  <si>
    <t>Sara Casteur</t>
  </si>
  <si>
    <t>Vanessa Vens</t>
  </si>
  <si>
    <t>Evi Jordens (wn)</t>
  </si>
  <si>
    <t>Anneleen Coupé (dir.personeel en facility)</t>
  </si>
  <si>
    <t>Wenes Bart</t>
  </si>
  <si>
    <t>Machteld Demeulenaere (wn)</t>
  </si>
  <si>
    <t>Stefanie Vandenabeele (adjunct-directeur)</t>
  </si>
  <si>
    <t>Van Nieuwenhuyse Luc</t>
  </si>
  <si>
    <t>Kris Verwaeren</t>
  </si>
  <si>
    <t>Peter De Clerck (operationeel directeur)</t>
  </si>
  <si>
    <t>Bel Jonas</t>
  </si>
  <si>
    <t>Alexandre Giele</t>
  </si>
  <si>
    <t>Roobrouck Nele</t>
  </si>
  <si>
    <t>Nele Vandaele</t>
  </si>
  <si>
    <t>Van de Vijver David</t>
  </si>
  <si>
    <t>Karin Beeldens</t>
  </si>
  <si>
    <t>stek92</t>
  </si>
  <si>
    <t>Pauwels Jan</t>
  </si>
  <si>
    <t>Piet Pauwels</t>
  </si>
  <si>
    <t>Carine Verhelst (directeur organisatie)</t>
  </si>
  <si>
    <t>Edwin De Ceukelaire</t>
  </si>
  <si>
    <t>Ivo Blancke (dir. personeel)</t>
  </si>
  <si>
    <t>Karolien Sercu</t>
  </si>
  <si>
    <t>Marie-Paule Hiel (dir.onroer.transacties)</t>
  </si>
  <si>
    <t>Vandevelde Luc</t>
  </si>
  <si>
    <t>Isabelle Verwilst</t>
  </si>
  <si>
    <t>Patricia De Meyer (directeur)</t>
  </si>
  <si>
    <t>Heughebaert Marc</t>
  </si>
  <si>
    <t>Diederick Vandekerckhove (wn)</t>
  </si>
  <si>
    <t>Vervloet Louis</t>
  </si>
  <si>
    <t>Hans Heyse</t>
  </si>
  <si>
    <t>Guido Lenaert (senior-directeur)</t>
  </si>
  <si>
    <t>de Thuisbouwer</t>
  </si>
  <si>
    <t>De Prijcker Etienne (tot 31/3/24)</t>
  </si>
  <si>
    <t>Guy Van Gucht</t>
  </si>
  <si>
    <t>Glen Christiaens (dir.welzijn)</t>
  </si>
  <si>
    <t>Smeyers Sarah</t>
  </si>
  <si>
    <t>-</t>
  </si>
  <si>
    <t>Cathérine Vincent, Leentje Cornelis, Steven Hutse, Lieve Desmet</t>
  </si>
  <si>
    <t>Cools Jan</t>
  </si>
  <si>
    <t>Tina Verkaeren</t>
  </si>
  <si>
    <t>Vercamer Stefaan</t>
  </si>
  <si>
    <t>Jeanique Van den Heede</t>
  </si>
  <si>
    <t>Peter Lepez (adjunct-directeur)</t>
  </si>
  <si>
    <t>Dehandschutter Steven</t>
  </si>
  <si>
    <t>Etienne Audenaert (tot 30/6/24)</t>
  </si>
  <si>
    <t>Geert Verhoeve (tot 30/6/24)</t>
  </si>
  <si>
    <t>Beeckman Michaël</t>
  </si>
  <si>
    <t>Franky Van Poucke</t>
  </si>
  <si>
    <t>Nelly Oosterlinck (onderdirecteur)</t>
  </si>
  <si>
    <t>Drieskens Raf</t>
  </si>
  <si>
    <t>Myriam Indekleef</t>
  </si>
  <si>
    <t>Raymond Korstjens</t>
  </si>
  <si>
    <t>Reinout Van der Sijpe</t>
  </si>
  <si>
    <t>Inge Gaublomme (dir.personeel)</t>
  </si>
  <si>
    <t>Grondprijsfactor 1/11/2023</t>
  </si>
  <si>
    <t>Grondprijsfactor 1/11/2023 (afgerond)</t>
  </si>
  <si>
    <t>Versie januari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</si>
</sst>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quot;€&quot;* #,##0.00_);_(&quot;€&quot;* \(#,##0.00\);_(&quot;€&quot;* &quot;-&quot;??_);_(@_)"/>
    <numFmt numFmtId="165" formatCode="[Red][&gt;1]0%;0%"/>
    <numFmt numFmtId="166" formatCode="#,##0.00\ [$€-1]"/>
    <numFmt numFmtId="167" formatCode="[Red][&gt;1]0.00%;0.00%"/>
    <numFmt numFmtId="168" formatCode="#,##0.00\ [$EUR]"/>
    <numFmt numFmtId="169" formatCode="[Red][&gt;1]0.0%;0.0%"/>
    <numFmt numFmtId="170" formatCode="&quot;€&quot;\ #,##0"/>
    <numFmt numFmtId="171" formatCode="&quot;€&quot;\ #,##0.00"/>
    <numFmt numFmtId="172" formatCode="#,##0.000"/>
    <numFmt numFmtId="173" formatCode="0.0%"/>
    <numFmt numFmtId="174" formatCode="&quot;Index&quot;\ 0.000"/>
    <numFmt numFmtId="175" formatCode="&quot;Abex &quot;0"/>
    <numFmt numFmtId="176" formatCode="&quot;Ref &quot;0"/>
    <numFmt numFmtId="177" formatCode="&quot;€&quot;\ #,##0&quot; /m²&quot;"/>
    <numFmt numFmtId="178" formatCode="#,##0.00_ ;\-#,##0.00\ "/>
  </numFmts>
  <fonts count="83" x14ac:knownFonts="1">
    <font>
      <sz val="11"/>
      <color theme="1"/>
      <name val="Calibri"/>
      <family val="2"/>
      <scheme val="minor"/>
    </font>
    <font>
      <sz val="9"/>
      <name val="Arial"/>
      <family val="2"/>
    </font>
    <font>
      <b/>
      <sz val="10"/>
      <name val="Arial"/>
      <family val="2"/>
    </font>
    <font>
      <sz val="10"/>
      <color indexed="10"/>
      <name val="Arial"/>
      <family val="2"/>
    </font>
    <font>
      <b/>
      <sz val="12"/>
      <name val="Arial"/>
      <family val="2"/>
    </font>
    <font>
      <b/>
      <sz val="11"/>
      <name val="Arial"/>
      <family val="2"/>
    </font>
    <font>
      <sz val="10"/>
      <color indexed="8"/>
      <name val="Arial"/>
      <family val="2"/>
    </font>
    <font>
      <b/>
      <sz val="10"/>
      <color indexed="32"/>
      <name val="Arial"/>
      <family val="2"/>
    </font>
    <font>
      <sz val="10"/>
      <color indexed="32"/>
      <name val="Arial"/>
      <family val="2"/>
    </font>
    <font>
      <b/>
      <sz val="10"/>
      <color indexed="10"/>
      <name val="Arial"/>
      <family val="2"/>
    </font>
    <font>
      <b/>
      <sz val="16"/>
      <name val="Arial"/>
      <family val="2"/>
    </font>
    <font>
      <sz val="11"/>
      <color indexed="10"/>
      <name val="Calibri"/>
      <family val="2"/>
    </font>
    <font>
      <sz val="9"/>
      <color indexed="81"/>
      <name val="Tahoma"/>
      <family val="2"/>
    </font>
    <font>
      <b/>
      <sz val="9"/>
      <color indexed="81"/>
      <name val="Tahoma"/>
      <family val="2"/>
    </font>
    <font>
      <sz val="11"/>
      <name val="Calibri"/>
      <family val="2"/>
    </font>
    <font>
      <b/>
      <sz val="9"/>
      <name val="Arial"/>
      <family val="2"/>
    </font>
    <font>
      <sz val="10"/>
      <name val="Arial"/>
      <family val="2"/>
    </font>
    <font>
      <i/>
      <sz val="10"/>
      <name val="Arial"/>
      <family val="2"/>
    </font>
    <font>
      <sz val="10"/>
      <color indexed="18"/>
      <name val="Arial"/>
      <family val="2"/>
    </font>
    <font>
      <sz val="11"/>
      <name val="Arial"/>
      <family val="2"/>
    </font>
    <font>
      <b/>
      <sz val="14"/>
      <name val="Arial"/>
      <family val="2"/>
    </font>
    <font>
      <i/>
      <sz val="9"/>
      <name val="Arial"/>
      <family val="2"/>
    </font>
    <font>
      <b/>
      <i/>
      <sz val="10"/>
      <name val="Arial"/>
      <family val="2"/>
    </font>
    <font>
      <sz val="10"/>
      <color indexed="10"/>
      <name val="Arial"/>
      <family val="2"/>
    </font>
    <font>
      <b/>
      <i/>
      <sz val="11"/>
      <name val="Arial"/>
      <family val="2"/>
    </font>
    <font>
      <b/>
      <sz val="10"/>
      <color indexed="18"/>
      <name val="Arial"/>
      <family val="2"/>
    </font>
    <font>
      <i/>
      <sz val="11"/>
      <name val="Arial"/>
      <family val="2"/>
    </font>
    <font>
      <i/>
      <sz val="10"/>
      <color indexed="18"/>
      <name val="Arial"/>
      <family val="2"/>
    </font>
    <font>
      <b/>
      <i/>
      <sz val="12"/>
      <name val="Arial"/>
      <family val="2"/>
    </font>
    <font>
      <i/>
      <sz val="12"/>
      <name val="Arial"/>
      <family val="2"/>
    </font>
    <font>
      <sz val="8"/>
      <name val="Arial"/>
      <family val="2"/>
    </font>
    <font>
      <i/>
      <sz val="11"/>
      <color indexed="18"/>
      <name val="Arial"/>
      <family val="2"/>
    </font>
    <font>
      <b/>
      <i/>
      <sz val="12"/>
      <color indexed="18"/>
      <name val="Arial"/>
      <family val="2"/>
    </font>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0"/>
      <color rgb="FF002060"/>
      <name val="Arial"/>
      <family val="2"/>
    </font>
    <font>
      <i/>
      <sz val="11"/>
      <color theme="1"/>
      <name val="Calibri"/>
      <family val="2"/>
      <scheme val="minor"/>
    </font>
    <font>
      <sz val="10"/>
      <color theme="1"/>
      <name val="Arial"/>
      <family val="2"/>
    </font>
    <font>
      <i/>
      <sz val="10"/>
      <color rgb="FFFF0000"/>
      <name val="Arial"/>
      <family val="2"/>
    </font>
    <font>
      <b/>
      <sz val="11"/>
      <color rgb="FF002060"/>
      <name val="Arial"/>
      <family val="2"/>
    </font>
    <font>
      <b/>
      <i/>
      <sz val="11"/>
      <color rgb="FF002060"/>
      <name val="Arial"/>
      <family val="2"/>
    </font>
    <font>
      <sz val="12"/>
      <color theme="1"/>
      <name val="Calibri"/>
      <family val="2"/>
      <scheme val="minor"/>
    </font>
    <font>
      <b/>
      <sz val="10"/>
      <color rgb="FF002060"/>
      <name val="Arial"/>
      <family val="2"/>
    </font>
    <font>
      <b/>
      <i/>
      <sz val="11"/>
      <name val="Calibri"/>
      <family val="2"/>
      <scheme val="minor"/>
    </font>
    <font>
      <i/>
      <sz val="11"/>
      <name val="Calibri"/>
      <family val="2"/>
      <scheme val="minor"/>
    </font>
    <font>
      <i/>
      <sz val="11"/>
      <color rgb="FFFF0000"/>
      <name val="Calibri"/>
      <family val="2"/>
      <scheme val="minor"/>
    </font>
    <font>
      <b/>
      <sz val="11"/>
      <color theme="1"/>
      <name val="Arial"/>
      <family val="2"/>
    </font>
    <font>
      <b/>
      <i/>
      <sz val="11"/>
      <color theme="1"/>
      <name val="Calibri"/>
      <family val="2"/>
      <scheme val="minor"/>
    </font>
    <font>
      <i/>
      <sz val="12"/>
      <color theme="1"/>
      <name val="Calibri"/>
      <family val="2"/>
      <scheme val="minor"/>
    </font>
    <font>
      <b/>
      <sz val="12"/>
      <color theme="1"/>
      <name val="Calibri"/>
      <family val="2"/>
      <scheme val="minor"/>
    </font>
    <font>
      <b/>
      <sz val="11"/>
      <name val="Calibri"/>
      <family val="2"/>
      <scheme val="minor"/>
    </font>
    <font>
      <b/>
      <sz val="12"/>
      <color theme="1"/>
      <name val="Arial"/>
      <family val="2"/>
    </font>
    <font>
      <sz val="14"/>
      <color theme="1"/>
      <name val="Calibri"/>
      <family val="2"/>
      <scheme val="minor"/>
    </font>
    <font>
      <b/>
      <sz val="14"/>
      <color rgb="FF002060"/>
      <name val="Arial"/>
      <family val="2"/>
    </font>
    <font>
      <b/>
      <sz val="13"/>
      <color theme="1"/>
      <name val="Calibri"/>
      <family val="2"/>
      <scheme val="minor"/>
    </font>
    <font>
      <b/>
      <sz val="14"/>
      <color theme="1"/>
      <name val="Arial"/>
      <family val="2"/>
    </font>
    <font>
      <b/>
      <sz val="11"/>
      <color rgb="FF002060"/>
      <name val="Calibri"/>
      <family val="2"/>
      <scheme val="minor"/>
    </font>
    <font>
      <sz val="11"/>
      <color theme="1"/>
      <name val="Arial"/>
      <family val="2"/>
    </font>
    <font>
      <b/>
      <sz val="20"/>
      <color theme="0" tint="-0.499984740745262"/>
      <name val="Arial"/>
      <family val="2"/>
    </font>
    <font>
      <b/>
      <sz val="12"/>
      <color rgb="FF002060"/>
      <name val="Arial"/>
      <family val="2"/>
    </font>
    <font>
      <sz val="12"/>
      <color rgb="FF002060"/>
      <name val="Arial"/>
      <family val="2"/>
    </font>
    <font>
      <i/>
      <sz val="10"/>
      <color theme="1"/>
      <name val="Arial"/>
      <family val="2"/>
    </font>
    <font>
      <i/>
      <sz val="10"/>
      <color rgb="FF002060"/>
      <name val="Arial"/>
      <family val="2"/>
    </font>
    <font>
      <sz val="11"/>
      <color rgb="FF002060"/>
      <name val="Arial"/>
      <family val="2"/>
    </font>
    <font>
      <b/>
      <sz val="48"/>
      <color theme="0" tint="-0.34998626667073579"/>
      <name val="Arial"/>
      <family val="2"/>
    </font>
    <font>
      <sz val="12"/>
      <color theme="1"/>
      <name val="Arial"/>
      <family val="2"/>
    </font>
    <font>
      <b/>
      <sz val="12"/>
      <name val="Calibri"/>
      <family val="2"/>
      <scheme val="minor"/>
    </font>
    <font>
      <i/>
      <sz val="10"/>
      <color theme="1"/>
      <name val="Calibri"/>
      <family val="2"/>
      <scheme val="minor"/>
    </font>
    <font>
      <sz val="9"/>
      <color theme="1"/>
      <name val="Calibri"/>
      <family val="2"/>
      <scheme val="minor"/>
    </font>
    <font>
      <b/>
      <sz val="16"/>
      <color theme="1"/>
      <name val="Arial"/>
      <family val="2"/>
    </font>
    <font>
      <b/>
      <sz val="14"/>
      <name val="Calibri"/>
      <family val="2"/>
      <scheme val="minor"/>
    </font>
    <font>
      <i/>
      <sz val="10"/>
      <color indexed="32"/>
      <name val="Arial"/>
      <family val="2"/>
    </font>
    <font>
      <b/>
      <sz val="10"/>
      <color rgb="FF00B050"/>
      <name val="Arial"/>
      <family val="2"/>
    </font>
    <font>
      <b/>
      <sz val="10"/>
      <color theme="9" tint="-0.249977111117893"/>
      <name val="Arial"/>
      <family val="2"/>
    </font>
    <font>
      <b/>
      <sz val="11"/>
      <color rgb="FF00B050"/>
      <name val="Calibri"/>
      <family val="2"/>
      <scheme val="minor"/>
    </font>
    <font>
      <sz val="10"/>
      <color rgb="FFFF0000"/>
      <name val="Arial"/>
      <family val="2"/>
    </font>
    <font>
      <sz val="11"/>
      <color theme="0"/>
      <name val="Calibri"/>
      <family val="2"/>
      <scheme val="minor"/>
    </font>
    <font>
      <sz val="12"/>
      <name val="Arial"/>
      <family val="2"/>
    </font>
    <font>
      <b/>
      <sz val="13"/>
      <color theme="1"/>
      <name val="Arial"/>
      <family val="2"/>
    </font>
    <font>
      <i/>
      <sz val="11"/>
      <color theme="0"/>
      <name val="Calibri"/>
      <family val="2"/>
      <scheme val="minor"/>
    </font>
    <font>
      <b/>
      <sz val="13"/>
      <color rgb="FF002060"/>
      <name val="Arial"/>
      <family val="2"/>
    </font>
  </fonts>
  <fills count="22">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rgb="FFDFCFC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D9FDD1"/>
        <bgColor indexed="64"/>
      </patternFill>
    </fill>
    <fill>
      <patternFill patternType="solid">
        <fgColor theme="0"/>
      </patternFill>
    </fill>
    <fill>
      <patternFill patternType="solid">
        <fgColor rgb="FFFFCCFF"/>
        <bgColor indexed="64"/>
      </patternFill>
    </fill>
    <fill>
      <patternFill patternType="solid">
        <fgColor rgb="FF66FF33"/>
        <bgColor indexed="64"/>
      </patternFill>
    </fill>
    <fill>
      <patternFill patternType="solid">
        <fgColor theme="0" tint="-0.14999847407452621"/>
        <bgColor indexed="64"/>
      </patternFill>
    </fill>
    <fill>
      <patternFill patternType="solid">
        <fgColor theme="6" tint="-0.249977111117893"/>
        <bgColor indexed="64"/>
      </patternFill>
    </fill>
  </fills>
  <borders count="82">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hair">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s>
  <cellStyleXfs count="5">
    <xf numFmtId="0" fontId="0" fillId="0" borderId="0"/>
    <xf numFmtId="9" fontId="33" fillId="0" borderId="0" applyFont="0" applyFill="0" applyBorder="0" applyAlignment="0" applyProtection="0"/>
    <xf numFmtId="0" fontId="6" fillId="0" borderId="0"/>
    <xf numFmtId="164" fontId="33" fillId="0" borderId="0" applyFont="0" applyFill="0" applyBorder="0" applyAlignment="0" applyProtection="0"/>
    <xf numFmtId="0" fontId="16" fillId="0" borderId="0"/>
  </cellStyleXfs>
  <cellXfs count="734">
    <xf numFmtId="0" fontId="0" fillId="0" borderId="0" xfId="0"/>
    <xf numFmtId="0" fontId="2" fillId="0" borderId="0" xfId="0" applyFont="1" applyAlignment="1">
      <alignment horizontal="center"/>
    </xf>
    <xf numFmtId="0" fontId="0" fillId="0" borderId="0" xfId="0" applyAlignment="1">
      <alignment horizontal="center"/>
    </xf>
    <xf numFmtId="0" fontId="0" fillId="0" borderId="0" xfId="0" applyAlignment="1">
      <alignment vertical="top" wrapText="1"/>
    </xf>
    <xf numFmtId="0" fontId="6" fillId="0" borderId="4" xfId="2" applyBorder="1" applyAlignment="1">
      <alignment horizontal="left"/>
    </xf>
    <xf numFmtId="0" fontId="0" fillId="0" borderId="4" xfId="0" applyBorder="1"/>
    <xf numFmtId="9" fontId="0" fillId="0" borderId="4" xfId="0" applyNumberFormat="1" applyBorder="1" applyAlignment="1">
      <alignment horizontal="center"/>
    </xf>
    <xf numFmtId="0" fontId="9" fillId="7" borderId="4" xfId="2" applyFont="1" applyFill="1" applyBorder="1" applyAlignment="1">
      <alignment horizontal="left"/>
    </xf>
    <xf numFmtId="0" fontId="3" fillId="7" borderId="4" xfId="2" applyFont="1" applyFill="1" applyBorder="1" applyAlignment="1">
      <alignment horizontal="left"/>
    </xf>
    <xf numFmtId="9" fontId="11" fillId="7" borderId="4" xfId="0" applyNumberFormat="1" applyFont="1" applyFill="1" applyBorder="1" applyAlignment="1">
      <alignment horizontal="center"/>
    </xf>
    <xf numFmtId="0" fontId="6" fillId="8" borderId="4" xfId="2" applyFill="1" applyBorder="1" applyAlignment="1">
      <alignment horizontal="left"/>
    </xf>
    <xf numFmtId="9" fontId="0" fillId="8" borderId="4" xfId="0" applyNumberFormat="1" applyFill="1" applyBorder="1" applyAlignment="1">
      <alignment horizontal="center"/>
    </xf>
    <xf numFmtId="0" fontId="0" fillId="0" borderId="4" xfId="0" applyBorder="1" applyAlignment="1">
      <alignment horizontal="center"/>
    </xf>
    <xf numFmtId="9" fontId="0" fillId="0" borderId="4" xfId="0" applyNumberFormat="1" applyBorder="1"/>
    <xf numFmtId="4" fontId="0" fillId="0" borderId="4" xfId="0" applyNumberFormat="1" applyBorder="1"/>
    <xf numFmtId="0" fontId="2" fillId="0" borderId="4" xfId="0" applyFont="1" applyBorder="1" applyAlignment="1">
      <alignment horizontal="center"/>
    </xf>
    <xf numFmtId="0" fontId="34" fillId="0" borderId="4" xfId="0" applyFont="1" applyBorder="1" applyAlignment="1">
      <alignment horizontal="center"/>
    </xf>
    <xf numFmtId="9" fontId="33" fillId="0" borderId="4" xfId="1" applyFont="1" applyBorder="1"/>
    <xf numFmtId="170" fontId="0" fillId="0" borderId="0" xfId="0" applyNumberFormat="1"/>
    <xf numFmtId="170" fontId="0" fillId="0" borderId="4" xfId="0" applyNumberFormat="1" applyBorder="1"/>
    <xf numFmtId="0" fontId="34" fillId="0" borderId="4" xfId="0" applyFont="1" applyBorder="1"/>
    <xf numFmtId="170" fontId="34" fillId="0" borderId="4" xfId="0" applyNumberFormat="1" applyFont="1" applyBorder="1" applyAlignment="1">
      <alignment horizontal="center"/>
    </xf>
    <xf numFmtId="4" fontId="11" fillId="7" borderId="4" xfId="0" applyNumberFormat="1" applyFont="1" applyFill="1" applyBorder="1" applyAlignment="1">
      <alignment horizontal="center"/>
    </xf>
    <xf numFmtId="3" fontId="18" fillId="7" borderId="24" xfId="0" applyNumberFormat="1" applyFont="1" applyFill="1" applyBorder="1" applyAlignment="1" applyProtection="1">
      <alignment horizontal="center" vertical="center"/>
      <protection locked="0"/>
    </xf>
    <xf numFmtId="170" fontId="16" fillId="11" borderId="25" xfId="0" applyNumberFormat="1" applyFont="1" applyFill="1" applyBorder="1" applyAlignment="1" applyProtection="1">
      <alignment horizontal="center" vertical="center"/>
      <protection locked="0"/>
    </xf>
    <xf numFmtId="172" fontId="16" fillId="11" borderId="26" xfId="0" applyNumberFormat="1" applyFont="1" applyFill="1" applyBorder="1" applyAlignment="1" applyProtection="1">
      <alignment horizontal="center" vertical="center"/>
      <protection locked="0"/>
    </xf>
    <xf numFmtId="170" fontId="17" fillId="11" borderId="7" xfId="0" applyNumberFormat="1" applyFont="1" applyFill="1" applyBorder="1" applyAlignment="1" applyProtection="1">
      <alignment horizontal="center" vertical="center"/>
      <protection locked="0"/>
    </xf>
    <xf numFmtId="170" fontId="17" fillId="12" borderId="24" xfId="0" applyNumberFormat="1" applyFont="1" applyFill="1" applyBorder="1" applyAlignment="1" applyProtection="1">
      <alignment horizontal="center" vertical="center"/>
      <protection locked="0"/>
    </xf>
    <xf numFmtId="170" fontId="17" fillId="12" borderId="4" xfId="0" applyNumberFormat="1" applyFont="1" applyFill="1" applyBorder="1" applyAlignment="1" applyProtection="1">
      <alignment horizontal="center" vertical="center"/>
      <protection locked="0"/>
    </xf>
    <xf numFmtId="170" fontId="17" fillId="12" borderId="6" xfId="0" applyNumberFormat="1" applyFont="1" applyFill="1" applyBorder="1" applyAlignment="1" applyProtection="1">
      <alignment horizontal="center" vertical="center"/>
      <protection locked="0"/>
    </xf>
    <xf numFmtId="170" fontId="16" fillId="11" borderId="27" xfId="0" applyNumberFormat="1" applyFont="1" applyFill="1" applyBorder="1" applyAlignment="1" applyProtection="1">
      <alignment horizontal="center" vertical="center"/>
      <protection locked="0"/>
    </xf>
    <xf numFmtId="3" fontId="18" fillId="7" borderId="28" xfId="0" applyNumberFormat="1" applyFont="1" applyFill="1" applyBorder="1" applyAlignment="1" applyProtection="1">
      <alignment horizontal="center" vertical="center"/>
      <protection locked="0"/>
    </xf>
    <xf numFmtId="3" fontId="37" fillId="4" borderId="29" xfId="0" applyNumberFormat="1" applyFont="1" applyFill="1" applyBorder="1" applyAlignment="1" applyProtection="1">
      <alignment vertical="center"/>
      <protection locked="0"/>
    </xf>
    <xf numFmtId="3" fontId="37" fillId="4" borderId="30" xfId="0" applyNumberFormat="1" applyFont="1" applyFill="1" applyBorder="1" applyAlignment="1" applyProtection="1">
      <alignment horizontal="center" vertical="center"/>
      <protection locked="0"/>
    </xf>
    <xf numFmtId="0" fontId="19" fillId="11" borderId="0" xfId="0" applyFont="1" applyFill="1" applyAlignment="1" applyProtection="1">
      <alignment horizontal="center" vertical="center"/>
      <protection locked="0"/>
    </xf>
    <xf numFmtId="4" fontId="18" fillId="0" borderId="7" xfId="0" applyNumberFormat="1" applyFont="1" applyBorder="1" applyAlignment="1" applyProtection="1">
      <alignment horizontal="center" vertical="center"/>
      <protection locked="0"/>
    </xf>
    <xf numFmtId="3" fontId="17" fillId="11" borderId="31" xfId="0" applyNumberFormat="1" applyFont="1" applyFill="1" applyBorder="1" applyAlignment="1" applyProtection="1">
      <alignment horizontal="center" vertical="center"/>
      <protection locked="0"/>
    </xf>
    <xf numFmtId="0" fontId="16" fillId="11" borderId="20" xfId="0"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3" fontId="16" fillId="11" borderId="4" xfId="0" applyNumberFormat="1" applyFont="1" applyFill="1" applyBorder="1" applyAlignment="1" applyProtection="1">
      <alignment horizontal="center" vertical="center"/>
      <protection locked="0"/>
    </xf>
    <xf numFmtId="9" fontId="16" fillId="11" borderId="33" xfId="1" applyFont="1" applyFill="1" applyBorder="1" applyAlignment="1" applyProtection="1">
      <alignment horizontal="center" vertical="center"/>
      <protection locked="0"/>
    </xf>
    <xf numFmtId="9" fontId="18" fillId="13" borderId="34" xfId="1" applyFont="1" applyFill="1" applyBorder="1" applyAlignment="1" applyProtection="1">
      <alignment horizontal="center" vertical="center"/>
      <protection locked="0"/>
    </xf>
    <xf numFmtId="9" fontId="18" fillId="13" borderId="6" xfId="1" applyFont="1" applyFill="1" applyBorder="1" applyAlignment="1" applyProtection="1">
      <alignment horizontal="center" vertical="center"/>
      <protection locked="0"/>
    </xf>
    <xf numFmtId="3" fontId="16" fillId="11" borderId="23" xfId="0" applyNumberFormat="1" applyFont="1" applyFill="1" applyBorder="1" applyAlignment="1" applyProtection="1">
      <alignment horizontal="center" vertical="center"/>
      <protection locked="0"/>
    </xf>
    <xf numFmtId="172" fontId="16" fillId="11" borderId="35" xfId="0" applyNumberFormat="1" applyFont="1" applyFill="1" applyBorder="1" applyAlignment="1" applyProtection="1">
      <alignment horizontal="center" vertical="center"/>
      <protection locked="0"/>
    </xf>
    <xf numFmtId="170" fontId="17" fillId="11" borderId="20" xfId="0" applyNumberFormat="1" applyFont="1" applyFill="1" applyBorder="1" applyAlignment="1" applyProtection="1">
      <alignment horizontal="center" vertical="center"/>
      <protection locked="0"/>
    </xf>
    <xf numFmtId="170" fontId="17" fillId="11" borderId="0" xfId="0" applyNumberFormat="1" applyFont="1" applyFill="1" applyAlignment="1" applyProtection="1">
      <alignment horizontal="center" vertical="center"/>
      <protection locked="0"/>
    </xf>
    <xf numFmtId="170" fontId="17" fillId="11" borderId="11" xfId="0" applyNumberFormat="1" applyFont="1" applyFill="1" applyBorder="1" applyAlignment="1" applyProtection="1">
      <alignment horizontal="center" vertical="center"/>
      <protection locked="0"/>
    </xf>
    <xf numFmtId="170" fontId="38" fillId="11" borderId="0" xfId="0" applyNumberFormat="1" applyFont="1" applyFill="1"/>
    <xf numFmtId="170" fontId="38" fillId="11" borderId="11" xfId="0" applyNumberFormat="1" applyFont="1" applyFill="1" applyBorder="1"/>
    <xf numFmtId="3" fontId="37" fillId="4" borderId="36" xfId="0" applyNumberFormat="1" applyFont="1" applyFill="1" applyBorder="1" applyAlignment="1" applyProtection="1">
      <alignment horizontal="left" vertical="center"/>
      <protection locked="0"/>
    </xf>
    <xf numFmtId="4" fontId="18" fillId="4" borderId="7" xfId="0" applyNumberFormat="1" applyFont="1" applyFill="1" applyBorder="1" applyAlignment="1" applyProtection="1">
      <alignment horizontal="center" vertical="center"/>
      <protection locked="0"/>
    </xf>
    <xf numFmtId="3" fontId="17" fillId="11" borderId="37" xfId="0" applyNumberFormat="1" applyFont="1" applyFill="1" applyBorder="1" applyAlignment="1" applyProtection="1">
      <alignment horizontal="center" vertical="center"/>
      <protection locked="0"/>
    </xf>
    <xf numFmtId="0" fontId="16" fillId="11" borderId="0" xfId="0" applyFont="1" applyFill="1" applyAlignment="1" applyProtection="1">
      <alignment horizontal="center" vertical="center"/>
      <protection locked="0"/>
    </xf>
    <xf numFmtId="0" fontId="38" fillId="0" borderId="9" xfId="0" applyFont="1" applyBorder="1"/>
    <xf numFmtId="0" fontId="38" fillId="0" borderId="10" xfId="0" applyFont="1" applyBorder="1"/>
    <xf numFmtId="0" fontId="38" fillId="0" borderId="16" xfId="0" applyFont="1" applyBorder="1"/>
    <xf numFmtId="0" fontId="38" fillId="0" borderId="17" xfId="0" applyFont="1" applyBorder="1"/>
    <xf numFmtId="3" fontId="21" fillId="0" borderId="10" xfId="0" applyNumberFormat="1" applyFont="1" applyBorder="1" applyAlignment="1" applyProtection="1">
      <alignment horizontal="center" vertical="center"/>
      <protection locked="0"/>
    </xf>
    <xf numFmtId="3" fontId="21" fillId="0" borderId="17" xfId="0" applyNumberFormat="1" applyFont="1" applyBorder="1" applyAlignment="1" applyProtection="1">
      <alignment horizontal="center" vertical="center"/>
      <protection locked="0"/>
    </xf>
    <xf numFmtId="3" fontId="21" fillId="0" borderId="9" xfId="0" applyNumberFormat="1" applyFont="1" applyBorder="1" applyAlignment="1" applyProtection="1">
      <alignment horizontal="center" vertical="center"/>
      <protection locked="0"/>
    </xf>
    <xf numFmtId="3" fontId="22" fillId="11" borderId="38" xfId="0" applyNumberFormat="1" applyFont="1" applyFill="1" applyBorder="1" applyAlignment="1" applyProtection="1">
      <alignment horizontal="center" vertical="center" textRotation="90"/>
      <protection locked="0"/>
    </xf>
    <xf numFmtId="3" fontId="22" fillId="14" borderId="40" xfId="0" applyNumberFormat="1" applyFont="1" applyFill="1" applyBorder="1" applyAlignment="1" applyProtection="1">
      <alignment horizontal="center" vertical="center" textRotation="90"/>
      <protection locked="0"/>
    </xf>
    <xf numFmtId="3" fontId="22" fillId="14" borderId="38" xfId="0" applyNumberFormat="1" applyFont="1" applyFill="1" applyBorder="1" applyAlignment="1" applyProtection="1">
      <alignment horizontal="center" vertical="center" textRotation="90"/>
      <protection locked="0"/>
    </xf>
    <xf numFmtId="3" fontId="22" fillId="14" borderId="41" xfId="0" applyNumberFormat="1" applyFont="1" applyFill="1" applyBorder="1" applyAlignment="1" applyProtection="1">
      <alignment horizontal="center" vertical="center" textRotation="90"/>
      <protection locked="0"/>
    </xf>
    <xf numFmtId="3" fontId="22" fillId="14" borderId="42" xfId="0" applyNumberFormat="1" applyFont="1" applyFill="1" applyBorder="1" applyAlignment="1" applyProtection="1">
      <alignment horizontal="center" vertical="center" textRotation="90"/>
      <protection locked="0"/>
    </xf>
    <xf numFmtId="3" fontId="22" fillId="12" borderId="41" xfId="0" applyNumberFormat="1" applyFont="1" applyFill="1" applyBorder="1" applyAlignment="1" applyProtection="1">
      <alignment horizontal="center" vertical="center" textRotation="90"/>
      <protection locked="0"/>
    </xf>
    <xf numFmtId="3" fontId="22" fillId="12" borderId="39" xfId="0" applyNumberFormat="1" applyFont="1" applyFill="1" applyBorder="1" applyAlignment="1" applyProtection="1">
      <alignment horizontal="center" vertical="center" textRotation="90"/>
      <protection locked="0"/>
    </xf>
    <xf numFmtId="3" fontId="22" fillId="12" borderId="3" xfId="0" applyNumberFormat="1" applyFont="1" applyFill="1" applyBorder="1" applyAlignment="1" applyProtection="1">
      <alignment horizontal="center" vertical="center" textRotation="90"/>
      <protection locked="0"/>
    </xf>
    <xf numFmtId="3" fontId="22" fillId="8" borderId="38" xfId="0" applyNumberFormat="1" applyFont="1" applyFill="1" applyBorder="1" applyAlignment="1" applyProtection="1">
      <alignment horizontal="center" vertical="center" textRotation="90"/>
      <protection locked="0"/>
    </xf>
    <xf numFmtId="3" fontId="22" fillId="8" borderId="41" xfId="0" applyNumberFormat="1" applyFont="1" applyFill="1" applyBorder="1" applyAlignment="1" applyProtection="1">
      <alignment horizontal="center" vertical="center" textRotation="90"/>
      <protection locked="0"/>
    </xf>
    <xf numFmtId="3" fontId="22" fillId="8" borderId="42" xfId="0" applyNumberFormat="1" applyFont="1" applyFill="1" applyBorder="1" applyAlignment="1" applyProtection="1">
      <alignment horizontal="center" vertical="center" textRotation="90"/>
      <protection locked="0"/>
    </xf>
    <xf numFmtId="0" fontId="23" fillId="0" borderId="0" xfId="0" applyFont="1"/>
    <xf numFmtId="0" fontId="24" fillId="11" borderId="22" xfId="0" applyFont="1" applyFill="1" applyBorder="1" applyAlignment="1" applyProtection="1">
      <alignment horizontal="center" vertical="center"/>
      <protection locked="0"/>
    </xf>
    <xf numFmtId="3" fontId="26" fillId="11" borderId="25" xfId="0" applyNumberFormat="1" applyFont="1" applyFill="1" applyBorder="1" applyAlignment="1" applyProtection="1">
      <alignment horizontal="center" vertical="center"/>
      <protection locked="0"/>
    </xf>
    <xf numFmtId="170" fontId="27" fillId="8" borderId="35" xfId="0" applyNumberFormat="1" applyFont="1" applyFill="1" applyBorder="1" applyAlignment="1" applyProtection="1">
      <alignment horizontal="center" vertical="center"/>
      <protection locked="0"/>
    </xf>
    <xf numFmtId="170" fontId="27" fillId="8" borderId="44" xfId="0" applyNumberFormat="1" applyFont="1" applyFill="1" applyBorder="1" applyAlignment="1" applyProtection="1">
      <alignment horizontal="center" vertical="center"/>
      <protection locked="0"/>
    </xf>
    <xf numFmtId="0" fontId="26" fillId="11" borderId="22" xfId="0" applyFont="1" applyFill="1" applyBorder="1" applyAlignment="1" applyProtection="1">
      <alignment horizontal="center" vertical="center"/>
      <protection locked="0"/>
    </xf>
    <xf numFmtId="0" fontId="0" fillId="0" borderId="0" xfId="0" applyAlignment="1">
      <alignment vertical="center"/>
    </xf>
    <xf numFmtId="171" fontId="41" fillId="11" borderId="46" xfId="0" applyNumberFormat="1" applyFont="1" applyFill="1" applyBorder="1" applyAlignment="1" applyProtection="1">
      <alignment horizontal="center" vertical="center"/>
      <protection locked="0"/>
    </xf>
    <xf numFmtId="0" fontId="34" fillId="11" borderId="1" xfId="0" applyFont="1" applyFill="1" applyBorder="1" applyAlignment="1">
      <alignment horizontal="right"/>
    </xf>
    <xf numFmtId="0" fontId="26" fillId="11" borderId="20" xfId="0" applyFont="1" applyFill="1" applyBorder="1" applyAlignment="1" applyProtection="1">
      <alignment vertical="center"/>
      <protection locked="0"/>
    </xf>
    <xf numFmtId="0" fontId="26" fillId="11" borderId="0" xfId="0" applyFont="1" applyFill="1" applyAlignment="1" applyProtection="1">
      <alignment vertical="center"/>
      <protection locked="0"/>
    </xf>
    <xf numFmtId="0" fontId="26" fillId="11" borderId="11" xfId="0" applyFont="1" applyFill="1" applyBorder="1" applyAlignment="1" applyProtection="1">
      <alignment vertical="center"/>
      <protection locked="0"/>
    </xf>
    <xf numFmtId="171" fontId="26" fillId="11" borderId="20" xfId="0" applyNumberFormat="1" applyFont="1" applyFill="1" applyBorder="1" applyAlignment="1" applyProtection="1">
      <alignment horizontal="center" vertical="center"/>
      <protection locked="0"/>
    </xf>
    <xf numFmtId="171" fontId="26" fillId="11" borderId="0" xfId="0" applyNumberFormat="1" applyFont="1" applyFill="1" applyAlignment="1" applyProtection="1">
      <alignment horizontal="center" vertical="center"/>
      <protection locked="0"/>
    </xf>
    <xf numFmtId="4" fontId="42" fillId="11" borderId="20" xfId="0" applyNumberFormat="1" applyFont="1" applyFill="1" applyBorder="1" applyAlignment="1">
      <alignment horizontal="center" vertical="center"/>
    </xf>
    <xf numFmtId="4" fontId="42" fillId="11" borderId="0" xfId="0" applyNumberFormat="1" applyFont="1" applyFill="1" applyAlignment="1">
      <alignment horizontal="center" vertical="center"/>
    </xf>
    <xf numFmtId="4" fontId="42" fillId="11" borderId="11" xfId="0" applyNumberFormat="1" applyFont="1" applyFill="1" applyBorder="1" applyAlignment="1">
      <alignment horizontal="center" vertical="center"/>
    </xf>
    <xf numFmtId="3" fontId="24" fillId="11" borderId="0" xfId="0" applyNumberFormat="1" applyFont="1" applyFill="1" applyAlignment="1" applyProtection="1">
      <alignment horizontal="center" vertical="center"/>
      <protection locked="0"/>
    </xf>
    <xf numFmtId="3" fontId="24" fillId="11" borderId="11" xfId="0" applyNumberFormat="1" applyFont="1" applyFill="1" applyBorder="1" applyAlignment="1" applyProtection="1">
      <alignment horizontal="center" vertical="center"/>
      <protection locked="0"/>
    </xf>
    <xf numFmtId="3" fontId="28" fillId="11" borderId="19" xfId="0" applyNumberFormat="1" applyFont="1" applyFill="1" applyBorder="1" applyAlignment="1" applyProtection="1">
      <alignment horizontal="center" vertical="center"/>
      <protection locked="0"/>
    </xf>
    <xf numFmtId="3" fontId="29" fillId="11" borderId="19" xfId="0" applyNumberFormat="1" applyFont="1" applyFill="1" applyBorder="1" applyAlignment="1" applyProtection="1">
      <alignment horizontal="center" vertical="center"/>
      <protection locked="0"/>
    </xf>
    <xf numFmtId="166" fontId="26" fillId="11" borderId="0" xfId="0" applyNumberFormat="1" applyFont="1" applyFill="1" applyAlignment="1">
      <alignment horizontal="center" vertical="center"/>
    </xf>
    <xf numFmtId="3" fontId="30" fillId="11" borderId="0" xfId="0" applyNumberFormat="1" applyFont="1" applyFill="1" applyAlignment="1" applyProtection="1">
      <alignment horizontal="center" vertical="center"/>
      <protection locked="0"/>
    </xf>
    <xf numFmtId="3" fontId="30" fillId="11" borderId="20" xfId="0" applyNumberFormat="1" applyFont="1" applyFill="1" applyBorder="1" applyAlignment="1" applyProtection="1">
      <alignment horizontal="center" vertical="center"/>
      <protection locked="0"/>
    </xf>
    <xf numFmtId="3" fontId="30" fillId="11" borderId="11" xfId="0" applyNumberFormat="1" applyFont="1" applyFill="1" applyBorder="1" applyAlignment="1" applyProtection="1">
      <alignment horizontal="center" vertical="center"/>
      <protection locked="0"/>
    </xf>
    <xf numFmtId="3" fontId="28" fillId="11" borderId="22" xfId="0" applyNumberFormat="1" applyFont="1" applyFill="1" applyBorder="1" applyAlignment="1" applyProtection="1">
      <alignment horizontal="center" vertical="center"/>
      <protection locked="0"/>
    </xf>
    <xf numFmtId="3" fontId="29" fillId="11" borderId="22" xfId="0" applyNumberFormat="1" applyFont="1" applyFill="1" applyBorder="1" applyAlignment="1" applyProtection="1">
      <alignment horizontal="center" vertical="center"/>
      <protection locked="0"/>
    </xf>
    <xf numFmtId="4" fontId="24" fillId="0" borderId="3" xfId="0" applyNumberFormat="1" applyFont="1" applyBorder="1" applyAlignment="1">
      <alignment horizontal="center" vertical="center"/>
    </xf>
    <xf numFmtId="4" fontId="24" fillId="0" borderId="54" xfId="0" applyNumberFormat="1" applyFont="1" applyBorder="1" applyAlignment="1">
      <alignment horizontal="center" vertical="center"/>
    </xf>
    <xf numFmtId="4" fontId="24" fillId="0" borderId="55" xfId="0" applyNumberFormat="1" applyFont="1" applyBorder="1" applyAlignment="1">
      <alignment horizontal="center" vertical="center"/>
    </xf>
    <xf numFmtId="0" fontId="38" fillId="11" borderId="0" xfId="0" applyFont="1" applyFill="1"/>
    <xf numFmtId="0" fontId="38" fillId="11" borderId="11" xfId="0" applyFont="1" applyFill="1" applyBorder="1"/>
    <xf numFmtId="3" fontId="28" fillId="11" borderId="17" xfId="0" applyNumberFormat="1" applyFont="1" applyFill="1" applyBorder="1" applyAlignment="1" applyProtection="1">
      <alignment horizontal="center" vertical="center"/>
      <protection locked="0"/>
    </xf>
    <xf numFmtId="3" fontId="29" fillId="11" borderId="17" xfId="0" applyNumberFormat="1" applyFont="1" applyFill="1" applyBorder="1" applyAlignment="1" applyProtection="1">
      <alignment horizontal="center" vertical="center"/>
      <protection locked="0"/>
    </xf>
    <xf numFmtId="174" fontId="31" fillId="11" borderId="0" xfId="0" applyNumberFormat="1" applyFont="1" applyFill="1" applyAlignment="1" applyProtection="1">
      <alignment horizontal="right" vertical="center"/>
      <protection locked="0"/>
    </xf>
    <xf numFmtId="174" fontId="31" fillId="11" borderId="0" xfId="0" applyNumberFormat="1" applyFont="1" applyFill="1" applyAlignment="1" applyProtection="1">
      <alignment horizontal="center" vertical="center"/>
      <protection locked="0"/>
    </xf>
    <xf numFmtId="4" fontId="24" fillId="11" borderId="9" xfId="0" applyNumberFormat="1" applyFont="1" applyFill="1" applyBorder="1" applyAlignment="1">
      <alignment horizontal="center" vertical="center"/>
    </xf>
    <xf numFmtId="4" fontId="24" fillId="11" borderId="11" xfId="0" applyNumberFormat="1" applyFont="1" applyFill="1" applyBorder="1" applyAlignment="1">
      <alignment horizontal="center" vertical="center"/>
    </xf>
    <xf numFmtId="4" fontId="32" fillId="11" borderId="1" xfId="0" applyNumberFormat="1" applyFont="1" applyFill="1" applyBorder="1" applyAlignment="1" applyProtection="1">
      <alignment horizontal="center" vertical="center"/>
      <protection locked="0"/>
    </xf>
    <xf numFmtId="4" fontId="32" fillId="11" borderId="11" xfId="0" applyNumberFormat="1" applyFont="1" applyFill="1" applyBorder="1" applyAlignment="1" applyProtection="1">
      <alignment horizontal="center" vertical="center"/>
      <protection locked="0"/>
    </xf>
    <xf numFmtId="167" fontId="28" fillId="11" borderId="1" xfId="0" applyNumberFormat="1" applyFont="1" applyFill="1" applyBorder="1" applyAlignment="1" applyProtection="1">
      <alignment horizontal="center" vertical="center"/>
      <protection locked="0"/>
    </xf>
    <xf numFmtId="167" fontId="28" fillId="11" borderId="11" xfId="0" applyNumberFormat="1" applyFont="1" applyFill="1" applyBorder="1" applyAlignment="1" applyProtection="1">
      <alignment horizontal="center" vertical="center"/>
      <protection locked="0"/>
    </xf>
    <xf numFmtId="4" fontId="28" fillId="11" borderId="1" xfId="0" applyNumberFormat="1" applyFont="1" applyFill="1" applyBorder="1" applyAlignment="1" applyProtection="1">
      <alignment horizontal="center" vertical="center"/>
      <protection locked="0"/>
    </xf>
    <xf numFmtId="0" fontId="34" fillId="11" borderId="2" xfId="0" applyFont="1" applyFill="1" applyBorder="1" applyAlignment="1">
      <alignment horizontal="right"/>
    </xf>
    <xf numFmtId="4" fontId="28" fillId="11" borderId="2" xfId="0" applyNumberFormat="1" applyFont="1" applyFill="1" applyBorder="1" applyAlignment="1" applyProtection="1">
      <alignment horizontal="center" vertical="center"/>
      <protection locked="0"/>
    </xf>
    <xf numFmtId="4" fontId="28" fillId="11" borderId="12" xfId="0" applyNumberFormat="1" applyFont="1" applyFill="1" applyBorder="1" applyAlignment="1" applyProtection="1">
      <alignment horizontal="center" vertical="center"/>
      <protection locked="0"/>
    </xf>
    <xf numFmtId="0" fontId="38" fillId="11" borderId="19" xfId="0" applyFont="1" applyFill="1" applyBorder="1"/>
    <xf numFmtId="0" fontId="38" fillId="11" borderId="12" xfId="0" applyFont="1" applyFill="1" applyBorder="1"/>
    <xf numFmtId="0" fontId="38" fillId="0" borderId="0" xfId="0" applyFont="1"/>
    <xf numFmtId="3" fontId="37" fillId="4" borderId="36" xfId="0" applyNumberFormat="1" applyFont="1" applyFill="1" applyBorder="1" applyAlignment="1" applyProtection="1">
      <alignment vertical="center"/>
      <protection locked="0"/>
    </xf>
    <xf numFmtId="3" fontId="17" fillId="11" borderId="56" xfId="0" applyNumberFormat="1" applyFont="1" applyFill="1" applyBorder="1" applyAlignment="1" applyProtection="1">
      <alignment horizontal="center" vertical="center"/>
      <protection locked="0"/>
    </xf>
    <xf numFmtId="170" fontId="16" fillId="11" borderId="30" xfId="0" applyNumberFormat="1" applyFont="1" applyFill="1" applyBorder="1" applyAlignment="1" applyProtection="1">
      <alignment horizontal="center" vertical="center"/>
      <protection locked="0"/>
    </xf>
    <xf numFmtId="3" fontId="37" fillId="4" borderId="29" xfId="0" applyNumberFormat="1" applyFont="1" applyFill="1" applyBorder="1" applyAlignment="1" applyProtection="1">
      <alignment horizontal="left" vertical="center"/>
      <protection locked="0"/>
    </xf>
    <xf numFmtId="4" fontId="18" fillId="0" borderId="57" xfId="0" applyNumberFormat="1" applyFont="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3" fontId="16" fillId="11" borderId="14" xfId="0" applyNumberFormat="1" applyFont="1" applyFill="1" applyBorder="1" applyAlignment="1" applyProtection="1">
      <alignment horizontal="center" vertical="center"/>
      <protection locked="0"/>
    </xf>
    <xf numFmtId="9" fontId="18" fillId="13" borderId="58" xfId="1" applyFont="1" applyFill="1" applyBorder="1" applyAlignment="1" applyProtection="1">
      <alignment horizontal="center" vertical="center"/>
      <protection locked="0"/>
    </xf>
    <xf numFmtId="3" fontId="16" fillId="11" borderId="59" xfId="0" applyNumberFormat="1" applyFont="1" applyFill="1" applyBorder="1" applyAlignment="1" applyProtection="1">
      <alignment horizontal="center" vertical="center"/>
      <protection locked="0"/>
    </xf>
    <xf numFmtId="172" fontId="16" fillId="11" borderId="60" xfId="0" applyNumberFormat="1" applyFont="1" applyFill="1" applyBorder="1" applyAlignment="1" applyProtection="1">
      <alignment horizontal="center" vertical="center"/>
      <protection locked="0"/>
    </xf>
    <xf numFmtId="170" fontId="16" fillId="11" borderId="61" xfId="0" applyNumberFormat="1" applyFont="1" applyFill="1" applyBorder="1" applyAlignment="1" applyProtection="1">
      <alignment horizontal="center" vertical="center"/>
      <protection locked="0"/>
    </xf>
    <xf numFmtId="170" fontId="17" fillId="11" borderId="57" xfId="0" applyNumberFormat="1" applyFont="1" applyFill="1" applyBorder="1" applyAlignment="1" applyProtection="1">
      <alignment horizontal="center" vertical="center"/>
      <protection locked="0"/>
    </xf>
    <xf numFmtId="170" fontId="17" fillId="12" borderId="13" xfId="0" applyNumberFormat="1" applyFont="1" applyFill="1" applyBorder="1" applyAlignment="1" applyProtection="1">
      <alignment horizontal="center" vertical="center"/>
      <protection locked="0"/>
    </xf>
    <xf numFmtId="170" fontId="17" fillId="12" borderId="14" xfId="0" applyNumberFormat="1" applyFont="1" applyFill="1" applyBorder="1" applyAlignment="1" applyProtection="1">
      <alignment horizontal="center" vertical="center"/>
      <protection locked="0"/>
    </xf>
    <xf numFmtId="170" fontId="17" fillId="12" borderId="58" xfId="0" applyNumberFormat="1" applyFont="1" applyFill="1" applyBorder="1" applyAlignment="1" applyProtection="1">
      <alignment horizontal="center" vertical="center"/>
      <protection locked="0"/>
    </xf>
    <xf numFmtId="170" fontId="16" fillId="11" borderId="62" xfId="0" applyNumberFormat="1" applyFont="1" applyFill="1" applyBorder="1" applyAlignment="1" applyProtection="1">
      <alignment horizontal="center" vertical="center"/>
      <protection locked="0"/>
    </xf>
    <xf numFmtId="3" fontId="22" fillId="9" borderId="3" xfId="0" applyNumberFormat="1" applyFont="1" applyFill="1" applyBorder="1" applyAlignment="1" applyProtection="1">
      <alignment horizontal="center" vertical="center" textRotation="90"/>
      <protection locked="0"/>
    </xf>
    <xf numFmtId="0" fontId="34" fillId="11" borderId="0" xfId="0" applyFont="1" applyFill="1" applyAlignment="1">
      <alignment vertical="center"/>
    </xf>
    <xf numFmtId="0" fontId="0" fillId="0" borderId="0" xfId="0" applyAlignment="1">
      <alignment vertical="top"/>
    </xf>
    <xf numFmtId="0" fontId="34" fillId="0" borderId="0" xfId="0" applyFont="1" applyAlignment="1">
      <alignment vertical="top"/>
    </xf>
    <xf numFmtId="0" fontId="0" fillId="11" borderId="0" xfId="0" applyFill="1" applyAlignment="1">
      <alignment horizontal="center" vertical="center"/>
    </xf>
    <xf numFmtId="0" fontId="0" fillId="11" borderId="0" xfId="0" applyFill="1" applyAlignment="1">
      <alignment vertical="center"/>
    </xf>
    <xf numFmtId="0" fontId="0" fillId="17" borderId="0" xfId="0" applyFill="1" applyAlignment="1">
      <alignment vertical="top"/>
    </xf>
    <xf numFmtId="0" fontId="0" fillId="17" borderId="0" xfId="0" applyFill="1" applyAlignment="1">
      <alignment vertical="center"/>
    </xf>
    <xf numFmtId="170" fontId="0" fillId="17" borderId="0" xfId="0" applyNumberFormat="1" applyFill="1" applyAlignment="1">
      <alignment horizontal="right" vertical="center"/>
    </xf>
    <xf numFmtId="178" fontId="45" fillId="17" borderId="0" xfId="3" applyNumberFormat="1" applyFont="1" applyFill="1" applyBorder="1" applyAlignment="1">
      <alignment horizontal="center" vertical="center"/>
    </xf>
    <xf numFmtId="164" fontId="46" fillId="17" borderId="0" xfId="3" applyFont="1" applyFill="1" applyBorder="1" applyAlignment="1">
      <alignment horizontal="center" vertical="center"/>
    </xf>
    <xf numFmtId="0" fontId="46" fillId="17" borderId="0" xfId="0" applyFont="1" applyFill="1" applyAlignment="1">
      <alignment vertical="center"/>
    </xf>
    <xf numFmtId="0" fontId="47" fillId="17" borderId="0" xfId="0" applyFont="1" applyFill="1" applyAlignment="1">
      <alignment horizontal="right" vertical="center"/>
    </xf>
    <xf numFmtId="0" fontId="48" fillId="17" borderId="0" xfId="0" applyFont="1" applyFill="1" applyAlignment="1">
      <alignment horizontal="right" vertical="center"/>
    </xf>
    <xf numFmtId="0" fontId="0" fillId="17" borderId="0" xfId="0" applyFill="1"/>
    <xf numFmtId="0" fontId="0" fillId="17" borderId="10" xfId="0" applyFill="1" applyBorder="1" applyAlignment="1">
      <alignment vertical="center"/>
    </xf>
    <xf numFmtId="0" fontId="0" fillId="17" borderId="11" xfId="0" applyFill="1" applyBorder="1" applyAlignment="1">
      <alignment vertical="top"/>
    </xf>
    <xf numFmtId="0" fontId="0" fillId="17" borderId="11" xfId="0" applyFill="1" applyBorder="1" applyAlignment="1">
      <alignment vertical="center"/>
    </xf>
    <xf numFmtId="170" fontId="0" fillId="17" borderId="11" xfId="0" applyNumberFormat="1" applyFill="1" applyBorder="1" applyAlignment="1">
      <alignment vertical="center"/>
    </xf>
    <xf numFmtId="3" fontId="0" fillId="17" borderId="11" xfId="0" applyNumberFormat="1" applyFill="1" applyBorder="1" applyAlignment="1">
      <alignment vertical="center"/>
    </xf>
    <xf numFmtId="0" fontId="34" fillId="17" borderId="19" xfId="0" applyFont="1" applyFill="1" applyBorder="1" applyAlignment="1">
      <alignment vertical="top"/>
    </xf>
    <xf numFmtId="0" fontId="34" fillId="17" borderId="12" xfId="0" applyFont="1" applyFill="1" applyBorder="1" applyAlignment="1">
      <alignment vertical="top"/>
    </xf>
    <xf numFmtId="170" fontId="0" fillId="8" borderId="11" xfId="0" applyNumberFormat="1" applyFill="1" applyBorder="1" applyAlignment="1">
      <alignment horizontal="center" vertical="center"/>
    </xf>
    <xf numFmtId="0" fontId="0" fillId="11" borderId="11" xfId="0" applyFill="1" applyBorder="1" applyAlignment="1">
      <alignment horizontal="center" vertical="center"/>
    </xf>
    <xf numFmtId="0" fontId="0" fillId="11" borderId="20" xfId="0" applyFill="1" applyBorder="1" applyAlignment="1">
      <alignment horizontal="center" vertical="center"/>
    </xf>
    <xf numFmtId="0" fontId="38" fillId="11" borderId="0" xfId="0" applyFont="1" applyFill="1" applyAlignment="1">
      <alignment vertical="center"/>
    </xf>
    <xf numFmtId="0" fontId="49" fillId="11" borderId="0" xfId="0" applyFont="1" applyFill="1" applyAlignment="1">
      <alignment vertical="center"/>
    </xf>
    <xf numFmtId="9" fontId="33" fillId="11" borderId="0" xfId="1" applyFont="1" applyFill="1" applyBorder="1" applyAlignment="1">
      <alignment horizontal="center" vertical="center"/>
    </xf>
    <xf numFmtId="14" fontId="0" fillId="11" borderId="0" xfId="0" applyNumberFormat="1" applyFill="1" applyAlignment="1">
      <alignment horizontal="center"/>
    </xf>
    <xf numFmtId="0" fontId="50" fillId="11" borderId="0" xfId="0" applyFont="1" applyFill="1" applyAlignment="1">
      <alignment vertical="center"/>
    </xf>
    <xf numFmtId="170" fontId="51" fillId="0" borderId="11" xfId="0" applyNumberFormat="1" applyFont="1" applyBorder="1" applyAlignment="1">
      <alignment horizontal="center" vertical="center"/>
    </xf>
    <xf numFmtId="0" fontId="51" fillId="11" borderId="11" xfId="0" applyFont="1" applyFill="1" applyBorder="1" applyAlignment="1">
      <alignment horizontal="center" vertical="center"/>
    </xf>
    <xf numFmtId="0" fontId="0" fillId="11" borderId="19" xfId="0" applyFill="1" applyBorder="1" applyAlignment="1">
      <alignment horizontal="center"/>
    </xf>
    <xf numFmtId="0" fontId="0" fillId="17" borderId="0" xfId="0" applyFill="1" applyAlignment="1">
      <alignment horizontal="right" vertical="center"/>
    </xf>
    <xf numFmtId="0" fontId="34" fillId="17" borderId="0" xfId="0" applyFont="1" applyFill="1" applyAlignment="1">
      <alignment horizontal="center" vertical="center"/>
    </xf>
    <xf numFmtId="0" fontId="34" fillId="17" borderId="0" xfId="0" applyFont="1" applyFill="1" applyAlignment="1">
      <alignment horizontal="right" vertical="center"/>
    </xf>
    <xf numFmtId="0" fontId="52" fillId="17" borderId="0" xfId="0" applyFont="1" applyFill="1" applyAlignment="1">
      <alignment horizontal="center" vertical="center"/>
    </xf>
    <xf numFmtId="0" fontId="35" fillId="11" borderId="20" xfId="0" applyFont="1" applyFill="1" applyBorder="1" applyAlignment="1">
      <alignment horizontal="center" vertical="center"/>
    </xf>
    <xf numFmtId="0" fontId="51" fillId="11" borderId="0" xfId="0" applyFont="1" applyFill="1" applyAlignment="1">
      <alignment horizontal="center" vertical="center"/>
    </xf>
    <xf numFmtId="173" fontId="43" fillId="11" borderId="0" xfId="1" applyNumberFormat="1" applyFont="1" applyFill="1" applyBorder="1" applyAlignment="1">
      <alignment horizontal="center" vertical="center"/>
    </xf>
    <xf numFmtId="0" fontId="53" fillId="17" borderId="0" xfId="0" applyFont="1" applyFill="1" applyAlignment="1">
      <alignment horizontal="right" vertical="center"/>
    </xf>
    <xf numFmtId="0" fontId="43" fillId="17" borderId="0" xfId="0" applyFont="1" applyFill="1" applyAlignment="1">
      <alignment vertical="center"/>
    </xf>
    <xf numFmtId="0" fontId="54" fillId="17" borderId="0" xfId="0" applyFont="1" applyFill="1" applyAlignment="1">
      <alignment vertical="top"/>
    </xf>
    <xf numFmtId="170" fontId="51" fillId="8" borderId="11" xfId="0" applyNumberFormat="1" applyFont="1" applyFill="1" applyBorder="1" applyAlignment="1">
      <alignment horizontal="center" vertical="center"/>
    </xf>
    <xf numFmtId="9" fontId="51" fillId="8" borderId="0" xfId="1" applyFont="1" applyFill="1" applyBorder="1" applyAlignment="1">
      <alignment horizontal="center" vertical="center"/>
    </xf>
    <xf numFmtId="0" fontId="35" fillId="11" borderId="0" xfId="0" applyFont="1" applyFill="1" applyAlignment="1">
      <alignment horizontal="right" vertical="center"/>
    </xf>
    <xf numFmtId="170" fontId="51" fillId="11" borderId="11" xfId="0" applyNumberFormat="1" applyFont="1" applyFill="1" applyBorder="1" applyAlignment="1">
      <alignment horizontal="center" vertical="center"/>
    </xf>
    <xf numFmtId="170" fontId="20" fillId="11" borderId="3" xfId="0" applyNumberFormat="1" applyFont="1" applyFill="1" applyBorder="1" applyAlignment="1">
      <alignment horizontal="center" vertical="center"/>
    </xf>
    <xf numFmtId="0" fontId="51" fillId="17" borderId="0" xfId="0" applyFont="1" applyFill="1" applyAlignment="1">
      <alignment vertical="top"/>
    </xf>
    <xf numFmtId="49" fontId="1" fillId="7" borderId="10" xfId="0" applyNumberFormat="1" applyFont="1" applyFill="1" applyBorder="1" applyAlignment="1" applyProtection="1">
      <alignment horizontal="center" vertical="center"/>
      <protection locked="0"/>
    </xf>
    <xf numFmtId="171" fontId="26" fillId="11" borderId="11" xfId="0" applyNumberFormat="1" applyFont="1" applyFill="1" applyBorder="1" applyAlignment="1" applyProtection="1">
      <alignment horizontal="center" vertical="center"/>
      <protection locked="0"/>
    </xf>
    <xf numFmtId="3" fontId="30" fillId="11" borderId="18" xfId="0" applyNumberFormat="1" applyFont="1" applyFill="1" applyBorder="1" applyAlignment="1" applyProtection="1">
      <alignment horizontal="center" vertical="center"/>
      <protection locked="0"/>
    </xf>
    <xf numFmtId="3" fontId="30" fillId="11" borderId="19" xfId="0" applyNumberFormat="1" applyFont="1" applyFill="1" applyBorder="1" applyAlignment="1" applyProtection="1">
      <alignment horizontal="center" vertical="center"/>
      <protection locked="0"/>
    </xf>
    <xf numFmtId="3" fontId="30" fillId="11" borderId="12" xfId="0" applyNumberFormat="1" applyFont="1" applyFill="1" applyBorder="1" applyAlignment="1" applyProtection="1">
      <alignment horizontal="center" vertical="center"/>
      <protection locked="0"/>
    </xf>
    <xf numFmtId="0" fontId="51" fillId="17" borderId="0" xfId="0" applyFont="1" applyFill="1" applyAlignment="1">
      <alignment horizontal="left" vertical="center"/>
    </xf>
    <xf numFmtId="170" fontId="0" fillId="17" borderId="11" xfId="0" applyNumberFormat="1" applyFill="1" applyBorder="1" applyAlignment="1">
      <alignment vertical="top"/>
    </xf>
    <xf numFmtId="0" fontId="8" fillId="0" borderId="32"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8" fillId="0" borderId="46" xfId="0" applyFont="1" applyBorder="1" applyAlignment="1">
      <alignment horizontal="center"/>
    </xf>
    <xf numFmtId="0" fontId="73" fillId="0" borderId="46" xfId="0" applyFont="1" applyBorder="1" applyAlignment="1">
      <alignment horizontal="center"/>
    </xf>
    <xf numFmtId="0" fontId="8" fillId="0" borderId="47" xfId="0" applyFont="1" applyBorder="1" applyAlignment="1">
      <alignment horizontal="center"/>
    </xf>
    <xf numFmtId="0" fontId="37" fillId="0" borderId="4" xfId="0" applyFont="1" applyBorder="1" applyAlignment="1">
      <alignment horizontal="center"/>
    </xf>
    <xf numFmtId="0" fontId="0" fillId="0" borderId="32" xfId="0" applyBorder="1" applyAlignment="1">
      <alignment horizontal="center"/>
    </xf>
    <xf numFmtId="0" fontId="16" fillId="0" borderId="24" xfId="0" applyFont="1" applyBorder="1" applyAlignment="1">
      <alignment horizontal="center"/>
    </xf>
    <xf numFmtId="0" fontId="16" fillId="0" borderId="4" xfId="0" applyFont="1" applyBorder="1" applyAlignment="1">
      <alignment horizontal="center"/>
    </xf>
    <xf numFmtId="0" fontId="16" fillId="0" borderId="6" xfId="0" applyFont="1" applyBorder="1" applyAlignment="1">
      <alignment horizontal="center"/>
    </xf>
    <xf numFmtId="0" fontId="44" fillId="0" borderId="4" xfId="0" applyFont="1" applyBorder="1" applyAlignment="1">
      <alignment horizontal="center"/>
    </xf>
    <xf numFmtId="1" fontId="74" fillId="0" borderId="24" xfId="0" applyNumberFormat="1" applyFont="1" applyBorder="1" applyAlignment="1">
      <alignment horizontal="center"/>
    </xf>
    <xf numFmtId="1" fontId="75" fillId="6" borderId="24" xfId="0" applyNumberFormat="1" applyFont="1" applyFill="1" applyBorder="1" applyAlignment="1">
      <alignment horizontal="center"/>
    </xf>
    <xf numFmtId="1" fontId="74" fillId="0" borderId="4" xfId="0" applyNumberFormat="1" applyFont="1" applyBorder="1" applyAlignment="1">
      <alignment horizontal="center"/>
    </xf>
    <xf numFmtId="1" fontId="16" fillId="0" borderId="24" xfId="0" applyNumberFormat="1" applyFont="1" applyBorder="1" applyAlignment="1">
      <alignment horizontal="center"/>
    </xf>
    <xf numFmtId="1" fontId="75" fillId="6" borderId="4" xfId="0" applyNumberFormat="1" applyFont="1" applyFill="1" applyBorder="1" applyAlignment="1">
      <alignment horizontal="center"/>
    </xf>
    <xf numFmtId="1" fontId="16" fillId="0" borderId="4" xfId="0" applyNumberFormat="1" applyFont="1" applyBorder="1" applyAlignment="1">
      <alignment horizontal="center"/>
    </xf>
    <xf numFmtId="0" fontId="74" fillId="0" borderId="4" xfId="0" applyFont="1" applyBorder="1" applyAlignment="1">
      <alignment horizontal="center"/>
    </xf>
    <xf numFmtId="0" fontId="38" fillId="0" borderId="4" xfId="0" applyFont="1" applyBorder="1" applyAlignment="1">
      <alignment horizontal="center"/>
    </xf>
    <xf numFmtId="0" fontId="76" fillId="0" borderId="4" xfId="0" applyFont="1" applyBorder="1" applyAlignment="1">
      <alignment horizontal="center"/>
    </xf>
    <xf numFmtId="1" fontId="16" fillId="0" borderId="48" xfId="0" applyNumberFormat="1" applyFont="1" applyBorder="1" applyAlignment="1">
      <alignment horizontal="center"/>
    </xf>
    <xf numFmtId="1" fontId="16" fillId="0" borderId="51" xfId="0" applyNumberFormat="1" applyFont="1" applyBorder="1" applyAlignment="1">
      <alignment horizontal="center"/>
    </xf>
    <xf numFmtId="1" fontId="75" fillId="6" borderId="51" xfId="0" applyNumberFormat="1" applyFont="1" applyFill="1" applyBorder="1" applyAlignment="1">
      <alignment horizontal="center"/>
    </xf>
    <xf numFmtId="1" fontId="74" fillId="0" borderId="51" xfId="0" applyNumberFormat="1" applyFont="1" applyBorder="1" applyAlignment="1">
      <alignment horizontal="center"/>
    </xf>
    <xf numFmtId="0" fontId="76" fillId="0" borderId="51" xfId="0" applyFont="1" applyBorder="1" applyAlignment="1">
      <alignment horizontal="center"/>
    </xf>
    <xf numFmtId="0" fontId="76" fillId="0" borderId="52" xfId="0" applyFont="1" applyBorder="1" applyAlignment="1">
      <alignment horizontal="center"/>
    </xf>
    <xf numFmtId="0" fontId="5" fillId="5" borderId="40"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49" xfId="0" applyFont="1" applyFill="1" applyBorder="1" applyAlignment="1">
      <alignment horizontal="center" vertical="center"/>
    </xf>
    <xf numFmtId="0" fontId="10" fillId="10" borderId="16" xfId="0" applyFont="1" applyFill="1" applyBorder="1" applyAlignment="1">
      <alignment vertical="center"/>
    </xf>
    <xf numFmtId="0" fontId="0" fillId="10" borderId="17" xfId="0" applyFill="1" applyBorder="1" applyAlignment="1">
      <alignment vertical="center"/>
    </xf>
    <xf numFmtId="0" fontId="0" fillId="10" borderId="10" xfId="0" applyFill="1" applyBorder="1" applyAlignment="1">
      <alignment vertical="center"/>
    </xf>
    <xf numFmtId="0" fontId="2" fillId="6" borderId="20" xfId="0" applyFont="1" applyFill="1" applyBorder="1" applyAlignment="1">
      <alignment vertical="center"/>
    </xf>
    <xf numFmtId="168" fontId="0" fillId="6" borderId="0" xfId="0" applyNumberFormat="1" applyFill="1" applyAlignment="1">
      <alignment vertical="center"/>
    </xf>
    <xf numFmtId="0" fontId="0" fillId="6" borderId="11" xfId="0" applyFill="1" applyBorder="1" applyAlignment="1">
      <alignment vertical="center"/>
    </xf>
    <xf numFmtId="168" fontId="36" fillId="0" borderId="17" xfId="0" applyNumberFormat="1" applyFont="1" applyBorder="1" applyAlignment="1">
      <alignment horizontal="right" vertical="center"/>
    </xf>
    <xf numFmtId="0" fontId="36" fillId="0" borderId="10" xfId="0" quotePrefix="1" applyFont="1" applyBorder="1" applyAlignment="1">
      <alignment vertical="center"/>
    </xf>
    <xf numFmtId="168" fontId="36" fillId="0" borderId="0" xfId="0" applyNumberFormat="1" applyFont="1" applyAlignment="1">
      <alignment horizontal="right" vertical="center"/>
    </xf>
    <xf numFmtId="0" fontId="36" fillId="0" borderId="11" xfId="0" quotePrefix="1" applyFont="1" applyBorder="1" applyAlignment="1">
      <alignment vertical="center"/>
    </xf>
    <xf numFmtId="168" fontId="36" fillId="0" borderId="19" xfId="0" applyNumberFormat="1" applyFont="1" applyBorder="1" applyAlignment="1">
      <alignment horizontal="right" vertical="center"/>
    </xf>
    <xf numFmtId="0" fontId="36" fillId="0" borderId="12" xfId="0" quotePrefix="1" applyFont="1" applyBorder="1" applyAlignment="1">
      <alignment vertical="center"/>
    </xf>
    <xf numFmtId="0" fontId="0" fillId="6" borderId="0" xfId="0" applyFill="1" applyAlignment="1">
      <alignment horizontal="center" vertical="center" wrapText="1"/>
    </xf>
    <xf numFmtId="0" fontId="0" fillId="0" borderId="16" xfId="0" applyBorder="1" applyAlignment="1">
      <alignment vertical="center"/>
    </xf>
    <xf numFmtId="168" fontId="0" fillId="0" borderId="17" xfId="0" applyNumberFormat="1" applyBorder="1" applyAlignment="1">
      <alignment vertical="center"/>
    </xf>
    <xf numFmtId="0" fontId="0" fillId="0" borderId="10" xfId="0" quotePrefix="1" applyBorder="1" applyAlignment="1">
      <alignment vertical="center"/>
    </xf>
    <xf numFmtId="0" fontId="0" fillId="0" borderId="20" xfId="0" applyBorder="1" applyAlignment="1">
      <alignment vertical="center"/>
    </xf>
    <xf numFmtId="168" fontId="0" fillId="0" borderId="0" xfId="0" applyNumberFormat="1" applyAlignment="1">
      <alignment vertical="center"/>
    </xf>
    <xf numFmtId="0" fontId="0" fillId="0" borderId="11" xfId="0" quotePrefix="1" applyBorder="1" applyAlignment="1">
      <alignment vertical="center"/>
    </xf>
    <xf numFmtId="0" fontId="0" fillId="0" borderId="18" xfId="0" applyBorder="1" applyAlignment="1">
      <alignment vertical="center"/>
    </xf>
    <xf numFmtId="168" fontId="0" fillId="0" borderId="19" xfId="0" applyNumberFormat="1" applyBorder="1" applyAlignment="1">
      <alignment vertical="center"/>
    </xf>
    <xf numFmtId="0" fontId="0" fillId="0" borderId="12" xfId="0" quotePrefix="1" applyBorder="1" applyAlignment="1">
      <alignment vertical="center"/>
    </xf>
    <xf numFmtId="0" fontId="0" fillId="0" borderId="16" xfId="0" applyBorder="1" applyAlignment="1">
      <alignment vertical="center" wrapText="1"/>
    </xf>
    <xf numFmtId="0" fontId="0" fillId="0" borderId="20" xfId="0" applyBorder="1" applyAlignment="1">
      <alignment vertical="center" wrapText="1"/>
    </xf>
    <xf numFmtId="0" fontId="0" fillId="0" borderId="18" xfId="0" applyBorder="1" applyAlignment="1">
      <alignment vertical="center" wrapText="1"/>
    </xf>
    <xf numFmtId="168" fontId="0" fillId="0" borderId="12" xfId="0" applyNumberFormat="1" applyBorder="1" applyAlignment="1">
      <alignment vertical="center"/>
    </xf>
    <xf numFmtId="0" fontId="34" fillId="6" borderId="20" xfId="0" applyFont="1" applyFill="1" applyBorder="1" applyAlignment="1">
      <alignment vertical="center"/>
    </xf>
    <xf numFmtId="0" fontId="0" fillId="0" borderId="21" xfId="0" applyBorder="1" applyAlignment="1">
      <alignment vertical="center"/>
    </xf>
    <xf numFmtId="168" fontId="0" fillId="0" borderId="22" xfId="0" applyNumberFormat="1" applyBorder="1" applyAlignment="1">
      <alignment vertical="center"/>
    </xf>
    <xf numFmtId="0" fontId="0" fillId="0" borderId="8" xfId="0" applyBorder="1" applyAlignment="1">
      <alignment vertical="center" wrapText="1"/>
    </xf>
    <xf numFmtId="0" fontId="36" fillId="0" borderId="20" xfId="0" applyFont="1" applyBorder="1" applyAlignment="1">
      <alignment vertical="center" wrapText="1"/>
    </xf>
    <xf numFmtId="168" fontId="36" fillId="0" borderId="0" xfId="0" applyNumberFormat="1" applyFont="1" applyAlignment="1">
      <alignment vertical="center"/>
    </xf>
    <xf numFmtId="0" fontId="36" fillId="0" borderId="18" xfId="0" applyFont="1" applyBorder="1" applyAlignment="1">
      <alignment vertical="center" wrapText="1"/>
    </xf>
    <xf numFmtId="168" fontId="36" fillId="0" borderId="19" xfId="0" applyNumberFormat="1" applyFont="1" applyBorder="1" applyAlignment="1">
      <alignment vertical="center"/>
    </xf>
    <xf numFmtId="0" fontId="0" fillId="0" borderId="10" xfId="0" applyBorder="1" applyAlignment="1">
      <alignment vertical="center"/>
    </xf>
    <xf numFmtId="0" fontId="0" fillId="0" borderId="20" xfId="0" quotePrefix="1" applyBorder="1" applyAlignment="1">
      <alignment vertical="center" wrapText="1"/>
    </xf>
    <xf numFmtId="0" fontId="0" fillId="0" borderId="18" xfId="0" quotePrefix="1" applyBorder="1" applyAlignment="1">
      <alignment vertical="center" wrapText="1"/>
    </xf>
    <xf numFmtId="0" fontId="10" fillId="0" borderId="23" xfId="0" applyFont="1" applyBorder="1" applyAlignment="1">
      <alignment horizontal="left"/>
    </xf>
    <xf numFmtId="9" fontId="4" fillId="0" borderId="4" xfId="1" applyFont="1" applyFill="1" applyBorder="1" applyAlignment="1">
      <alignment horizontal="center"/>
    </xf>
    <xf numFmtId="0" fontId="36" fillId="0" borderId="23" xfId="0" applyFont="1" applyBorder="1" applyAlignment="1">
      <alignment horizontal="left"/>
    </xf>
    <xf numFmtId="9" fontId="15" fillId="0" borderId="4" xfId="1" applyFont="1" applyFill="1" applyBorder="1" applyAlignment="1">
      <alignment horizontal="center"/>
    </xf>
    <xf numFmtId="9" fontId="1" fillId="0" borderId="4" xfId="1" applyFont="1" applyFill="1" applyBorder="1" applyAlignment="1">
      <alignment horizontal="center"/>
    </xf>
    <xf numFmtId="0" fontId="36" fillId="0" borderId="4" xfId="0" applyFont="1" applyBorder="1" applyAlignment="1">
      <alignment horizontal="left"/>
    </xf>
    <xf numFmtId="0" fontId="0" fillId="0" borderId="15" xfId="0" applyBorder="1"/>
    <xf numFmtId="173" fontId="16" fillId="11" borderId="37" xfId="1" applyNumberFormat="1" applyFont="1" applyFill="1" applyBorder="1" applyAlignment="1" applyProtection="1">
      <alignment horizontal="center" vertical="center"/>
      <protection locked="0"/>
    </xf>
    <xf numFmtId="4" fontId="17" fillId="11" borderId="26" xfId="0" applyNumberFormat="1" applyFont="1" applyFill="1" applyBorder="1" applyAlignment="1" applyProtection="1">
      <alignment horizontal="center" vertical="center"/>
      <protection locked="0"/>
    </xf>
    <xf numFmtId="3" fontId="2" fillId="11" borderId="38" xfId="0" applyNumberFormat="1" applyFont="1" applyFill="1" applyBorder="1" applyAlignment="1" applyProtection="1">
      <alignment horizontal="center" vertical="center" textRotation="90"/>
      <protection locked="0"/>
    </xf>
    <xf numFmtId="0" fontId="35" fillId="3" borderId="4" xfId="0" applyFont="1" applyFill="1" applyBorder="1" applyAlignment="1">
      <alignment vertical="top" wrapText="1"/>
    </xf>
    <xf numFmtId="0" fontId="0" fillId="0" borderId="4" xfId="0" applyBorder="1" applyAlignment="1">
      <alignment vertical="top" wrapText="1"/>
    </xf>
    <xf numFmtId="3" fontId="17" fillId="11" borderId="9" xfId="0" applyNumberFormat="1" applyFont="1" applyFill="1" applyBorder="1" applyAlignment="1" applyProtection="1">
      <alignment horizontal="center" vertical="center"/>
      <protection locked="0"/>
    </xf>
    <xf numFmtId="3" fontId="2" fillId="11" borderId="38" xfId="0" applyNumberFormat="1" applyFont="1" applyFill="1" applyBorder="1" applyAlignment="1" applyProtection="1">
      <alignment horizontal="center" vertical="center" textRotation="90" wrapText="1"/>
      <protection locked="0"/>
    </xf>
    <xf numFmtId="3" fontId="2" fillId="11" borderId="39" xfId="0" applyNumberFormat="1" applyFont="1" applyFill="1" applyBorder="1" applyAlignment="1" applyProtection="1">
      <alignment horizontal="center" vertical="center" textRotation="90"/>
      <protection locked="0"/>
    </xf>
    <xf numFmtId="3" fontId="2" fillId="11" borderId="41" xfId="0" applyNumberFormat="1" applyFont="1" applyFill="1" applyBorder="1" applyAlignment="1" applyProtection="1">
      <alignment horizontal="center" vertical="center" textRotation="90"/>
      <protection locked="0"/>
    </xf>
    <xf numFmtId="0" fontId="2" fillId="11" borderId="21" xfId="0" applyFont="1" applyFill="1" applyBorder="1" applyAlignment="1" applyProtection="1">
      <alignment horizontal="center" vertical="center"/>
      <protection locked="0"/>
    </xf>
    <xf numFmtId="3" fontId="17" fillId="11" borderId="20" xfId="0" applyNumberFormat="1" applyFont="1" applyFill="1" applyBorder="1" applyAlignment="1" applyProtection="1">
      <alignment horizontal="center" vertical="center"/>
      <protection locked="0"/>
    </xf>
    <xf numFmtId="3" fontId="17" fillId="11" borderId="0" xfId="0" applyNumberFormat="1" applyFont="1" applyFill="1" applyAlignment="1" applyProtection="1">
      <alignment horizontal="center" vertical="center"/>
      <protection locked="0"/>
    </xf>
    <xf numFmtId="3" fontId="17" fillId="11" borderId="11" xfId="0" applyNumberFormat="1" applyFont="1" applyFill="1" applyBorder="1" applyAlignment="1" applyProtection="1">
      <alignment horizontal="center" vertical="center"/>
      <protection locked="0"/>
    </xf>
    <xf numFmtId="3" fontId="16" fillId="11" borderId="8" xfId="0" applyNumberFormat="1" applyFont="1" applyFill="1" applyBorder="1" applyAlignment="1" applyProtection="1">
      <alignment horizontal="center" vertical="center"/>
      <protection locked="0"/>
    </xf>
    <xf numFmtId="3" fontId="17" fillId="11" borderId="35" xfId="0" applyNumberFormat="1" applyFont="1" applyFill="1" applyBorder="1" applyAlignment="1" applyProtection="1">
      <alignment horizontal="center" vertical="center"/>
      <protection locked="0"/>
    </xf>
    <xf numFmtId="4" fontId="16" fillId="11" borderId="26" xfId="0" applyNumberFormat="1" applyFont="1" applyFill="1" applyBorder="1" applyAlignment="1">
      <alignment horizontal="center" vertical="center"/>
    </xf>
    <xf numFmtId="0" fontId="18" fillId="16" borderId="43" xfId="0" applyFont="1" applyFill="1" applyBorder="1" applyAlignment="1" applyProtection="1">
      <alignment horizontal="center" vertical="center"/>
      <protection locked="0"/>
    </xf>
    <xf numFmtId="0" fontId="18" fillId="16" borderId="7" xfId="0" applyFont="1" applyFill="1" applyBorder="1" applyAlignment="1" applyProtection="1">
      <alignment horizontal="center" vertical="center"/>
      <protection locked="0"/>
    </xf>
    <xf numFmtId="170" fontId="16" fillId="11" borderId="35" xfId="0" applyNumberFormat="1" applyFont="1" applyFill="1" applyBorder="1" applyAlignment="1" applyProtection="1">
      <alignment horizontal="center" vertical="center"/>
      <protection locked="0"/>
    </xf>
    <xf numFmtId="9" fontId="16" fillId="11" borderId="35" xfId="1" applyFont="1" applyFill="1" applyBorder="1" applyAlignment="1" applyProtection="1">
      <alignment horizontal="center" vertical="center"/>
      <protection locked="0"/>
    </xf>
    <xf numFmtId="9" fontId="16" fillId="11" borderId="37" xfId="1" applyFont="1" applyFill="1" applyBorder="1" applyAlignment="1" applyProtection="1">
      <alignment horizontal="center" vertical="center"/>
      <protection locked="0"/>
    </xf>
    <xf numFmtId="9" fontId="18" fillId="13" borderId="43" xfId="1" applyFont="1" applyFill="1" applyBorder="1" applyAlignment="1" applyProtection="1">
      <alignment horizontal="center" vertical="center"/>
      <protection locked="0"/>
    </xf>
    <xf numFmtId="9" fontId="18" fillId="13" borderId="44" xfId="1" applyFont="1" applyFill="1" applyBorder="1" applyAlignment="1" applyProtection="1">
      <alignment horizontal="center" vertical="center"/>
      <protection locked="0"/>
    </xf>
    <xf numFmtId="4" fontId="16" fillId="11" borderId="43" xfId="0" applyNumberFormat="1" applyFont="1" applyFill="1" applyBorder="1" applyAlignment="1" applyProtection="1">
      <alignment horizontal="center" vertical="center"/>
      <protection locked="0"/>
    </xf>
    <xf numFmtId="170" fontId="17" fillId="9" borderId="7" xfId="0" applyNumberFormat="1" applyFont="1" applyFill="1" applyBorder="1" applyAlignment="1" applyProtection="1">
      <alignment horizontal="center" vertical="center"/>
      <protection locked="0"/>
    </xf>
    <xf numFmtId="0" fontId="17" fillId="14" borderId="24" xfId="0" applyFont="1" applyFill="1" applyBorder="1" applyAlignment="1">
      <alignment horizontal="center" vertical="center"/>
    </xf>
    <xf numFmtId="0" fontId="17" fillId="14" borderId="4" xfId="0" applyFont="1" applyFill="1" applyBorder="1" applyAlignment="1">
      <alignment horizontal="center" vertical="center"/>
    </xf>
    <xf numFmtId="0" fontId="17" fillId="14" borderId="6" xfId="0" applyFont="1" applyFill="1" applyBorder="1" applyAlignment="1">
      <alignment horizontal="center" vertical="center"/>
    </xf>
    <xf numFmtId="0" fontId="17" fillId="14" borderId="23" xfId="0" applyFont="1" applyFill="1" applyBorder="1" applyAlignment="1">
      <alignment horizontal="center" vertical="center"/>
    </xf>
    <xf numFmtId="170" fontId="17" fillId="12" borderId="32" xfId="0" applyNumberFormat="1" applyFont="1" applyFill="1" applyBorder="1" applyAlignment="1" applyProtection="1">
      <alignment horizontal="center" vertical="center"/>
      <protection locked="0"/>
    </xf>
    <xf numFmtId="0" fontId="16" fillId="11" borderId="22" xfId="0" applyFont="1" applyFill="1" applyBorder="1" applyAlignment="1" applyProtection="1">
      <alignment horizontal="center" vertical="center"/>
      <protection locked="0"/>
    </xf>
    <xf numFmtId="0" fontId="17" fillId="11" borderId="22" xfId="0" applyFont="1" applyFill="1" applyBorder="1" applyAlignment="1" applyProtection="1">
      <alignment horizontal="center" vertical="center"/>
      <protection locked="0"/>
    </xf>
    <xf numFmtId="0" fontId="17" fillId="11" borderId="3" xfId="0" applyFont="1" applyFill="1" applyBorder="1" applyAlignment="1" applyProtection="1">
      <alignment horizontal="center" vertical="center"/>
      <protection locked="0"/>
    </xf>
    <xf numFmtId="0" fontId="17" fillId="11" borderId="21" xfId="0" applyFont="1" applyFill="1" applyBorder="1" applyAlignment="1" applyProtection="1">
      <alignment horizontal="center" vertical="center"/>
      <protection locked="0"/>
    </xf>
    <xf numFmtId="0" fontId="17" fillId="11" borderId="8" xfId="0" applyFont="1" applyFill="1" applyBorder="1" applyAlignment="1" applyProtection="1">
      <alignment horizontal="center" vertical="center"/>
      <protection locked="0"/>
    </xf>
    <xf numFmtId="0" fontId="16" fillId="11" borderId="8" xfId="0" applyFont="1" applyFill="1" applyBorder="1" applyAlignment="1" applyProtection="1">
      <alignment horizontal="center" vertical="center"/>
      <protection locked="0"/>
    </xf>
    <xf numFmtId="0" fontId="16" fillId="11" borderId="0" xfId="0" applyFont="1" applyFill="1" applyAlignment="1" applyProtection="1">
      <alignment horizontal="left" vertical="center"/>
      <protection locked="0"/>
    </xf>
    <xf numFmtId="4" fontId="4" fillId="11" borderId="1" xfId="0" applyNumberFormat="1" applyFont="1" applyFill="1" applyBorder="1" applyAlignment="1" applyProtection="1">
      <alignment horizontal="center" vertical="center"/>
      <protection locked="0"/>
    </xf>
    <xf numFmtId="171" fontId="17" fillId="11" borderId="20" xfId="0" applyNumberFormat="1" applyFont="1" applyFill="1" applyBorder="1" applyAlignment="1" applyProtection="1">
      <alignment horizontal="center" vertical="center"/>
      <protection locked="0"/>
    </xf>
    <xf numFmtId="171" fontId="17" fillId="11" borderId="0" xfId="0" applyNumberFormat="1" applyFont="1" applyFill="1" applyAlignment="1" applyProtection="1">
      <alignment horizontal="center" vertical="center"/>
      <protection locked="0"/>
    </xf>
    <xf numFmtId="3" fontId="5" fillId="11" borderId="0" xfId="0" applyNumberFormat="1" applyFont="1" applyFill="1" applyAlignment="1" applyProtection="1">
      <alignment horizontal="right" vertical="center"/>
      <protection locked="0"/>
    </xf>
    <xf numFmtId="3" fontId="19" fillId="11" borderId="46" xfId="0" applyNumberFormat="1" applyFont="1" applyFill="1" applyBorder="1" applyAlignment="1" applyProtection="1">
      <alignment horizontal="center" vertical="center"/>
      <protection locked="0"/>
    </xf>
    <xf numFmtId="9" fontId="19" fillId="11" borderId="46" xfId="0" applyNumberFormat="1" applyFont="1" applyFill="1" applyBorder="1" applyAlignment="1" applyProtection="1">
      <alignment horizontal="center" vertical="center"/>
      <protection locked="0"/>
    </xf>
    <xf numFmtId="3" fontId="19" fillId="11" borderId="47" xfId="0" applyNumberFormat="1" applyFont="1" applyFill="1" applyBorder="1" applyAlignment="1" applyProtection="1">
      <alignment horizontal="center" vertical="center"/>
      <protection locked="0"/>
    </xf>
    <xf numFmtId="3" fontId="19" fillId="11" borderId="50" xfId="0" applyNumberFormat="1" applyFont="1" applyFill="1" applyBorder="1" applyAlignment="1" applyProtection="1">
      <alignment horizontal="center" vertical="center"/>
      <protection locked="0"/>
    </xf>
    <xf numFmtId="3" fontId="5" fillId="11" borderId="0" xfId="0" applyNumberFormat="1" applyFont="1" applyFill="1" applyAlignment="1" applyProtection="1">
      <alignment horizontal="center" vertical="center"/>
      <protection locked="0"/>
    </xf>
    <xf numFmtId="171" fontId="19" fillId="11" borderId="45" xfId="0" applyNumberFormat="1" applyFont="1" applyFill="1" applyBorder="1" applyAlignment="1" applyProtection="1">
      <alignment horizontal="center" vertical="center"/>
      <protection locked="0"/>
    </xf>
    <xf numFmtId="171" fontId="19" fillId="11" borderId="5" xfId="0" applyNumberFormat="1" applyFont="1" applyFill="1" applyBorder="1" applyAlignment="1" applyProtection="1">
      <alignment horizontal="center" vertical="center"/>
      <protection locked="0"/>
    </xf>
    <xf numFmtId="3" fontId="19" fillId="11" borderId="4" xfId="0" applyNumberFormat="1" applyFont="1" applyFill="1" applyBorder="1" applyAlignment="1" applyProtection="1">
      <alignment horizontal="center" vertical="center"/>
      <protection locked="0"/>
    </xf>
    <xf numFmtId="10" fontId="19" fillId="11" borderId="4" xfId="1" applyNumberFormat="1" applyFont="1" applyFill="1" applyBorder="1" applyAlignment="1" applyProtection="1">
      <alignment horizontal="center" vertical="center"/>
      <protection locked="0"/>
    </xf>
    <xf numFmtId="9" fontId="19" fillId="11" borderId="4" xfId="0" applyNumberFormat="1" applyFont="1" applyFill="1" applyBorder="1" applyAlignment="1" applyProtection="1">
      <alignment horizontal="center" vertical="center"/>
      <protection locked="0"/>
    </xf>
    <xf numFmtId="3" fontId="19" fillId="11" borderId="6" xfId="0" applyNumberFormat="1" applyFont="1" applyFill="1" applyBorder="1" applyAlignment="1" applyProtection="1">
      <alignment horizontal="center" vertical="center"/>
      <protection locked="0"/>
    </xf>
    <xf numFmtId="3" fontId="19" fillId="11" borderId="23" xfId="0" applyNumberFormat="1" applyFont="1" applyFill="1" applyBorder="1" applyAlignment="1" applyProtection="1">
      <alignment horizontal="center" vertical="center"/>
      <protection locked="0"/>
    </xf>
    <xf numFmtId="171" fontId="19" fillId="11" borderId="24" xfId="0" applyNumberFormat="1" applyFont="1" applyFill="1" applyBorder="1" applyAlignment="1" applyProtection="1">
      <alignment horizontal="center" vertical="center"/>
      <protection locked="0"/>
    </xf>
    <xf numFmtId="171" fontId="19" fillId="11" borderId="7" xfId="0" applyNumberFormat="1" applyFont="1" applyFill="1" applyBorder="1" applyAlignment="1" applyProtection="1">
      <alignment horizontal="center" vertical="center"/>
      <protection locked="0"/>
    </xf>
    <xf numFmtId="3" fontId="19" fillId="11" borderId="51" xfId="0" applyNumberFormat="1" applyFont="1" applyFill="1" applyBorder="1" applyAlignment="1" applyProtection="1">
      <alignment horizontal="center" vertical="center"/>
      <protection locked="0"/>
    </xf>
    <xf numFmtId="171" fontId="5" fillId="11" borderId="51" xfId="0" applyNumberFormat="1" applyFont="1" applyFill="1" applyBorder="1" applyAlignment="1" applyProtection="1">
      <alignment horizontal="center" vertical="center"/>
      <protection locked="0"/>
    </xf>
    <xf numFmtId="9" fontId="19" fillId="11" borderId="51" xfId="0" applyNumberFormat="1" applyFont="1" applyFill="1" applyBorder="1" applyAlignment="1" applyProtection="1">
      <alignment horizontal="center" vertical="center"/>
      <protection locked="0"/>
    </xf>
    <xf numFmtId="3" fontId="19" fillId="11" borderId="52" xfId="0" applyNumberFormat="1" applyFont="1" applyFill="1" applyBorder="1" applyAlignment="1" applyProtection="1">
      <alignment horizontal="center" vertical="center"/>
      <protection locked="0"/>
    </xf>
    <xf numFmtId="3" fontId="19" fillId="11" borderId="53" xfId="0" applyNumberFormat="1" applyFont="1" applyFill="1" applyBorder="1" applyAlignment="1" applyProtection="1">
      <alignment horizontal="center" vertical="center"/>
      <protection locked="0"/>
    </xf>
    <xf numFmtId="171" fontId="19" fillId="11" borderId="48" xfId="0" applyNumberFormat="1" applyFont="1" applyFill="1" applyBorder="1" applyAlignment="1" applyProtection="1">
      <alignment horizontal="center" vertical="center"/>
      <protection locked="0"/>
    </xf>
    <xf numFmtId="171" fontId="19" fillId="11" borderId="49" xfId="0" applyNumberFormat="1" applyFont="1" applyFill="1" applyBorder="1" applyAlignment="1" applyProtection="1">
      <alignment horizontal="center" vertical="center"/>
      <protection locked="0"/>
    </xf>
    <xf numFmtId="3" fontId="4" fillId="11" borderId="0" xfId="0" applyNumberFormat="1" applyFont="1" applyFill="1" applyAlignment="1" applyProtection="1">
      <alignment horizontal="right" vertical="center"/>
      <protection locked="0"/>
    </xf>
    <xf numFmtId="3" fontId="4" fillId="11" borderId="19" xfId="0" applyNumberFormat="1" applyFont="1" applyFill="1" applyBorder="1" applyAlignment="1" applyProtection="1">
      <alignment horizontal="center" vertical="center"/>
      <protection locked="0"/>
    </xf>
    <xf numFmtId="3" fontId="16" fillId="11" borderId="19" xfId="0" applyNumberFormat="1" applyFont="1" applyFill="1" applyBorder="1" applyAlignment="1" applyProtection="1">
      <alignment horizontal="center" vertical="center"/>
      <protection locked="0"/>
    </xf>
    <xf numFmtId="9" fontId="4" fillId="11" borderId="19" xfId="0" applyNumberFormat="1" applyFont="1" applyFill="1" applyBorder="1" applyAlignment="1" applyProtection="1">
      <alignment horizontal="center" vertical="center"/>
      <protection locked="0"/>
    </xf>
    <xf numFmtId="3" fontId="4" fillId="11" borderId="0" xfId="0" applyNumberFormat="1" applyFont="1" applyFill="1" applyAlignment="1" applyProtection="1">
      <alignment horizontal="left" vertical="center"/>
      <protection locked="0"/>
    </xf>
    <xf numFmtId="3" fontId="4" fillId="11" borderId="0" xfId="0" applyNumberFormat="1" applyFont="1" applyFill="1" applyAlignment="1" applyProtection="1">
      <alignment horizontal="center" vertical="center"/>
      <protection locked="0"/>
    </xf>
    <xf numFmtId="3" fontId="4" fillId="11" borderId="21" xfId="0" applyNumberFormat="1" applyFont="1" applyFill="1" applyBorder="1" applyAlignment="1" applyProtection="1">
      <alignment horizontal="center" vertical="center"/>
      <protection locked="0"/>
    </xf>
    <xf numFmtId="3" fontId="4" fillId="0" borderId="21" xfId="0" applyNumberFormat="1" applyFont="1" applyBorder="1" applyAlignment="1" applyProtection="1">
      <alignment horizontal="center" vertical="center"/>
      <protection locked="0"/>
    </xf>
    <xf numFmtId="169" fontId="5" fillId="11" borderId="3" xfId="0" applyNumberFormat="1" applyFont="1" applyFill="1" applyBorder="1" applyAlignment="1" applyProtection="1">
      <alignment horizontal="center" vertical="center"/>
      <protection locked="0"/>
    </xf>
    <xf numFmtId="3" fontId="4" fillId="0" borderId="3" xfId="0" applyNumberFormat="1" applyFont="1" applyBorder="1" applyAlignment="1" applyProtection="1">
      <alignment horizontal="center" vertical="center"/>
      <protection locked="0"/>
    </xf>
    <xf numFmtId="171" fontId="5" fillId="11" borderId="3" xfId="0" applyNumberFormat="1" applyFont="1" applyFill="1" applyBorder="1" applyAlignment="1" applyProtection="1">
      <alignment horizontal="center" vertical="center"/>
      <protection locked="0"/>
    </xf>
    <xf numFmtId="0" fontId="17" fillId="11" borderId="20" xfId="0" applyFont="1" applyFill="1" applyBorder="1" applyAlignment="1" applyProtection="1">
      <alignment vertical="center"/>
      <protection locked="0"/>
    </xf>
    <xf numFmtId="0" fontId="17" fillId="11" borderId="0" xfId="0" applyFont="1" applyFill="1" applyAlignment="1" applyProtection="1">
      <alignment vertical="center"/>
      <protection locked="0"/>
    </xf>
    <xf numFmtId="0" fontId="17" fillId="11" borderId="11" xfId="0" applyFont="1" applyFill="1" applyBorder="1" applyAlignment="1" applyProtection="1">
      <alignment vertical="center"/>
      <protection locked="0"/>
    </xf>
    <xf numFmtId="3" fontId="4" fillId="11" borderId="17" xfId="0" applyNumberFormat="1" applyFont="1" applyFill="1" applyBorder="1" applyAlignment="1" applyProtection="1">
      <alignment horizontal="center" vertical="center"/>
      <protection locked="0"/>
    </xf>
    <xf numFmtId="169" fontId="2" fillId="11" borderId="17" xfId="0" applyNumberFormat="1" applyFont="1" applyFill="1" applyBorder="1" applyAlignment="1" applyProtection="1">
      <alignment horizontal="center" vertical="center"/>
      <protection locked="0"/>
    </xf>
    <xf numFmtId="171" fontId="16" fillId="11" borderId="17" xfId="0" applyNumberFormat="1" applyFont="1" applyFill="1" applyBorder="1" applyAlignment="1" applyProtection="1">
      <alignment horizontal="center" vertical="center"/>
      <protection locked="0"/>
    </xf>
    <xf numFmtId="3" fontId="5" fillId="11" borderId="17" xfId="0" applyNumberFormat="1" applyFont="1" applyFill="1" applyBorder="1" applyAlignment="1" applyProtection="1">
      <alignment horizontal="center" vertical="center"/>
      <protection locked="0"/>
    </xf>
    <xf numFmtId="4" fontId="5" fillId="11" borderId="11" xfId="0" applyNumberFormat="1" applyFont="1" applyFill="1" applyBorder="1" applyAlignment="1">
      <alignment horizontal="center" vertical="center"/>
    </xf>
    <xf numFmtId="171" fontId="17" fillId="11" borderId="18" xfId="0" applyNumberFormat="1" applyFont="1" applyFill="1" applyBorder="1" applyAlignment="1" applyProtection="1">
      <alignment horizontal="center" vertical="center"/>
      <protection locked="0"/>
    </xf>
    <xf numFmtId="171" fontId="17" fillId="11" borderId="19" xfId="0" applyNumberFormat="1" applyFont="1" applyFill="1" applyBorder="1" applyAlignment="1" applyProtection="1">
      <alignment horizontal="center" vertical="center"/>
      <protection locked="0"/>
    </xf>
    <xf numFmtId="0" fontId="17" fillId="11" borderId="18" xfId="0" applyFont="1" applyFill="1" applyBorder="1" applyAlignment="1" applyProtection="1">
      <alignment vertical="center"/>
      <protection locked="0"/>
    </xf>
    <xf numFmtId="0" fontId="17" fillId="11" borderId="19" xfId="0" applyFont="1" applyFill="1" applyBorder="1" applyAlignment="1" applyProtection="1">
      <alignment vertical="center"/>
      <protection locked="0"/>
    </xf>
    <xf numFmtId="0" fontId="17" fillId="11" borderId="12" xfId="0" applyFont="1" applyFill="1" applyBorder="1" applyAlignment="1" applyProtection="1">
      <alignment vertical="center"/>
      <protection locked="0"/>
    </xf>
    <xf numFmtId="0" fontId="5" fillId="5" borderId="22" xfId="0" applyFont="1" applyFill="1" applyBorder="1" applyAlignment="1">
      <alignment horizontal="center" vertical="center"/>
    </xf>
    <xf numFmtId="0" fontId="35" fillId="11" borderId="0" xfId="0" applyFont="1" applyFill="1" applyAlignment="1">
      <alignment horizontal="center" vertical="center"/>
    </xf>
    <xf numFmtId="0" fontId="0" fillId="11" borderId="0" xfId="0" applyFill="1" applyAlignment="1">
      <alignment horizontal="center"/>
    </xf>
    <xf numFmtId="3" fontId="2" fillId="3" borderId="38" xfId="0" applyNumberFormat="1" applyFont="1" applyFill="1" applyBorder="1" applyAlignment="1" applyProtection="1">
      <alignment horizontal="center" vertical="center" textRotation="90"/>
      <protection locked="0"/>
    </xf>
    <xf numFmtId="171" fontId="16" fillId="11" borderId="25" xfId="0" applyNumberFormat="1" applyFont="1" applyFill="1" applyBorder="1" applyAlignment="1" applyProtection="1">
      <alignment horizontal="center" vertical="center"/>
      <protection locked="0"/>
    </xf>
    <xf numFmtId="171" fontId="19" fillId="11" borderId="47" xfId="0" applyNumberFormat="1" applyFont="1" applyFill="1" applyBorder="1" applyAlignment="1" applyProtection="1">
      <alignment horizontal="center" vertical="center"/>
      <protection locked="0"/>
    </xf>
    <xf numFmtId="171" fontId="19" fillId="11" borderId="6" xfId="0" applyNumberFormat="1" applyFont="1" applyFill="1" applyBorder="1" applyAlignment="1" applyProtection="1">
      <alignment horizontal="center" vertical="center"/>
      <protection locked="0"/>
    </xf>
    <xf numFmtId="171" fontId="19" fillId="11" borderId="52" xfId="0" applyNumberFormat="1" applyFont="1" applyFill="1" applyBorder="1" applyAlignment="1" applyProtection="1">
      <alignment horizontal="center" vertical="center"/>
      <protection locked="0"/>
    </xf>
    <xf numFmtId="3" fontId="16" fillId="11" borderId="37" xfId="0" applyNumberFormat="1" applyFont="1" applyFill="1" applyBorder="1" applyAlignment="1" applyProtection="1">
      <alignment horizontal="center" vertical="center"/>
      <protection locked="0"/>
    </xf>
    <xf numFmtId="3" fontId="16" fillId="11" borderId="31" xfId="0" applyNumberFormat="1" applyFont="1" applyFill="1" applyBorder="1" applyAlignment="1" applyProtection="1">
      <alignment horizontal="center" vertical="center"/>
      <protection locked="0"/>
    </xf>
    <xf numFmtId="0" fontId="16" fillId="4" borderId="45" xfId="0" applyFont="1" applyFill="1" applyBorder="1" applyAlignment="1" applyProtection="1">
      <alignment horizontal="center" vertical="center"/>
      <protection locked="0"/>
    </xf>
    <xf numFmtId="3" fontId="37" fillId="4" borderId="47" xfId="0" applyNumberFormat="1" applyFont="1" applyFill="1" applyBorder="1" applyAlignment="1" applyProtection="1">
      <alignment horizontal="center" vertical="center"/>
      <protection locked="0"/>
    </xf>
    <xf numFmtId="0" fontId="16" fillId="4" borderId="6" xfId="0" applyFont="1" applyFill="1" applyBorder="1" applyAlignment="1" applyProtection="1">
      <alignment horizontal="center" vertical="center"/>
      <protection locked="0"/>
    </xf>
    <xf numFmtId="3" fontId="44" fillId="4" borderId="6" xfId="0" applyNumberFormat="1" applyFont="1" applyFill="1" applyBorder="1" applyAlignment="1" applyProtection="1">
      <alignment horizontal="center" vertical="center"/>
      <protection locked="0"/>
    </xf>
    <xf numFmtId="3" fontId="37" fillId="4" borderId="6" xfId="0" applyNumberFormat="1" applyFont="1" applyFill="1" applyBorder="1" applyAlignment="1" applyProtection="1">
      <alignment horizontal="center" vertical="center"/>
      <protection locked="0"/>
    </xf>
    <xf numFmtId="3" fontId="16" fillId="4" borderId="6" xfId="0" applyNumberFormat="1" applyFont="1" applyFill="1" applyBorder="1" applyAlignment="1" applyProtection="1">
      <alignment horizontal="center" vertical="center"/>
      <protection locked="0"/>
    </xf>
    <xf numFmtId="0" fontId="16" fillId="4" borderId="58" xfId="0" applyFont="1" applyFill="1" applyBorder="1" applyAlignment="1" applyProtection="1">
      <alignment horizontal="center" vertical="center"/>
      <protection locked="0"/>
    </xf>
    <xf numFmtId="0" fontId="16" fillId="4" borderId="48" xfId="0" applyFont="1" applyFill="1" applyBorder="1" applyAlignment="1" applyProtection="1">
      <alignment horizontal="center" vertical="center"/>
      <protection locked="0"/>
    </xf>
    <xf numFmtId="0" fontId="16" fillId="4" borderId="52" xfId="0" applyFont="1" applyFill="1" applyBorder="1" applyAlignment="1" applyProtection="1">
      <alignment horizontal="center" vertical="center"/>
      <protection locked="0"/>
    </xf>
    <xf numFmtId="3" fontId="18" fillId="7" borderId="6" xfId="0" applyNumberFormat="1" applyFont="1" applyFill="1" applyBorder="1" applyAlignment="1" applyProtection="1">
      <alignment horizontal="center" vertical="center"/>
      <protection locked="0"/>
    </xf>
    <xf numFmtId="3" fontId="18" fillId="7" borderId="23" xfId="0" applyNumberFormat="1" applyFont="1" applyFill="1" applyBorder="1" applyAlignment="1" applyProtection="1">
      <alignment horizontal="left" vertical="center"/>
      <protection locked="0"/>
    </xf>
    <xf numFmtId="3" fontId="25" fillId="7" borderId="4" xfId="0" applyNumberFormat="1" applyFont="1" applyFill="1" applyBorder="1" applyAlignment="1" applyProtection="1">
      <alignment horizontal="center" vertical="center"/>
      <protection locked="0"/>
    </xf>
    <xf numFmtId="3" fontId="18" fillId="7" borderId="4" xfId="0" applyNumberFormat="1" applyFont="1" applyFill="1" applyBorder="1" applyAlignment="1" applyProtection="1">
      <alignment horizontal="center" vertical="center"/>
      <protection locked="0"/>
    </xf>
    <xf numFmtId="3" fontId="18" fillId="15" borderId="4" xfId="0" applyNumberFormat="1" applyFont="1" applyFill="1" applyBorder="1" applyAlignment="1" applyProtection="1">
      <alignment horizontal="center" vertical="center"/>
      <protection locked="0"/>
    </xf>
    <xf numFmtId="4" fontId="18" fillId="15" borderId="4" xfId="0" applyNumberFormat="1" applyFont="1" applyFill="1" applyBorder="1" applyAlignment="1" applyProtection="1">
      <alignment horizontal="center" vertical="center"/>
      <protection locked="0"/>
    </xf>
    <xf numFmtId="4" fontId="25" fillId="15" borderId="6" xfId="0" applyNumberFormat="1" applyFont="1" applyFill="1" applyBorder="1" applyAlignment="1" applyProtection="1">
      <alignment horizontal="center" vertical="center"/>
      <protection locked="0"/>
    </xf>
    <xf numFmtId="3" fontId="26" fillId="11" borderId="26" xfId="0" applyNumberFormat="1" applyFont="1" applyFill="1" applyBorder="1" applyAlignment="1" applyProtection="1">
      <alignment horizontal="center" vertical="center"/>
      <protection locked="0"/>
    </xf>
    <xf numFmtId="165" fontId="16" fillId="11" borderId="43" xfId="0" applyNumberFormat="1" applyFont="1" applyFill="1" applyBorder="1" applyAlignment="1" applyProtection="1">
      <alignment horizontal="center" vertical="center"/>
      <protection locked="0"/>
    </xf>
    <xf numFmtId="4" fontId="16" fillId="11" borderId="26" xfId="0" applyNumberFormat="1" applyFont="1" applyFill="1" applyBorder="1" applyAlignment="1" applyProtection="1">
      <alignment horizontal="center" vertical="center"/>
      <protection locked="0"/>
    </xf>
    <xf numFmtId="4" fontId="18" fillId="16" borderId="44" xfId="0" applyNumberFormat="1" applyFont="1" applyFill="1" applyBorder="1" applyAlignment="1" applyProtection="1">
      <alignment horizontal="center" vertical="center"/>
      <protection locked="0"/>
    </xf>
    <xf numFmtId="4" fontId="77" fillId="11" borderId="35" xfId="0" applyNumberFormat="1" applyFont="1" applyFill="1" applyBorder="1" applyAlignment="1">
      <alignment horizontal="center" vertical="center"/>
    </xf>
    <xf numFmtId="170" fontId="16" fillId="5" borderId="44" xfId="0" applyNumberFormat="1" applyFont="1" applyFill="1" applyBorder="1" applyAlignment="1">
      <alignment horizontal="center" vertical="center"/>
    </xf>
    <xf numFmtId="170" fontId="17" fillId="19" borderId="16" xfId="0" applyNumberFormat="1" applyFont="1" applyFill="1" applyBorder="1" applyAlignment="1" applyProtection="1">
      <alignment horizontal="center" vertical="center"/>
      <protection locked="0"/>
    </xf>
    <xf numFmtId="170" fontId="17" fillId="19" borderId="17" xfId="0" applyNumberFormat="1" applyFont="1" applyFill="1" applyBorder="1" applyAlignment="1" applyProtection="1">
      <alignment horizontal="center" vertical="center"/>
      <protection locked="0"/>
    </xf>
    <xf numFmtId="170" fontId="17" fillId="19" borderId="10" xfId="0" applyNumberFormat="1" applyFont="1" applyFill="1" applyBorder="1" applyAlignment="1" applyProtection="1">
      <alignment horizontal="center" vertical="center"/>
      <protection locked="0"/>
    </xf>
    <xf numFmtId="170" fontId="17" fillId="19" borderId="20" xfId="0" applyNumberFormat="1" applyFont="1" applyFill="1" applyBorder="1" applyAlignment="1" applyProtection="1">
      <alignment horizontal="center" vertical="center"/>
      <protection locked="0"/>
    </xf>
    <xf numFmtId="170" fontId="17" fillId="19" borderId="0" xfId="0" applyNumberFormat="1" applyFont="1" applyFill="1" applyAlignment="1" applyProtection="1">
      <alignment horizontal="center" vertical="center"/>
      <protection locked="0"/>
    </xf>
    <xf numFmtId="170" fontId="17" fillId="19" borderId="11" xfId="0" applyNumberFormat="1" applyFont="1" applyFill="1" applyBorder="1" applyAlignment="1" applyProtection="1">
      <alignment horizontal="center" vertical="center"/>
      <protection locked="0"/>
    </xf>
    <xf numFmtId="3" fontId="22" fillId="8" borderId="40" xfId="0" applyNumberFormat="1" applyFont="1" applyFill="1" applyBorder="1" applyAlignment="1" applyProtection="1">
      <alignment horizontal="center" vertical="center" textRotation="90"/>
      <protection locked="0"/>
    </xf>
    <xf numFmtId="170" fontId="27" fillId="8" borderId="43" xfId="0" applyNumberFormat="1" applyFont="1" applyFill="1" applyBorder="1" applyAlignment="1" applyProtection="1">
      <alignment horizontal="center" vertical="center"/>
      <protection locked="0"/>
    </xf>
    <xf numFmtId="170" fontId="38" fillId="11" borderId="20" xfId="0" applyNumberFormat="1" applyFont="1" applyFill="1" applyBorder="1"/>
    <xf numFmtId="0" fontId="2" fillId="11" borderId="16" xfId="0" applyFont="1" applyFill="1" applyBorder="1" applyAlignment="1" applyProtection="1">
      <alignment horizontal="center" vertical="center"/>
      <protection locked="0"/>
    </xf>
    <xf numFmtId="3" fontId="16" fillId="11" borderId="17" xfId="0" applyNumberFormat="1" applyFont="1" applyFill="1" applyBorder="1" applyAlignment="1" applyProtection="1">
      <alignment horizontal="center" vertical="center"/>
      <protection locked="0"/>
    </xf>
    <xf numFmtId="0" fontId="24" fillId="11" borderId="17" xfId="0" applyFont="1" applyFill="1" applyBorder="1" applyAlignment="1" applyProtection="1">
      <alignment horizontal="center" vertical="center"/>
      <protection locked="0"/>
    </xf>
    <xf numFmtId="3" fontId="17" fillId="11" borderId="17" xfId="0" applyNumberFormat="1" applyFont="1" applyFill="1" applyBorder="1" applyAlignment="1" applyProtection="1">
      <alignment horizontal="center" vertical="center"/>
      <protection locked="0"/>
    </xf>
    <xf numFmtId="3" fontId="18" fillId="7" borderId="45" xfId="0" applyNumberFormat="1" applyFont="1" applyFill="1" applyBorder="1" applyAlignment="1" applyProtection="1">
      <alignment horizontal="center" vertical="center"/>
      <protection locked="0"/>
    </xf>
    <xf numFmtId="3" fontId="18" fillId="7" borderId="47" xfId="0" applyNumberFormat="1" applyFont="1" applyFill="1" applyBorder="1" applyAlignment="1" applyProtection="1">
      <alignment horizontal="center" vertical="center"/>
      <protection locked="0"/>
    </xf>
    <xf numFmtId="3" fontId="18" fillId="7" borderId="50" xfId="0" applyNumberFormat="1" applyFont="1" applyFill="1" applyBorder="1" applyAlignment="1" applyProtection="1">
      <alignment horizontal="left" vertical="center"/>
      <protection locked="0"/>
    </xf>
    <xf numFmtId="3" fontId="25" fillId="7" borderId="46" xfId="0" applyNumberFormat="1" applyFont="1" applyFill="1" applyBorder="1" applyAlignment="1" applyProtection="1">
      <alignment horizontal="center" vertical="center"/>
      <protection locked="0"/>
    </xf>
    <xf numFmtId="3" fontId="18" fillId="7" borderId="46" xfId="0" applyNumberFormat="1" applyFont="1" applyFill="1" applyBorder="1" applyAlignment="1" applyProtection="1">
      <alignment horizontal="center" vertical="center"/>
      <protection locked="0"/>
    </xf>
    <xf numFmtId="3" fontId="18" fillId="15" borderId="46" xfId="0" applyNumberFormat="1" applyFont="1" applyFill="1" applyBorder="1" applyAlignment="1" applyProtection="1">
      <alignment horizontal="center" vertical="center"/>
      <protection locked="0"/>
    </xf>
    <xf numFmtId="4" fontId="18" fillId="15" borderId="46" xfId="0" applyNumberFormat="1" applyFont="1" applyFill="1" applyBorder="1" applyAlignment="1" applyProtection="1">
      <alignment horizontal="center" vertical="center"/>
      <protection locked="0"/>
    </xf>
    <xf numFmtId="4" fontId="25" fillId="15" borderId="47" xfId="0" applyNumberFormat="1" applyFont="1" applyFill="1" applyBorder="1" applyAlignment="1" applyProtection="1">
      <alignment horizontal="center" vertical="center"/>
      <protection locked="0"/>
    </xf>
    <xf numFmtId="3" fontId="17" fillId="11" borderId="67" xfId="0" applyNumberFormat="1" applyFont="1" applyFill="1" applyBorder="1" applyAlignment="1" applyProtection="1">
      <alignment horizontal="center" vertical="center"/>
      <protection locked="0"/>
    </xf>
    <xf numFmtId="4" fontId="17" fillId="11" borderId="68" xfId="0" applyNumberFormat="1" applyFont="1" applyFill="1" applyBorder="1" applyAlignment="1" applyProtection="1">
      <alignment horizontal="center" vertical="center"/>
      <protection locked="0"/>
    </xf>
    <xf numFmtId="3" fontId="26" fillId="11" borderId="68" xfId="0" applyNumberFormat="1" applyFont="1" applyFill="1" applyBorder="1" applyAlignment="1" applyProtection="1">
      <alignment horizontal="center" vertical="center"/>
      <protection locked="0"/>
    </xf>
    <xf numFmtId="3" fontId="26" fillId="11" borderId="69" xfId="0" applyNumberFormat="1" applyFont="1" applyFill="1" applyBorder="1" applyAlignment="1" applyProtection="1">
      <alignment horizontal="center" vertical="center"/>
      <protection locked="0"/>
    </xf>
    <xf numFmtId="165" fontId="16" fillId="11" borderId="70" xfId="0" applyNumberFormat="1" applyFont="1" applyFill="1" applyBorder="1" applyAlignment="1" applyProtection="1">
      <alignment horizontal="center" vertical="center"/>
      <protection locked="0"/>
    </xf>
    <xf numFmtId="4" fontId="16" fillId="11" borderId="68" xfId="0" applyNumberFormat="1" applyFont="1" applyFill="1" applyBorder="1" applyAlignment="1" applyProtection="1">
      <alignment horizontal="center" vertical="center"/>
      <protection locked="0"/>
    </xf>
    <xf numFmtId="4" fontId="16" fillId="11" borderId="68" xfId="0" applyNumberFormat="1" applyFont="1" applyFill="1" applyBorder="1" applyAlignment="1">
      <alignment horizontal="center" vertical="center"/>
    </xf>
    <xf numFmtId="4" fontId="77" fillId="11" borderId="67" xfId="0" applyNumberFormat="1" applyFont="1" applyFill="1" applyBorder="1" applyAlignment="1">
      <alignment horizontal="center" vertical="center"/>
    </xf>
    <xf numFmtId="0" fontId="18" fillId="16" borderId="70" xfId="0" applyFont="1" applyFill="1" applyBorder="1" applyAlignment="1" applyProtection="1">
      <alignment horizontal="center" vertical="center"/>
      <protection locked="0"/>
    </xf>
    <xf numFmtId="4" fontId="18" fillId="16" borderId="64" xfId="0" applyNumberFormat="1" applyFont="1" applyFill="1" applyBorder="1" applyAlignment="1" applyProtection="1">
      <alignment horizontal="center" vertical="center"/>
      <protection locked="0"/>
    </xf>
    <xf numFmtId="173" fontId="16" fillId="11" borderId="66" xfId="1" applyNumberFormat="1" applyFont="1" applyFill="1" applyBorder="1" applyAlignment="1" applyProtection="1">
      <alignment horizontal="center" vertical="center"/>
      <protection locked="0"/>
    </xf>
    <xf numFmtId="171" fontId="16" fillId="11" borderId="69" xfId="0" applyNumberFormat="1" applyFont="1" applyFill="1" applyBorder="1" applyAlignment="1" applyProtection="1">
      <alignment horizontal="center" vertical="center"/>
      <protection locked="0"/>
    </xf>
    <xf numFmtId="0" fontId="18" fillId="16" borderId="5" xfId="0" applyFont="1" applyFill="1" applyBorder="1" applyAlignment="1" applyProtection="1">
      <alignment horizontal="center" vertical="center"/>
      <protection locked="0"/>
    </xf>
    <xf numFmtId="170" fontId="16" fillId="11" borderId="67" xfId="0" applyNumberFormat="1" applyFont="1" applyFill="1" applyBorder="1" applyAlignment="1" applyProtection="1">
      <alignment horizontal="center" vertical="center"/>
      <protection locked="0"/>
    </xf>
    <xf numFmtId="9" fontId="16" fillId="11" borderId="67" xfId="1" applyFont="1" applyFill="1" applyBorder="1" applyAlignment="1" applyProtection="1">
      <alignment horizontal="center" vertical="center"/>
      <protection locked="0"/>
    </xf>
    <xf numFmtId="9" fontId="16" fillId="11" borderId="66" xfId="1" applyFont="1" applyFill="1" applyBorder="1" applyAlignment="1" applyProtection="1">
      <alignment horizontal="center" vertical="center"/>
      <protection locked="0"/>
    </xf>
    <xf numFmtId="9" fontId="18" fillId="13" borderId="70" xfId="1" applyFont="1" applyFill="1" applyBorder="1" applyAlignment="1" applyProtection="1">
      <alignment horizontal="center" vertical="center"/>
      <protection locked="0"/>
    </xf>
    <xf numFmtId="9" fontId="18" fillId="13" borderId="64" xfId="1" applyFont="1" applyFill="1" applyBorder="1" applyAlignment="1" applyProtection="1">
      <alignment horizontal="center" vertical="center"/>
      <protection locked="0"/>
    </xf>
    <xf numFmtId="4" fontId="16" fillId="11" borderId="70" xfId="0" applyNumberFormat="1" applyFont="1" applyFill="1" applyBorder="1" applyAlignment="1" applyProtection="1">
      <alignment horizontal="center" vertical="center"/>
      <protection locked="0"/>
    </xf>
    <xf numFmtId="172" fontId="16" fillId="11" borderId="68" xfId="0" applyNumberFormat="1" applyFont="1" applyFill="1" applyBorder="1" applyAlignment="1" applyProtection="1">
      <alignment horizontal="center" vertical="center"/>
      <protection locked="0"/>
    </xf>
    <xf numFmtId="170" fontId="16" fillId="11" borderId="69" xfId="0" applyNumberFormat="1" applyFont="1" applyFill="1" applyBorder="1" applyAlignment="1" applyProtection="1">
      <alignment horizontal="center" vertical="center"/>
      <protection locked="0"/>
    </xf>
    <xf numFmtId="170" fontId="17" fillId="9" borderId="5" xfId="0" applyNumberFormat="1" applyFont="1" applyFill="1" applyBorder="1" applyAlignment="1" applyProtection="1">
      <alignment horizontal="center" vertical="center"/>
      <protection locked="0"/>
    </xf>
    <xf numFmtId="0" fontId="17" fillId="14" borderId="45" xfId="0" applyFont="1" applyFill="1" applyBorder="1" applyAlignment="1">
      <alignment horizontal="center" vertical="center"/>
    </xf>
    <xf numFmtId="0" fontId="17" fillId="14" borderId="46" xfId="0" applyFont="1" applyFill="1" applyBorder="1" applyAlignment="1">
      <alignment horizontal="center" vertical="center"/>
    </xf>
    <xf numFmtId="0" fontId="17" fillId="14" borderId="47" xfId="0" applyFont="1" applyFill="1" applyBorder="1" applyAlignment="1">
      <alignment horizontal="center" vertical="center"/>
    </xf>
    <xf numFmtId="0" fontId="17" fillId="14" borderId="50" xfId="0" applyFont="1" applyFill="1" applyBorder="1" applyAlignment="1">
      <alignment horizontal="center" vertical="center"/>
    </xf>
    <xf numFmtId="170" fontId="17" fillId="12" borderId="45" xfId="0" applyNumberFormat="1" applyFont="1" applyFill="1" applyBorder="1" applyAlignment="1" applyProtection="1">
      <alignment horizontal="center" vertical="center"/>
      <protection locked="0"/>
    </xf>
    <xf numFmtId="170" fontId="17" fillId="12" borderId="46" xfId="0" applyNumberFormat="1" applyFont="1" applyFill="1" applyBorder="1" applyAlignment="1" applyProtection="1">
      <alignment horizontal="center" vertical="center"/>
      <protection locked="0"/>
    </xf>
    <xf numFmtId="170" fontId="17" fillId="12" borderId="71" xfId="0" applyNumberFormat="1" applyFont="1" applyFill="1" applyBorder="1" applyAlignment="1" applyProtection="1">
      <alignment horizontal="center" vertical="center"/>
      <protection locked="0"/>
    </xf>
    <xf numFmtId="170" fontId="17" fillId="12" borderId="47" xfId="0" applyNumberFormat="1" applyFont="1" applyFill="1" applyBorder="1" applyAlignment="1" applyProtection="1">
      <alignment horizontal="center" vertical="center"/>
      <protection locked="0"/>
    </xf>
    <xf numFmtId="170" fontId="27" fillId="8" borderId="70" xfId="0" applyNumberFormat="1" applyFont="1" applyFill="1" applyBorder="1" applyAlignment="1" applyProtection="1">
      <alignment horizontal="center" vertical="center"/>
      <protection locked="0"/>
    </xf>
    <xf numFmtId="170" fontId="27" fillId="8" borderId="67" xfId="0" applyNumberFormat="1" applyFont="1" applyFill="1" applyBorder="1" applyAlignment="1" applyProtection="1">
      <alignment horizontal="center" vertical="center"/>
      <protection locked="0"/>
    </xf>
    <xf numFmtId="170" fontId="27" fillId="8" borderId="64" xfId="0" applyNumberFormat="1" applyFont="1" applyFill="1" applyBorder="1" applyAlignment="1" applyProtection="1">
      <alignment horizontal="center" vertical="center"/>
      <protection locked="0"/>
    </xf>
    <xf numFmtId="3" fontId="18" fillId="7" borderId="48" xfId="0" applyNumberFormat="1" applyFont="1" applyFill="1" applyBorder="1" applyAlignment="1" applyProtection="1">
      <alignment horizontal="center" vertical="center"/>
      <protection locked="0"/>
    </xf>
    <xf numFmtId="3" fontId="18" fillId="7" borderId="53" xfId="0" applyNumberFormat="1" applyFont="1" applyFill="1" applyBorder="1" applyAlignment="1" applyProtection="1">
      <alignment horizontal="left" vertical="center"/>
      <protection locked="0"/>
    </xf>
    <xf numFmtId="3" fontId="25" fillId="7" borderId="51" xfId="0" applyNumberFormat="1" applyFont="1" applyFill="1" applyBorder="1" applyAlignment="1" applyProtection="1">
      <alignment horizontal="center" vertical="center"/>
      <protection locked="0"/>
    </xf>
    <xf numFmtId="3" fontId="18" fillId="7" borderId="51" xfId="0" applyNumberFormat="1" applyFont="1" applyFill="1" applyBorder="1" applyAlignment="1" applyProtection="1">
      <alignment horizontal="center" vertical="center"/>
      <protection locked="0"/>
    </xf>
    <xf numFmtId="3" fontId="18" fillId="15" borderId="51" xfId="0" applyNumberFormat="1" applyFont="1" applyFill="1" applyBorder="1" applyAlignment="1" applyProtection="1">
      <alignment horizontal="center" vertical="center"/>
      <protection locked="0"/>
    </xf>
    <xf numFmtId="4" fontId="18" fillId="15" borderId="51" xfId="0" applyNumberFormat="1" applyFont="1" applyFill="1" applyBorder="1" applyAlignment="1" applyProtection="1">
      <alignment horizontal="center" vertical="center"/>
      <protection locked="0"/>
    </xf>
    <xf numFmtId="4" fontId="25" fillId="15" borderId="52" xfId="0" applyNumberFormat="1" applyFont="1" applyFill="1" applyBorder="1" applyAlignment="1" applyProtection="1">
      <alignment horizontal="center" vertical="center"/>
      <protection locked="0"/>
    </xf>
    <xf numFmtId="3" fontId="17" fillId="11" borderId="72" xfId="0" applyNumberFormat="1" applyFont="1" applyFill="1" applyBorder="1" applyAlignment="1" applyProtection="1">
      <alignment horizontal="center" vertical="center"/>
      <protection locked="0"/>
    </xf>
    <xf numFmtId="4" fontId="17" fillId="11" borderId="73" xfId="0" applyNumberFormat="1" applyFont="1" applyFill="1" applyBorder="1" applyAlignment="1" applyProtection="1">
      <alignment horizontal="center" vertical="center"/>
      <protection locked="0"/>
    </xf>
    <xf numFmtId="3" fontId="26" fillId="11" borderId="73" xfId="0" applyNumberFormat="1" applyFont="1" applyFill="1" applyBorder="1" applyAlignment="1" applyProtection="1">
      <alignment horizontal="center" vertical="center"/>
      <protection locked="0"/>
    </xf>
    <xf numFmtId="3" fontId="26" fillId="11" borderId="74" xfId="0" applyNumberFormat="1" applyFont="1" applyFill="1" applyBorder="1" applyAlignment="1" applyProtection="1">
      <alignment horizontal="center" vertical="center"/>
      <protection locked="0"/>
    </xf>
    <xf numFmtId="165" fontId="16" fillId="11" borderId="75" xfId="0" applyNumberFormat="1" applyFont="1" applyFill="1" applyBorder="1" applyAlignment="1" applyProtection="1">
      <alignment horizontal="center" vertical="center"/>
      <protection locked="0"/>
    </xf>
    <xf numFmtId="4" fontId="16" fillId="11" borderId="73" xfId="0" applyNumberFormat="1" applyFont="1" applyFill="1" applyBorder="1" applyAlignment="1" applyProtection="1">
      <alignment horizontal="center" vertical="center"/>
      <protection locked="0"/>
    </xf>
    <xf numFmtId="4" fontId="16" fillId="11" borderId="73" xfId="0" applyNumberFormat="1" applyFont="1" applyFill="1" applyBorder="1" applyAlignment="1">
      <alignment horizontal="center" vertical="center"/>
    </xf>
    <xf numFmtId="4" fontId="77" fillId="11" borderId="72" xfId="0" applyNumberFormat="1" applyFont="1" applyFill="1" applyBorder="1" applyAlignment="1">
      <alignment horizontal="center" vertical="center"/>
    </xf>
    <xf numFmtId="0" fontId="18" fillId="16" borderId="75" xfId="0" applyFont="1" applyFill="1" applyBorder="1" applyAlignment="1" applyProtection="1">
      <alignment horizontal="center" vertical="center"/>
      <protection locked="0"/>
    </xf>
    <xf numFmtId="4" fontId="18" fillId="16" borderId="63" xfId="0" applyNumberFormat="1" applyFont="1" applyFill="1" applyBorder="1" applyAlignment="1" applyProtection="1">
      <alignment horizontal="center" vertical="center"/>
      <protection locked="0"/>
    </xf>
    <xf numFmtId="173" fontId="16" fillId="11" borderId="76" xfId="1" applyNumberFormat="1" applyFont="1" applyFill="1" applyBorder="1" applyAlignment="1" applyProtection="1">
      <alignment horizontal="center" vertical="center"/>
      <protection locked="0"/>
    </xf>
    <xf numFmtId="171" fontId="16" fillId="11" borderId="74" xfId="0" applyNumberFormat="1" applyFont="1" applyFill="1" applyBorder="1" applyAlignment="1" applyProtection="1">
      <alignment horizontal="center" vertical="center"/>
      <protection locked="0"/>
    </xf>
    <xf numFmtId="0" fontId="18" fillId="16" borderId="49" xfId="0" applyFont="1" applyFill="1" applyBorder="1" applyAlignment="1" applyProtection="1">
      <alignment horizontal="center" vertical="center"/>
      <protection locked="0"/>
    </xf>
    <xf numFmtId="170" fontId="16" fillId="11" borderId="72" xfId="0" applyNumberFormat="1" applyFont="1" applyFill="1" applyBorder="1" applyAlignment="1" applyProtection="1">
      <alignment horizontal="center" vertical="center"/>
      <protection locked="0"/>
    </xf>
    <xf numFmtId="9" fontId="16" fillId="11" borderId="72" xfId="1" applyFont="1" applyFill="1" applyBorder="1" applyAlignment="1" applyProtection="1">
      <alignment horizontal="center" vertical="center"/>
      <protection locked="0"/>
    </xf>
    <xf numFmtId="9" fontId="16" fillId="11" borderId="76" xfId="1" applyFont="1" applyFill="1" applyBorder="1" applyAlignment="1" applyProtection="1">
      <alignment horizontal="center" vertical="center"/>
      <protection locked="0"/>
    </xf>
    <xf numFmtId="9" fontId="18" fillId="13" borderId="75" xfId="1" applyFont="1" applyFill="1" applyBorder="1" applyAlignment="1" applyProtection="1">
      <alignment horizontal="center" vertical="center"/>
      <protection locked="0"/>
    </xf>
    <xf numFmtId="9" fontId="18" fillId="13" borderId="63" xfId="1" applyFont="1" applyFill="1" applyBorder="1" applyAlignment="1" applyProtection="1">
      <alignment horizontal="center" vertical="center"/>
      <protection locked="0"/>
    </xf>
    <xf numFmtId="4" fontId="16" fillId="11" borderId="75" xfId="0" applyNumberFormat="1" applyFont="1" applyFill="1" applyBorder="1" applyAlignment="1" applyProtection="1">
      <alignment horizontal="center" vertical="center"/>
      <protection locked="0"/>
    </xf>
    <xf numFmtId="172" fontId="16" fillId="11" borderId="73" xfId="0" applyNumberFormat="1" applyFont="1" applyFill="1" applyBorder="1" applyAlignment="1" applyProtection="1">
      <alignment horizontal="center" vertical="center"/>
      <protection locked="0"/>
    </xf>
    <xf numFmtId="170" fontId="16" fillId="11" borderId="74" xfId="0" applyNumberFormat="1" applyFont="1" applyFill="1" applyBorder="1" applyAlignment="1" applyProtection="1">
      <alignment horizontal="center" vertical="center"/>
      <protection locked="0"/>
    </xf>
    <xf numFmtId="170" fontId="17" fillId="9" borderId="49" xfId="0" applyNumberFormat="1" applyFont="1" applyFill="1" applyBorder="1" applyAlignment="1" applyProtection="1">
      <alignment horizontal="center" vertical="center"/>
      <protection locked="0"/>
    </xf>
    <xf numFmtId="0" fontId="17" fillId="14" borderId="48" xfId="0" applyFont="1" applyFill="1" applyBorder="1" applyAlignment="1">
      <alignment horizontal="center" vertical="center"/>
    </xf>
    <xf numFmtId="0" fontId="17" fillId="14" borderId="51" xfId="0" applyFont="1" applyFill="1" applyBorder="1" applyAlignment="1">
      <alignment horizontal="center" vertical="center"/>
    </xf>
    <xf numFmtId="0" fontId="17" fillId="14" borderId="52" xfId="0" applyFont="1" applyFill="1" applyBorder="1" applyAlignment="1">
      <alignment horizontal="center" vertical="center"/>
    </xf>
    <xf numFmtId="0" fontId="17" fillId="14" borderId="53" xfId="0" applyFont="1" applyFill="1" applyBorder="1" applyAlignment="1">
      <alignment horizontal="center" vertical="center"/>
    </xf>
    <xf numFmtId="170" fontId="17" fillId="12" borderId="48" xfId="0" applyNumberFormat="1" applyFont="1" applyFill="1" applyBorder="1" applyAlignment="1" applyProtection="1">
      <alignment horizontal="center" vertical="center"/>
      <protection locked="0"/>
    </xf>
    <xf numFmtId="170" fontId="17" fillId="12" borderId="51" xfId="0" applyNumberFormat="1" applyFont="1" applyFill="1" applyBorder="1" applyAlignment="1" applyProtection="1">
      <alignment horizontal="center" vertical="center"/>
      <protection locked="0"/>
    </xf>
    <xf numFmtId="170" fontId="17" fillId="12" borderId="77" xfId="0" applyNumberFormat="1" applyFont="1" applyFill="1" applyBorder="1" applyAlignment="1" applyProtection="1">
      <alignment horizontal="center" vertical="center"/>
      <protection locked="0"/>
    </xf>
    <xf numFmtId="170" fontId="17" fillId="12" borderId="52" xfId="0" applyNumberFormat="1" applyFont="1" applyFill="1" applyBorder="1" applyAlignment="1" applyProtection="1">
      <alignment horizontal="center" vertical="center"/>
      <protection locked="0"/>
    </xf>
    <xf numFmtId="170" fontId="27" fillId="8" borderId="75" xfId="0" applyNumberFormat="1" applyFont="1" applyFill="1" applyBorder="1" applyAlignment="1" applyProtection="1">
      <alignment horizontal="center" vertical="center"/>
      <protection locked="0"/>
    </xf>
    <xf numFmtId="170" fontId="27" fillId="8" borderId="72" xfId="0" applyNumberFormat="1" applyFont="1" applyFill="1" applyBorder="1" applyAlignment="1" applyProtection="1">
      <alignment horizontal="center" vertical="center"/>
      <protection locked="0"/>
    </xf>
    <xf numFmtId="170" fontId="27" fillId="8" borderId="63" xfId="0" applyNumberFormat="1" applyFont="1" applyFill="1" applyBorder="1" applyAlignment="1" applyProtection="1">
      <alignment horizontal="center" vertical="center"/>
      <protection locked="0"/>
    </xf>
    <xf numFmtId="0" fontId="38" fillId="17" borderId="0" xfId="0" applyFont="1" applyFill="1" applyAlignment="1">
      <alignment horizontal="left" wrapText="1"/>
    </xf>
    <xf numFmtId="171" fontId="18" fillId="4" borderId="5" xfId="0" applyNumberFormat="1" applyFont="1" applyFill="1" applyBorder="1" applyAlignment="1" applyProtection="1">
      <alignment horizontal="center" vertical="center"/>
      <protection locked="0"/>
    </xf>
    <xf numFmtId="171" fontId="18" fillId="4" borderId="7" xfId="0" applyNumberFormat="1" applyFont="1" applyFill="1" applyBorder="1" applyAlignment="1" applyProtection="1">
      <alignment horizontal="center" vertical="center"/>
      <protection locked="0"/>
    </xf>
    <xf numFmtId="171" fontId="18" fillId="4" borderId="49" xfId="0" applyNumberFormat="1" applyFont="1" applyFill="1" applyBorder="1" applyAlignment="1" applyProtection="1">
      <alignment horizontal="center" vertical="center"/>
      <protection locked="0"/>
    </xf>
    <xf numFmtId="3" fontId="79" fillId="11" borderId="0" xfId="0" applyNumberFormat="1" applyFont="1" applyFill="1" applyAlignment="1" applyProtection="1">
      <alignment horizontal="center" vertical="center"/>
      <protection locked="0"/>
    </xf>
    <xf numFmtId="4" fontId="4" fillId="11" borderId="11" xfId="0" applyNumberFormat="1" applyFont="1" applyFill="1" applyBorder="1" applyAlignment="1" applyProtection="1">
      <alignment horizontal="center" vertical="center" wrapText="1"/>
      <protection locked="0"/>
    </xf>
    <xf numFmtId="0" fontId="16" fillId="11" borderId="0" xfId="0" applyFont="1" applyFill="1" applyAlignment="1" applyProtection="1">
      <alignment horizontal="center"/>
      <protection locked="0"/>
    </xf>
    <xf numFmtId="0" fontId="16" fillId="11" borderId="0" xfId="0" applyFont="1" applyFill="1" applyAlignment="1" applyProtection="1">
      <alignment horizontal="left"/>
      <protection locked="0"/>
    </xf>
    <xf numFmtId="0" fontId="39" fillId="0" borderId="0" xfId="0" applyFont="1"/>
    <xf numFmtId="3" fontId="2" fillId="11" borderId="42" xfId="0" applyNumberFormat="1" applyFont="1" applyFill="1" applyBorder="1" applyAlignment="1" applyProtection="1">
      <alignment horizontal="center" vertical="center"/>
      <protection locked="0"/>
    </xf>
    <xf numFmtId="3" fontId="2" fillId="11" borderId="40" xfId="0" applyNumberFormat="1" applyFont="1" applyFill="1" applyBorder="1" applyAlignment="1" applyProtection="1">
      <alignment horizontal="center" vertical="center" textRotation="90"/>
      <protection locked="0"/>
    </xf>
    <xf numFmtId="3" fontId="28" fillId="11" borderId="0" xfId="0" applyNumberFormat="1" applyFont="1" applyFill="1" applyAlignment="1" applyProtection="1">
      <alignment horizontal="center" vertical="center"/>
      <protection locked="0"/>
    </xf>
    <xf numFmtId="0" fontId="16" fillId="11" borderId="0" xfId="0" applyFont="1" applyFill="1" applyAlignment="1" applyProtection="1">
      <alignment vertical="center"/>
      <protection locked="0"/>
    </xf>
    <xf numFmtId="3" fontId="4" fillId="11" borderId="0" xfId="0" applyNumberFormat="1" applyFont="1" applyFill="1" applyAlignment="1" applyProtection="1">
      <alignment vertical="center"/>
      <protection locked="0"/>
    </xf>
    <xf numFmtId="0" fontId="78" fillId="17" borderId="0" xfId="0" applyFont="1" applyFill="1" applyAlignment="1">
      <alignment horizontal="right" vertical="center"/>
    </xf>
    <xf numFmtId="0" fontId="0" fillId="0" borderId="0" xfId="0" applyAlignment="1">
      <alignment wrapText="1"/>
    </xf>
    <xf numFmtId="0" fontId="2" fillId="0" borderId="0" xfId="0" applyFont="1" applyAlignment="1" applyProtection="1">
      <alignment horizontal="center" wrapText="1"/>
      <protection locked="0"/>
    </xf>
    <xf numFmtId="3" fontId="17" fillId="14" borderId="18" xfId="0" applyNumberFormat="1" applyFont="1" applyFill="1" applyBorder="1" applyAlignment="1" applyProtection="1">
      <alignment horizontal="center" vertical="center"/>
      <protection locked="0"/>
    </xf>
    <xf numFmtId="3" fontId="17" fillId="14" borderId="19" xfId="0" applyNumberFormat="1" applyFont="1" applyFill="1" applyBorder="1" applyAlignment="1" applyProtection="1">
      <alignment horizontal="center" vertical="center"/>
      <protection locked="0"/>
    </xf>
    <xf numFmtId="3" fontId="17" fillId="14" borderId="12" xfId="0" applyNumberFormat="1" applyFont="1" applyFill="1" applyBorder="1" applyAlignment="1" applyProtection="1">
      <alignment horizontal="center" vertical="center"/>
      <protection locked="0"/>
    </xf>
    <xf numFmtId="4" fontId="17" fillId="14" borderId="18" xfId="0" applyNumberFormat="1" applyFont="1" applyFill="1" applyBorder="1" applyAlignment="1" applyProtection="1">
      <alignment horizontal="center" vertical="center"/>
      <protection locked="0"/>
    </xf>
    <xf numFmtId="4" fontId="17" fillId="14" borderId="19" xfId="0" applyNumberFormat="1" applyFont="1" applyFill="1" applyBorder="1" applyAlignment="1" applyProtection="1">
      <alignment horizontal="center" vertical="center"/>
      <protection locked="0"/>
    </xf>
    <xf numFmtId="4" fontId="17" fillId="14" borderId="12" xfId="0" applyNumberFormat="1" applyFont="1" applyFill="1" applyBorder="1" applyAlignment="1" applyProtection="1">
      <alignment horizontal="center" vertical="center"/>
      <protection locked="0"/>
    </xf>
    <xf numFmtId="171" fontId="17" fillId="19" borderId="18" xfId="0" applyNumberFormat="1" applyFont="1" applyFill="1" applyBorder="1" applyAlignment="1" applyProtection="1">
      <alignment horizontal="center" vertical="center"/>
      <protection locked="0"/>
    </xf>
    <xf numFmtId="171" fontId="17" fillId="19" borderId="19" xfId="0" applyNumberFormat="1" applyFont="1" applyFill="1" applyBorder="1" applyAlignment="1" applyProtection="1">
      <alignment horizontal="center" vertical="center"/>
      <protection locked="0"/>
    </xf>
    <xf numFmtId="171" fontId="17" fillId="19" borderId="12" xfId="0" applyNumberFormat="1" applyFont="1" applyFill="1" applyBorder="1" applyAlignment="1" applyProtection="1">
      <alignment horizontal="center" vertical="center"/>
      <protection locked="0"/>
    </xf>
    <xf numFmtId="4" fontId="40" fillId="12" borderId="81" xfId="0" applyNumberFormat="1" applyFont="1" applyFill="1" applyBorder="1" applyAlignment="1" applyProtection="1">
      <alignment horizontal="center" vertical="center"/>
      <protection locked="0"/>
    </xf>
    <xf numFmtId="4" fontId="40" fillId="12" borderId="2" xfId="0" applyNumberFormat="1" applyFont="1" applyFill="1" applyBorder="1" applyAlignment="1" applyProtection="1">
      <alignment horizontal="center" vertical="center"/>
      <protection locked="0"/>
    </xf>
    <xf numFmtId="3" fontId="17" fillId="8" borderId="19" xfId="0" applyNumberFormat="1" applyFont="1" applyFill="1" applyBorder="1" applyAlignment="1" applyProtection="1">
      <alignment horizontal="center" vertical="center"/>
      <protection locked="0"/>
    </xf>
    <xf numFmtId="3" fontId="17" fillId="8" borderId="12" xfId="0" applyNumberFormat="1" applyFont="1" applyFill="1" applyBorder="1" applyAlignment="1" applyProtection="1">
      <alignment horizontal="center" vertical="center"/>
      <protection locked="0"/>
    </xf>
    <xf numFmtId="0" fontId="9" fillId="2" borderId="4" xfId="2" applyFont="1" applyFill="1" applyBorder="1" applyAlignment="1">
      <alignment horizontal="left" vertical="top"/>
    </xf>
    <xf numFmtId="0" fontId="9" fillId="2" borderId="4" xfId="2" applyFont="1" applyFill="1" applyBorder="1" applyAlignment="1">
      <alignment horizontal="center" vertical="top"/>
    </xf>
    <xf numFmtId="0" fontId="9" fillId="2" borderId="4" xfId="2" applyFont="1" applyFill="1" applyBorder="1" applyAlignment="1">
      <alignment horizontal="center" vertical="top" wrapText="1"/>
    </xf>
    <xf numFmtId="3" fontId="43" fillId="11" borderId="0" xfId="0" applyNumberFormat="1" applyFont="1" applyFill="1" applyAlignment="1">
      <alignment horizontal="center" vertical="center"/>
    </xf>
    <xf numFmtId="0" fontId="43" fillId="11" borderId="0" xfId="0" applyFont="1" applyFill="1" applyAlignment="1">
      <alignment horizontal="center" vertical="center"/>
    </xf>
    <xf numFmtId="0" fontId="43" fillId="11" borderId="19" xfId="0" applyFont="1" applyFill="1" applyBorder="1" applyAlignment="1">
      <alignment horizontal="center" vertical="center"/>
    </xf>
    <xf numFmtId="170" fontId="51" fillId="17" borderId="0" xfId="0" applyNumberFormat="1" applyFont="1" applyFill="1" applyAlignment="1">
      <alignment horizontal="center" vertical="center"/>
    </xf>
    <xf numFmtId="0" fontId="57" fillId="0" borderId="20" xfId="0" applyFont="1" applyBorder="1" applyAlignment="1">
      <alignment horizontal="center" vertical="center"/>
    </xf>
    <xf numFmtId="0" fontId="57" fillId="0" borderId="0" xfId="0" applyFont="1" applyAlignment="1">
      <alignment horizontal="center" vertical="center"/>
    </xf>
    <xf numFmtId="0" fontId="57" fillId="0" borderId="11" xfId="0" applyFont="1" applyBorder="1" applyAlignment="1">
      <alignment horizontal="center" vertical="center"/>
    </xf>
    <xf numFmtId="0" fontId="57" fillId="0" borderId="18" xfId="0" applyFont="1" applyBorder="1" applyAlignment="1">
      <alignment horizontal="center" vertical="center"/>
    </xf>
    <xf numFmtId="0" fontId="57" fillId="0" borderId="19" xfId="0" applyFont="1" applyBorder="1" applyAlignment="1">
      <alignment horizontal="center" vertical="center"/>
    </xf>
    <xf numFmtId="0" fontId="57" fillId="0" borderId="12" xfId="0" applyFont="1" applyBorder="1" applyAlignment="1">
      <alignment horizontal="center" vertical="center"/>
    </xf>
    <xf numFmtId="0" fontId="0" fillId="11" borderId="0" xfId="0" applyFill="1" applyAlignment="1">
      <alignment horizontal="center" vertical="center"/>
    </xf>
    <xf numFmtId="0" fontId="0" fillId="11" borderId="19" xfId="0" applyFill="1" applyBorder="1" applyAlignment="1">
      <alignment horizontal="center" vertical="center"/>
    </xf>
    <xf numFmtId="0" fontId="0" fillId="8" borderId="0" xfId="0" applyFill="1" applyAlignment="1">
      <alignment horizontal="center"/>
    </xf>
    <xf numFmtId="0" fontId="0" fillId="8" borderId="11" xfId="0" applyFill="1" applyBorder="1" applyAlignment="1">
      <alignment horizontal="center"/>
    </xf>
    <xf numFmtId="0" fontId="0" fillId="8" borderId="19" xfId="0" applyFill="1" applyBorder="1" applyAlignment="1">
      <alignment horizontal="center"/>
    </xf>
    <xf numFmtId="0" fontId="0" fillId="8" borderId="12" xfId="0" applyFill="1" applyBorder="1" applyAlignment="1">
      <alignment horizontal="center"/>
    </xf>
    <xf numFmtId="3" fontId="43" fillId="11" borderId="0" xfId="0" applyNumberFormat="1" applyFont="1" applyFill="1" applyAlignment="1">
      <alignment horizontal="center" vertical="center" wrapText="1"/>
    </xf>
    <xf numFmtId="0" fontId="48" fillId="11" borderId="0" xfId="0" applyFont="1" applyFill="1" applyAlignment="1">
      <alignment horizontal="center" vertical="center"/>
    </xf>
    <xf numFmtId="0" fontId="35" fillId="8" borderId="17" xfId="0" applyFont="1" applyFill="1" applyBorder="1" applyAlignment="1">
      <alignment horizontal="center" vertical="center"/>
    </xf>
    <xf numFmtId="0" fontId="35" fillId="8" borderId="0" xfId="0" applyFont="1" applyFill="1" applyAlignment="1">
      <alignment horizontal="center" vertical="center"/>
    </xf>
    <xf numFmtId="170" fontId="5" fillId="11" borderId="17" xfId="0" applyNumberFormat="1" applyFont="1" applyFill="1" applyBorder="1" applyAlignment="1" applyProtection="1">
      <alignment horizontal="center" vertical="center"/>
      <protection locked="0"/>
    </xf>
    <xf numFmtId="3" fontId="52" fillId="11" borderId="16" xfId="0" applyNumberFormat="1" applyFont="1" applyFill="1" applyBorder="1" applyAlignment="1" applyProtection="1">
      <alignment horizontal="right" vertical="center"/>
      <protection locked="0"/>
    </xf>
    <xf numFmtId="3" fontId="52" fillId="11" borderId="17" xfId="0" applyNumberFormat="1" applyFont="1" applyFill="1" applyBorder="1" applyAlignment="1" applyProtection="1">
      <alignment horizontal="right" vertical="center"/>
      <protection locked="0"/>
    </xf>
    <xf numFmtId="177" fontId="5" fillId="11" borderId="19" xfId="0" applyNumberFormat="1" applyFont="1" applyFill="1" applyBorder="1" applyAlignment="1" applyProtection="1">
      <alignment horizontal="center" vertical="center"/>
      <protection locked="0"/>
    </xf>
    <xf numFmtId="9" fontId="68" fillId="8" borderId="0" xfId="1" applyFont="1" applyFill="1" applyBorder="1" applyAlignment="1">
      <alignment horizontal="center" vertical="top"/>
    </xf>
    <xf numFmtId="0" fontId="38" fillId="17" borderId="0" xfId="0" applyFont="1" applyFill="1" applyAlignment="1">
      <alignment horizontal="center" wrapText="1"/>
    </xf>
    <xf numFmtId="170" fontId="81" fillId="17" borderId="0" xfId="0" applyNumberFormat="1" applyFont="1" applyFill="1" applyAlignment="1">
      <alignment horizontal="center" wrapText="1"/>
    </xf>
    <xf numFmtId="0" fontId="81" fillId="17" borderId="0" xfId="0" applyFont="1" applyFill="1" applyAlignment="1">
      <alignment horizontal="center" wrapText="1"/>
    </xf>
    <xf numFmtId="0" fontId="51" fillId="17" borderId="0" xfId="0" applyFont="1" applyFill="1" applyAlignment="1">
      <alignment horizontal="right" vertical="center" wrapText="1"/>
    </xf>
    <xf numFmtId="0" fontId="51" fillId="17" borderId="19" xfId="0" applyFont="1" applyFill="1" applyBorder="1" applyAlignment="1">
      <alignment horizontal="right" vertical="center" wrapText="1"/>
    </xf>
    <xf numFmtId="0" fontId="0" fillId="17" borderId="20" xfId="0" applyFill="1" applyBorder="1" applyAlignment="1">
      <alignment horizontal="right" vertical="center"/>
    </xf>
    <xf numFmtId="0" fontId="0" fillId="17" borderId="0" xfId="0" applyFill="1" applyAlignment="1">
      <alignment horizontal="right" vertical="center"/>
    </xf>
    <xf numFmtId="0" fontId="0" fillId="0" borderId="0" xfId="0" applyAlignment="1">
      <alignment horizontal="center" vertical="top"/>
    </xf>
    <xf numFmtId="0" fontId="56" fillId="17" borderId="0" xfId="0" applyFont="1" applyFill="1" applyAlignment="1">
      <alignment horizontal="center" vertical="center" wrapText="1"/>
    </xf>
    <xf numFmtId="0" fontId="51" fillId="17" borderId="20" xfId="0" applyFont="1" applyFill="1" applyBorder="1" applyAlignment="1">
      <alignment horizontal="left" vertical="center"/>
    </xf>
    <xf numFmtId="0" fontId="51" fillId="17" borderId="0" xfId="0" applyFont="1" applyFill="1" applyAlignment="1">
      <alignment horizontal="left" vertical="center"/>
    </xf>
    <xf numFmtId="0" fontId="51" fillId="17" borderId="20" xfId="0" applyFont="1" applyFill="1" applyBorder="1" applyAlignment="1">
      <alignment vertical="top"/>
    </xf>
    <xf numFmtId="0" fontId="51" fillId="17" borderId="0" xfId="0" applyFont="1" applyFill="1" applyAlignment="1">
      <alignment vertical="top"/>
    </xf>
    <xf numFmtId="0" fontId="43" fillId="11" borderId="11" xfId="0" applyFont="1" applyFill="1" applyBorder="1" applyAlignment="1">
      <alignment horizontal="center" vertical="center"/>
    </xf>
    <xf numFmtId="0" fontId="0" fillId="11" borderId="17" xfId="0" applyFill="1" applyBorder="1" applyAlignment="1">
      <alignment horizontal="right" vertical="center"/>
    </xf>
    <xf numFmtId="0" fontId="0" fillId="11" borderId="0" xfId="0" applyFill="1" applyAlignment="1">
      <alignment horizontal="right" vertical="center"/>
    </xf>
    <xf numFmtId="0" fontId="43" fillId="11" borderId="17" xfId="0" applyFont="1" applyFill="1" applyBorder="1" applyAlignment="1">
      <alignment horizontal="center" vertical="center"/>
    </xf>
    <xf numFmtId="170" fontId="71" fillId="0" borderId="9" xfId="0" applyNumberFormat="1" applyFont="1" applyBorder="1" applyAlignment="1">
      <alignment horizontal="center" vertical="center"/>
    </xf>
    <xf numFmtId="0" fontId="71" fillId="0" borderId="2" xfId="0" applyFont="1" applyBorder="1" applyAlignment="1">
      <alignment horizontal="center" vertical="center"/>
    </xf>
    <xf numFmtId="0" fontId="57" fillId="0" borderId="16" xfId="0" applyFont="1" applyBorder="1" applyAlignment="1">
      <alignment horizontal="right" vertical="center"/>
    </xf>
    <xf numFmtId="0" fontId="57" fillId="0" borderId="17" xfId="0" applyFont="1" applyBorder="1" applyAlignment="1">
      <alignment horizontal="right" vertical="center"/>
    </xf>
    <xf numFmtId="0" fontId="57" fillId="0" borderId="10" xfId="0" applyFont="1" applyBorder="1" applyAlignment="1">
      <alignment horizontal="right" vertical="center"/>
    </xf>
    <xf numFmtId="0" fontId="57" fillId="0" borderId="18" xfId="0" applyFont="1" applyBorder="1" applyAlignment="1">
      <alignment horizontal="right" vertical="center"/>
    </xf>
    <xf numFmtId="0" fontId="57" fillId="0" borderId="19" xfId="0" applyFont="1" applyBorder="1" applyAlignment="1">
      <alignment horizontal="right" vertical="center"/>
    </xf>
    <xf numFmtId="0" fontId="57" fillId="0" borderId="12" xfId="0" applyFont="1" applyBorder="1" applyAlignment="1">
      <alignment horizontal="right" vertical="center"/>
    </xf>
    <xf numFmtId="14" fontId="43" fillId="11" borderId="10" xfId="0" applyNumberFormat="1" applyFont="1" applyFill="1" applyBorder="1" applyAlignment="1">
      <alignment horizontal="center" vertical="center"/>
    </xf>
    <xf numFmtId="14" fontId="43" fillId="11" borderId="11" xfId="0" applyNumberFormat="1" applyFont="1" applyFill="1" applyBorder="1" applyAlignment="1">
      <alignment horizontal="center" vertical="center"/>
    </xf>
    <xf numFmtId="0" fontId="48" fillId="11" borderId="19" xfId="0" applyFont="1" applyFill="1" applyBorder="1" applyAlignment="1">
      <alignment horizontal="center" vertical="center"/>
    </xf>
    <xf numFmtId="170" fontId="51" fillId="8" borderId="0" xfId="0" applyNumberFormat="1" applyFont="1" applyFill="1" applyAlignment="1">
      <alignment horizontal="center" vertical="center"/>
    </xf>
    <xf numFmtId="170" fontId="51" fillId="8" borderId="11" xfId="0" applyNumberFormat="1" applyFont="1" applyFill="1" applyBorder="1" applyAlignment="1">
      <alignment horizontal="center" vertical="center"/>
    </xf>
    <xf numFmtId="0" fontId="34" fillId="17" borderId="0" xfId="0" applyFont="1" applyFill="1" applyAlignment="1">
      <alignment horizontal="right" vertical="center"/>
    </xf>
    <xf numFmtId="170" fontId="51" fillId="11" borderId="0" xfId="0" applyNumberFormat="1" applyFont="1" applyFill="1" applyAlignment="1">
      <alignment horizontal="center" vertical="center"/>
    </xf>
    <xf numFmtId="170" fontId="51" fillId="11" borderId="11" xfId="0" applyNumberFormat="1" applyFont="1" applyFill="1" applyBorder="1" applyAlignment="1">
      <alignment horizontal="center" vertical="center"/>
    </xf>
    <xf numFmtId="170" fontId="43" fillId="11" borderId="0" xfId="0" applyNumberFormat="1" applyFont="1" applyFill="1" applyAlignment="1">
      <alignment horizontal="center" vertical="center"/>
    </xf>
    <xf numFmtId="0" fontId="56" fillId="11" borderId="16" xfId="0" applyFont="1" applyFill="1" applyBorder="1" applyAlignment="1">
      <alignment horizontal="center" vertical="center"/>
    </xf>
    <xf numFmtId="0" fontId="56" fillId="11" borderId="17" xfId="0" applyFont="1" applyFill="1" applyBorder="1" applyAlignment="1">
      <alignment horizontal="center" vertical="center"/>
    </xf>
    <xf numFmtId="0" fontId="56" fillId="11" borderId="10" xfId="0" applyFont="1" applyFill="1" applyBorder="1" applyAlignment="1">
      <alignment horizontal="center" vertical="center"/>
    </xf>
    <xf numFmtId="173" fontId="5" fillId="11" borderId="0" xfId="1" applyNumberFormat="1" applyFont="1" applyFill="1" applyBorder="1" applyAlignment="1" applyProtection="1">
      <alignment horizontal="center" vertical="center"/>
      <protection locked="0"/>
    </xf>
    <xf numFmtId="170" fontId="0" fillId="11" borderId="0" xfId="0" applyNumberFormat="1" applyFill="1" applyAlignment="1">
      <alignment horizontal="center" vertical="center"/>
    </xf>
    <xf numFmtId="0" fontId="0" fillId="11" borderId="20" xfId="0" applyFill="1" applyBorder="1" applyAlignment="1">
      <alignment horizontal="center" vertical="center"/>
    </xf>
    <xf numFmtId="3" fontId="37" fillId="4" borderId="37" xfId="0" applyNumberFormat="1" applyFont="1" applyFill="1" applyBorder="1" applyAlignment="1" applyProtection="1">
      <alignment horizontal="left" vertical="center"/>
      <protection locked="0"/>
    </xf>
    <xf numFmtId="3" fontId="37" fillId="4" borderId="35" xfId="0" applyNumberFormat="1" applyFont="1" applyFill="1" applyBorder="1" applyAlignment="1" applyProtection="1">
      <alignment horizontal="left" vertical="center"/>
      <protection locked="0"/>
    </xf>
    <xf numFmtId="170" fontId="10" fillId="11" borderId="21" xfId="0" applyNumberFormat="1" applyFont="1" applyFill="1" applyBorder="1" applyAlignment="1" applyProtection="1">
      <alignment horizontal="center" vertical="center"/>
      <protection locked="0"/>
    </xf>
    <xf numFmtId="170" fontId="10" fillId="11" borderId="22" xfId="0" applyNumberFormat="1" applyFont="1" applyFill="1" applyBorder="1" applyAlignment="1" applyProtection="1">
      <alignment horizontal="center" vertical="center"/>
      <protection locked="0"/>
    </xf>
    <xf numFmtId="170" fontId="10" fillId="11" borderId="8" xfId="0" applyNumberFormat="1" applyFont="1" applyFill="1" applyBorder="1" applyAlignment="1" applyProtection="1">
      <alignment horizontal="center" vertical="center"/>
      <protection locked="0"/>
    </xf>
    <xf numFmtId="173" fontId="80" fillId="0" borderId="21" xfId="1" applyNumberFormat="1" applyFont="1" applyBorder="1" applyAlignment="1">
      <alignment horizontal="center" vertical="center"/>
    </xf>
    <xf numFmtId="173" fontId="80" fillId="0" borderId="22" xfId="1" applyNumberFormat="1" applyFont="1" applyBorder="1" applyAlignment="1">
      <alignment horizontal="center" vertical="center"/>
    </xf>
    <xf numFmtId="0" fontId="56" fillId="11" borderId="16" xfId="0" applyFont="1" applyFill="1" applyBorder="1" applyAlignment="1">
      <alignment horizontal="center" vertical="center" wrapText="1"/>
    </xf>
    <xf numFmtId="0" fontId="56" fillId="11" borderId="17" xfId="0" applyFont="1" applyFill="1" applyBorder="1" applyAlignment="1">
      <alignment horizontal="center" vertical="center" wrapText="1"/>
    </xf>
    <xf numFmtId="0" fontId="56" fillId="11" borderId="10" xfId="0" applyFont="1" applyFill="1" applyBorder="1" applyAlignment="1">
      <alignment horizontal="center" vertical="center" wrapText="1"/>
    </xf>
    <xf numFmtId="0" fontId="56" fillId="11" borderId="20" xfId="0" applyFont="1" applyFill="1" applyBorder="1" applyAlignment="1">
      <alignment horizontal="center" vertical="center" wrapText="1"/>
    </xf>
    <xf numFmtId="0" fontId="56" fillId="11" borderId="0" xfId="0" applyFont="1" applyFill="1" applyAlignment="1">
      <alignment horizontal="center" vertical="center" wrapText="1"/>
    </xf>
    <xf numFmtId="0" fontId="56" fillId="11" borderId="11" xfId="0" applyFont="1" applyFill="1" applyBorder="1" applyAlignment="1">
      <alignment horizontal="center" vertical="center" wrapText="1"/>
    </xf>
    <xf numFmtId="0" fontId="56" fillId="17" borderId="16" xfId="0" applyFont="1" applyFill="1" applyBorder="1" applyAlignment="1">
      <alignment horizontal="center" vertical="center"/>
    </xf>
    <xf numFmtId="0" fontId="56" fillId="17" borderId="17" xfId="0" applyFont="1" applyFill="1" applyBorder="1" applyAlignment="1">
      <alignment horizontal="center" vertical="center"/>
    </xf>
    <xf numFmtId="0" fontId="56" fillId="17" borderId="20" xfId="0" applyFont="1" applyFill="1" applyBorder="1" applyAlignment="1">
      <alignment horizontal="center" vertical="center"/>
    </xf>
    <xf numFmtId="0" fontId="56" fillId="17" borderId="0" xfId="0" applyFont="1" applyFill="1" applyAlignment="1">
      <alignment horizontal="center" vertical="center"/>
    </xf>
    <xf numFmtId="0" fontId="70" fillId="11" borderId="20" xfId="0" applyFont="1" applyFill="1" applyBorder="1" applyAlignment="1">
      <alignment horizontal="center" vertical="center"/>
    </xf>
    <xf numFmtId="0" fontId="70" fillId="11" borderId="0" xfId="0" applyFont="1" applyFill="1" applyAlignment="1">
      <alignment horizontal="center" vertical="center"/>
    </xf>
    <xf numFmtId="0" fontId="70" fillId="11" borderId="11" xfId="0" applyFont="1" applyFill="1" applyBorder="1" applyAlignment="1">
      <alignment horizontal="center" vertical="center"/>
    </xf>
    <xf numFmtId="0" fontId="51" fillId="11" borderId="0" xfId="0" applyFont="1" applyFill="1" applyAlignment="1">
      <alignment horizontal="center" vertical="center"/>
    </xf>
    <xf numFmtId="170" fontId="0" fillId="11" borderId="20" xfId="0" applyNumberFormat="1" applyFill="1" applyBorder="1" applyAlignment="1">
      <alignment horizontal="center" vertical="center"/>
    </xf>
    <xf numFmtId="174" fontId="16" fillId="0" borderId="20" xfId="0" applyNumberFormat="1" applyFont="1" applyBorder="1" applyAlignment="1" applyProtection="1">
      <alignment horizontal="center" vertical="center"/>
      <protection locked="0"/>
    </xf>
    <xf numFmtId="174" fontId="16" fillId="0" borderId="0" xfId="0" applyNumberFormat="1" applyFont="1" applyAlignment="1" applyProtection="1">
      <alignment horizontal="center" vertical="center"/>
      <protection locked="0"/>
    </xf>
    <xf numFmtId="3" fontId="5" fillId="11" borderId="0" xfId="0" applyNumberFormat="1" applyFont="1" applyFill="1" applyAlignment="1" applyProtection="1">
      <alignment horizontal="right" vertical="center"/>
      <protection locked="0"/>
    </xf>
    <xf numFmtId="3" fontId="5" fillId="11" borderId="11" xfId="0" applyNumberFormat="1" applyFont="1" applyFill="1" applyBorder="1" applyAlignment="1" applyProtection="1">
      <alignment horizontal="right" vertical="center"/>
      <protection locked="0"/>
    </xf>
    <xf numFmtId="174" fontId="5" fillId="11" borderId="20" xfId="0" applyNumberFormat="1" applyFont="1" applyFill="1" applyBorder="1" applyAlignment="1" applyProtection="1">
      <alignment horizontal="right" vertical="center"/>
      <protection locked="0"/>
    </xf>
    <xf numFmtId="174" fontId="5" fillId="11" borderId="0" xfId="0" applyNumberFormat="1" applyFont="1" applyFill="1" applyAlignment="1" applyProtection="1">
      <alignment horizontal="right" vertical="center"/>
      <protection locked="0"/>
    </xf>
    <xf numFmtId="174" fontId="5" fillId="11" borderId="11" xfId="0" applyNumberFormat="1" applyFont="1" applyFill="1" applyBorder="1" applyAlignment="1" applyProtection="1">
      <alignment horizontal="right" vertical="center"/>
      <protection locked="0"/>
    </xf>
    <xf numFmtId="0" fontId="67" fillId="11" borderId="17" xfId="0" applyFont="1" applyFill="1" applyBorder="1" applyAlignment="1">
      <alignment horizontal="center" vertical="center"/>
    </xf>
    <xf numFmtId="0" fontId="67" fillId="11" borderId="10" xfId="0" applyFont="1" applyFill="1" applyBorder="1" applyAlignment="1">
      <alignment horizontal="center" vertical="center"/>
    </xf>
    <xf numFmtId="0" fontId="60" fillId="11" borderId="16" xfId="0" applyFont="1" applyFill="1" applyBorder="1" applyAlignment="1">
      <alignment horizontal="center" vertical="center" textRotation="90"/>
    </xf>
    <xf numFmtId="0" fontId="60" fillId="11" borderId="10" xfId="0" applyFont="1" applyFill="1" applyBorder="1" applyAlignment="1">
      <alignment horizontal="center" vertical="center" textRotation="90"/>
    </xf>
    <xf numFmtId="0" fontId="60" fillId="11" borderId="20" xfId="0" applyFont="1" applyFill="1" applyBorder="1" applyAlignment="1">
      <alignment horizontal="center" vertical="center" textRotation="90"/>
    </xf>
    <xf numFmtId="0" fontId="60" fillId="11" borderId="11" xfId="0" applyFont="1" applyFill="1" applyBorder="1" applyAlignment="1">
      <alignment horizontal="center" vertical="center" textRotation="90"/>
    </xf>
    <xf numFmtId="0" fontId="60" fillId="11" borderId="18" xfId="0" applyFont="1" applyFill="1" applyBorder="1" applyAlignment="1">
      <alignment horizontal="center" vertical="center" textRotation="90"/>
    </xf>
    <xf numFmtId="0" fontId="60" fillId="11" borderId="12" xfId="0" applyFont="1" applyFill="1" applyBorder="1" applyAlignment="1">
      <alignment horizontal="center" vertical="center" textRotation="90"/>
    </xf>
    <xf numFmtId="0" fontId="0" fillId="11" borderId="16" xfId="0" applyFill="1" applyBorder="1" applyAlignment="1">
      <alignment horizontal="center"/>
    </xf>
    <xf numFmtId="0" fontId="0" fillId="11" borderId="20" xfId="0" applyFill="1" applyBorder="1" applyAlignment="1">
      <alignment horizontal="center"/>
    </xf>
    <xf numFmtId="0" fontId="0" fillId="11" borderId="18" xfId="0" applyFill="1" applyBorder="1" applyAlignment="1">
      <alignment horizontal="center"/>
    </xf>
    <xf numFmtId="0" fontId="34" fillId="17" borderId="0" xfId="0" applyFont="1" applyFill="1" applyAlignment="1">
      <alignment horizontal="center" vertical="center"/>
    </xf>
    <xf numFmtId="170" fontId="43" fillId="11" borderId="11" xfId="0" applyNumberFormat="1" applyFont="1" applyFill="1" applyBorder="1" applyAlignment="1">
      <alignment horizontal="center" vertical="center"/>
    </xf>
    <xf numFmtId="170" fontId="0" fillId="0" borderId="0" xfId="0" applyNumberFormat="1" applyAlignment="1">
      <alignment horizontal="center" vertical="center"/>
    </xf>
    <xf numFmtId="0" fontId="0" fillId="0" borderId="0" xfId="0" applyAlignment="1">
      <alignment horizontal="center" vertical="center"/>
    </xf>
    <xf numFmtId="170" fontId="72" fillId="17" borderId="0" xfId="0" applyNumberFormat="1" applyFont="1" applyFill="1" applyAlignment="1">
      <alignment horizontal="center" vertical="center"/>
    </xf>
    <xf numFmtId="170" fontId="68" fillId="17" borderId="0" xfId="0" applyNumberFormat="1" applyFont="1" applyFill="1" applyAlignment="1">
      <alignment horizontal="center" vertical="center"/>
    </xf>
    <xf numFmtId="170" fontId="68" fillId="17" borderId="19" xfId="0" applyNumberFormat="1" applyFont="1" applyFill="1" applyBorder="1" applyAlignment="1">
      <alignment horizontal="center" vertical="center"/>
    </xf>
    <xf numFmtId="3" fontId="58" fillId="11" borderId="0" xfId="0" applyNumberFormat="1" applyFont="1" applyFill="1" applyAlignment="1">
      <alignment horizontal="center" vertical="center"/>
    </xf>
    <xf numFmtId="170" fontId="0" fillId="17" borderId="0" xfId="0" applyNumberFormat="1" applyFill="1" applyAlignment="1">
      <alignment horizontal="center" vertical="center"/>
    </xf>
    <xf numFmtId="0" fontId="68" fillId="17" borderId="0" xfId="0" applyFont="1" applyFill="1" applyAlignment="1">
      <alignment horizontal="center" vertical="center"/>
    </xf>
    <xf numFmtId="170" fontId="35" fillId="11" borderId="0" xfId="0" applyNumberFormat="1" applyFont="1" applyFill="1" applyAlignment="1">
      <alignment horizontal="center" vertical="center"/>
    </xf>
    <xf numFmtId="170" fontId="35" fillId="11" borderId="11" xfId="0" applyNumberFormat="1" applyFont="1" applyFill="1" applyBorder="1" applyAlignment="1">
      <alignment horizontal="center" vertical="center"/>
    </xf>
    <xf numFmtId="170" fontId="34" fillId="17" borderId="0" xfId="0" applyNumberFormat="1" applyFont="1" applyFill="1" applyAlignment="1">
      <alignment horizontal="center" vertical="center" wrapText="1"/>
    </xf>
    <xf numFmtId="0" fontId="46" fillId="17" borderId="0" xfId="0" applyFont="1" applyFill="1" applyAlignment="1">
      <alignment horizontal="right" vertical="center"/>
    </xf>
    <xf numFmtId="0" fontId="46" fillId="17" borderId="0" xfId="0" applyFont="1" applyFill="1" applyAlignment="1">
      <alignment horizontal="center" vertical="center"/>
    </xf>
    <xf numFmtId="3" fontId="1" fillId="11" borderId="21" xfId="0" applyNumberFormat="1" applyFont="1" applyFill="1" applyBorder="1" applyAlignment="1" applyProtection="1">
      <alignment horizontal="center" vertical="center" wrapText="1"/>
      <protection locked="0"/>
    </xf>
    <xf numFmtId="3" fontId="1" fillId="11" borderId="22" xfId="0" applyNumberFormat="1" applyFont="1" applyFill="1" applyBorder="1" applyAlignment="1" applyProtection="1">
      <alignment horizontal="center" vertical="center" wrapText="1"/>
      <protection locked="0"/>
    </xf>
    <xf numFmtId="3" fontId="20" fillId="11" borderId="22" xfId="0" applyNumberFormat="1" applyFont="1" applyFill="1" applyBorder="1" applyAlignment="1" applyProtection="1">
      <alignment horizontal="center" vertical="center"/>
      <protection locked="0"/>
    </xf>
    <xf numFmtId="3" fontId="5" fillId="11" borderId="20" xfId="0" applyNumberFormat="1" applyFont="1" applyFill="1" applyBorder="1" applyAlignment="1" applyProtection="1">
      <alignment horizontal="right" vertical="center"/>
      <protection locked="0"/>
    </xf>
    <xf numFmtId="3" fontId="5" fillId="11" borderId="18" xfId="0" applyNumberFormat="1" applyFont="1" applyFill="1" applyBorder="1" applyAlignment="1" applyProtection="1">
      <alignment horizontal="right" vertical="center"/>
      <protection locked="0"/>
    </xf>
    <xf numFmtId="3" fontId="5" fillId="11" borderId="19" xfId="0" applyNumberFormat="1" applyFont="1" applyFill="1" applyBorder="1" applyAlignment="1" applyProtection="1">
      <alignment horizontal="right" vertical="center"/>
      <protection locked="0"/>
    </xf>
    <xf numFmtId="3" fontId="5" fillId="11" borderId="12" xfId="0" applyNumberFormat="1" applyFont="1" applyFill="1" applyBorder="1" applyAlignment="1" applyProtection="1">
      <alignment horizontal="right" vertical="center"/>
      <protection locked="0"/>
    </xf>
    <xf numFmtId="3" fontId="62" fillId="8" borderId="20" xfId="0" applyNumberFormat="1" applyFont="1" applyFill="1" applyBorder="1" applyAlignment="1" applyProtection="1">
      <alignment horizontal="center" vertical="center"/>
      <protection locked="0"/>
    </xf>
    <xf numFmtId="3" fontId="62" fillId="8" borderId="0" xfId="0" applyNumberFormat="1" applyFont="1" applyFill="1" applyAlignment="1" applyProtection="1">
      <alignment horizontal="center" vertical="center"/>
      <protection locked="0"/>
    </xf>
    <xf numFmtId="3" fontId="62" fillId="8" borderId="11" xfId="0" applyNumberFormat="1" applyFont="1" applyFill="1" applyBorder="1" applyAlignment="1" applyProtection="1">
      <alignment horizontal="center" vertical="center"/>
      <protection locked="0"/>
    </xf>
    <xf numFmtId="3" fontId="62" fillId="8" borderId="18" xfId="0" applyNumberFormat="1" applyFont="1" applyFill="1" applyBorder="1" applyAlignment="1" applyProtection="1">
      <alignment horizontal="center" vertical="center"/>
      <protection locked="0"/>
    </xf>
    <xf numFmtId="3" fontId="62" fillId="8" borderId="19" xfId="0" applyNumberFormat="1" applyFont="1" applyFill="1" applyBorder="1" applyAlignment="1" applyProtection="1">
      <alignment horizontal="center" vertical="center"/>
      <protection locked="0"/>
    </xf>
    <xf numFmtId="3" fontId="62" fillId="8" borderId="12" xfId="0" applyNumberFormat="1" applyFont="1" applyFill="1" applyBorder="1" applyAlignment="1" applyProtection="1">
      <alignment horizontal="center" vertical="center"/>
      <protection locked="0"/>
    </xf>
    <xf numFmtId="1" fontId="19" fillId="11" borderId="24" xfId="1" applyNumberFormat="1" applyFont="1" applyFill="1" applyBorder="1" applyAlignment="1" applyProtection="1">
      <alignment horizontal="center" vertical="center"/>
      <protection locked="0"/>
    </xf>
    <xf numFmtId="1" fontId="19" fillId="11" borderId="4" xfId="1" applyNumberFormat="1" applyFont="1" applyFill="1" applyBorder="1" applyAlignment="1" applyProtection="1">
      <alignment horizontal="center" vertical="center"/>
      <protection locked="0"/>
    </xf>
    <xf numFmtId="173" fontId="5" fillId="11" borderId="20" xfId="1" applyNumberFormat="1" applyFont="1" applyFill="1" applyBorder="1" applyAlignment="1" applyProtection="1">
      <alignment horizontal="center" vertical="center"/>
      <protection locked="0"/>
    </xf>
    <xf numFmtId="171" fontId="65" fillId="18" borderId="65" xfId="0" applyNumberFormat="1" applyFont="1" applyFill="1" applyBorder="1" applyAlignment="1" applyProtection="1">
      <alignment horizontal="center" vertical="center"/>
      <protection locked="0"/>
    </xf>
    <xf numFmtId="171" fontId="65" fillId="18" borderId="66" xfId="0" applyNumberFormat="1" applyFont="1" applyFill="1" applyBorder="1" applyAlignment="1" applyProtection="1">
      <alignment horizontal="center" vertical="center"/>
      <protection locked="0"/>
    </xf>
    <xf numFmtId="171" fontId="65" fillId="18" borderId="64" xfId="0" applyNumberFormat="1" applyFont="1" applyFill="1" applyBorder="1" applyAlignment="1" applyProtection="1">
      <alignment horizontal="center" vertical="center"/>
      <protection locked="0"/>
    </xf>
    <xf numFmtId="171" fontId="65" fillId="18" borderId="36" xfId="0" applyNumberFormat="1" applyFont="1" applyFill="1" applyBorder="1" applyAlignment="1" applyProtection="1">
      <alignment horizontal="center" vertical="center"/>
      <protection locked="0"/>
    </xf>
    <xf numFmtId="171" fontId="65" fillId="18" borderId="37" xfId="0" applyNumberFormat="1" applyFont="1" applyFill="1" applyBorder="1" applyAlignment="1" applyProtection="1">
      <alignment horizontal="center" vertical="center"/>
      <protection locked="0"/>
    </xf>
    <xf numFmtId="171" fontId="65" fillId="18" borderId="44" xfId="0" applyNumberFormat="1" applyFont="1" applyFill="1" applyBorder="1" applyAlignment="1" applyProtection="1">
      <alignment horizontal="center" vertical="center"/>
      <protection locked="0"/>
    </xf>
    <xf numFmtId="176" fontId="63" fillId="11" borderId="19" xfId="0" applyNumberFormat="1" applyFont="1" applyFill="1" applyBorder="1" applyAlignment="1">
      <alignment horizontal="center" vertical="center"/>
    </xf>
    <xf numFmtId="176" fontId="63" fillId="11" borderId="12" xfId="0" applyNumberFormat="1" applyFont="1" applyFill="1" applyBorder="1" applyAlignment="1">
      <alignment horizontal="center" vertical="center"/>
    </xf>
    <xf numFmtId="175" fontId="64" fillId="0" borderId="18" xfId="0" applyNumberFormat="1" applyFont="1" applyBorder="1" applyAlignment="1" applyProtection="1">
      <alignment horizontal="center" vertical="center"/>
      <protection locked="0"/>
    </xf>
    <xf numFmtId="175" fontId="64" fillId="0" borderId="19" xfId="0" applyNumberFormat="1" applyFont="1" applyBorder="1" applyAlignment="1" applyProtection="1">
      <alignment horizontal="center" vertical="center"/>
      <protection locked="0"/>
    </xf>
    <xf numFmtId="175" fontId="64" fillId="0" borderId="12" xfId="0" applyNumberFormat="1" applyFont="1" applyBorder="1" applyAlignment="1" applyProtection="1">
      <alignment horizontal="center" vertical="center"/>
      <protection locked="0"/>
    </xf>
    <xf numFmtId="171" fontId="65" fillId="18" borderId="48" xfId="0" applyNumberFormat="1" applyFont="1" applyFill="1" applyBorder="1" applyAlignment="1" applyProtection="1">
      <alignment horizontal="center" vertical="center"/>
      <protection locked="0"/>
    </xf>
    <xf numFmtId="171" fontId="65" fillId="18" borderId="51" xfId="0" applyNumberFormat="1" applyFont="1" applyFill="1" applyBorder="1" applyAlignment="1" applyProtection="1">
      <alignment horizontal="center" vertical="center"/>
      <protection locked="0"/>
    </xf>
    <xf numFmtId="171" fontId="65" fillId="18" borderId="52" xfId="0" applyNumberFormat="1" applyFont="1" applyFill="1" applyBorder="1" applyAlignment="1" applyProtection="1">
      <alignment horizontal="center" vertical="center"/>
      <protection locked="0"/>
    </xf>
    <xf numFmtId="3" fontId="60" fillId="11" borderId="16" xfId="0" applyNumberFormat="1" applyFont="1" applyFill="1" applyBorder="1" applyAlignment="1" applyProtection="1">
      <alignment horizontal="center" vertical="center" textRotation="90"/>
      <protection locked="0"/>
    </xf>
    <xf numFmtId="3" fontId="60" fillId="11" borderId="10" xfId="0" applyNumberFormat="1" applyFont="1" applyFill="1" applyBorder="1" applyAlignment="1" applyProtection="1">
      <alignment horizontal="center" vertical="center" textRotation="90"/>
      <protection locked="0"/>
    </xf>
    <xf numFmtId="3" fontId="60" fillId="11" borderId="20" xfId="0" applyNumberFormat="1" applyFont="1" applyFill="1" applyBorder="1" applyAlignment="1" applyProtection="1">
      <alignment horizontal="center" vertical="center" textRotation="90"/>
      <protection locked="0"/>
    </xf>
    <xf numFmtId="3" fontId="60" fillId="11" borderId="11" xfId="0" applyNumberFormat="1" applyFont="1" applyFill="1" applyBorder="1" applyAlignment="1" applyProtection="1">
      <alignment horizontal="center" vertical="center" textRotation="90"/>
      <protection locked="0"/>
    </xf>
    <xf numFmtId="3" fontId="60" fillId="11" borderId="18" xfId="0" applyNumberFormat="1" applyFont="1" applyFill="1" applyBorder="1" applyAlignment="1" applyProtection="1">
      <alignment horizontal="center" vertical="center" textRotation="90"/>
      <protection locked="0"/>
    </xf>
    <xf numFmtId="3" fontId="60" fillId="11" borderId="12" xfId="0" applyNumberFormat="1" applyFont="1" applyFill="1" applyBorder="1" applyAlignment="1" applyProtection="1">
      <alignment horizontal="center" vertical="center" textRotation="90"/>
      <protection locked="0"/>
    </xf>
    <xf numFmtId="3" fontId="4" fillId="11" borderId="21" xfId="0" applyNumberFormat="1" applyFont="1" applyFill="1" applyBorder="1" applyAlignment="1" applyProtection="1">
      <alignment horizontal="center" vertical="center"/>
      <protection locked="0"/>
    </xf>
    <xf numFmtId="3" fontId="4" fillId="11" borderId="22" xfId="0" applyNumberFormat="1" applyFont="1" applyFill="1" applyBorder="1" applyAlignment="1" applyProtection="1">
      <alignment horizontal="center" vertical="center"/>
      <protection locked="0"/>
    </xf>
    <xf numFmtId="3" fontId="4" fillId="11" borderId="8" xfId="0" applyNumberFormat="1" applyFont="1" applyFill="1" applyBorder="1" applyAlignment="1" applyProtection="1">
      <alignment horizontal="center" vertical="center"/>
      <protection locked="0"/>
    </xf>
    <xf numFmtId="1" fontId="59" fillId="11" borderId="48" xfId="0" applyNumberFormat="1" applyFont="1" applyFill="1" applyBorder="1" applyAlignment="1">
      <alignment horizontal="center" vertical="center"/>
    </xf>
    <xf numFmtId="1" fontId="59" fillId="11" borderId="51" xfId="0" applyNumberFormat="1" applyFont="1" applyFill="1" applyBorder="1" applyAlignment="1">
      <alignment horizontal="center" vertical="center"/>
    </xf>
    <xf numFmtId="3" fontId="17" fillId="11" borderId="17" xfId="0" applyNumberFormat="1" applyFont="1" applyFill="1" applyBorder="1" applyAlignment="1" applyProtection="1">
      <alignment horizontal="center" vertical="center"/>
      <protection locked="0"/>
    </xf>
    <xf numFmtId="171" fontId="18" fillId="0" borderId="17" xfId="0" applyNumberFormat="1" applyFont="1" applyBorder="1" applyAlignment="1" applyProtection="1">
      <alignment horizontal="center" vertical="center"/>
      <protection locked="0"/>
    </xf>
    <xf numFmtId="171" fontId="18" fillId="0" borderId="78" xfId="0" applyNumberFormat="1" applyFont="1" applyBorder="1" applyAlignment="1" applyProtection="1">
      <alignment horizontal="center" vertical="center"/>
      <protection locked="0"/>
    </xf>
    <xf numFmtId="171" fontId="18" fillId="0" borderId="0" xfId="0" applyNumberFormat="1" applyFont="1" applyAlignment="1" applyProtection="1">
      <alignment horizontal="center" vertical="center"/>
      <protection locked="0"/>
    </xf>
    <xf numFmtId="171" fontId="18" fillId="0" borderId="79" xfId="0" applyNumberFormat="1" applyFont="1" applyBorder="1" applyAlignment="1" applyProtection="1">
      <alignment horizontal="center" vertical="center"/>
      <protection locked="0"/>
    </xf>
    <xf numFmtId="171" fontId="18" fillId="0" borderId="19" xfId="0" applyNumberFormat="1" applyFont="1" applyBorder="1" applyAlignment="1" applyProtection="1">
      <alignment horizontal="center" vertical="center"/>
      <protection locked="0"/>
    </xf>
    <xf numFmtId="171" fontId="18" fillId="0" borderId="80" xfId="0" applyNumberFormat="1" applyFont="1" applyBorder="1" applyAlignment="1" applyProtection="1">
      <alignment horizontal="center" vertical="center"/>
      <protection locked="0"/>
    </xf>
    <xf numFmtId="3" fontId="20" fillId="11" borderId="20" xfId="0" applyNumberFormat="1" applyFont="1" applyFill="1" applyBorder="1" applyAlignment="1" applyProtection="1">
      <alignment horizontal="right" vertical="center"/>
      <protection locked="0"/>
    </xf>
    <xf numFmtId="3" fontId="20" fillId="11" borderId="0" xfId="0" applyNumberFormat="1" applyFont="1" applyFill="1" applyAlignment="1" applyProtection="1">
      <alignment horizontal="right" vertical="center"/>
      <protection locked="0"/>
    </xf>
    <xf numFmtId="3" fontId="20" fillId="11" borderId="11" xfId="0" applyNumberFormat="1" applyFont="1" applyFill="1" applyBorder="1" applyAlignment="1" applyProtection="1">
      <alignment horizontal="right" vertical="center"/>
      <protection locked="0"/>
    </xf>
    <xf numFmtId="0" fontId="4" fillId="21" borderId="9" xfId="0" applyFont="1" applyFill="1" applyBorder="1" applyAlignment="1" applyProtection="1">
      <alignment horizontal="center" vertical="center" wrapText="1"/>
      <protection locked="0"/>
    </xf>
    <xf numFmtId="0" fontId="4" fillId="21" borderId="1" xfId="0" applyFont="1" applyFill="1" applyBorder="1" applyAlignment="1" applyProtection="1">
      <alignment horizontal="center" vertical="center" wrapText="1"/>
      <protection locked="0"/>
    </xf>
    <xf numFmtId="0" fontId="4" fillId="21" borderId="2" xfId="0" applyFont="1" applyFill="1" applyBorder="1" applyAlignment="1" applyProtection="1">
      <alignment horizontal="center" vertical="center" wrapText="1"/>
      <protection locked="0"/>
    </xf>
    <xf numFmtId="3" fontId="61" fillId="8" borderId="20" xfId="0" applyNumberFormat="1" applyFont="1" applyFill="1" applyBorder="1" applyAlignment="1" applyProtection="1">
      <alignment horizontal="center" vertical="center" wrapText="1"/>
      <protection locked="0"/>
    </xf>
    <xf numFmtId="3" fontId="61" fillId="8" borderId="0" xfId="0" applyNumberFormat="1" applyFont="1" applyFill="1" applyAlignment="1" applyProtection="1">
      <alignment horizontal="center" vertical="center"/>
      <protection locked="0"/>
    </xf>
    <xf numFmtId="3" fontId="61" fillId="8" borderId="11" xfId="0" applyNumberFormat="1" applyFont="1" applyFill="1" applyBorder="1" applyAlignment="1" applyProtection="1">
      <alignment horizontal="center" vertical="center"/>
      <protection locked="0"/>
    </xf>
    <xf numFmtId="1" fontId="59" fillId="11" borderId="45" xfId="0" applyNumberFormat="1" applyFont="1" applyFill="1" applyBorder="1" applyAlignment="1">
      <alignment horizontal="center" vertical="center"/>
    </xf>
    <xf numFmtId="1" fontId="59" fillId="11" borderId="46" xfId="0" applyNumberFormat="1" applyFont="1" applyFill="1" applyBorder="1" applyAlignment="1">
      <alignment horizontal="center" vertical="center"/>
    </xf>
    <xf numFmtId="4" fontId="69" fillId="17" borderId="0" xfId="0" applyNumberFormat="1" applyFont="1" applyFill="1" applyAlignment="1">
      <alignment horizontal="center" vertical="center" wrapText="1"/>
    </xf>
    <xf numFmtId="170" fontId="0" fillId="17" borderId="11" xfId="0" applyNumberFormat="1" applyFill="1" applyBorder="1" applyAlignment="1">
      <alignment horizontal="center" vertical="center"/>
    </xf>
    <xf numFmtId="1" fontId="5" fillId="11" borderId="20" xfId="0" applyNumberFormat="1" applyFont="1" applyFill="1" applyBorder="1" applyAlignment="1">
      <alignment horizontal="right" vertical="center"/>
    </xf>
    <xf numFmtId="1" fontId="5" fillId="11" borderId="0" xfId="0" applyNumberFormat="1" applyFont="1" applyFill="1" applyAlignment="1">
      <alignment horizontal="right" vertical="center"/>
    </xf>
    <xf numFmtId="1" fontId="5" fillId="11" borderId="11" xfId="0" applyNumberFormat="1" applyFont="1" applyFill="1" applyBorder="1" applyAlignment="1">
      <alignment horizontal="right" vertical="center"/>
    </xf>
    <xf numFmtId="0" fontId="16" fillId="11" borderId="0" xfId="0" applyFont="1" applyFill="1" applyAlignment="1" applyProtection="1">
      <alignment horizontal="center"/>
      <protection locked="0"/>
    </xf>
    <xf numFmtId="3" fontId="82" fillId="11" borderId="17" xfId="0" applyNumberFormat="1" applyFont="1" applyFill="1" applyBorder="1" applyAlignment="1">
      <alignment horizontal="center" vertical="center"/>
    </xf>
    <xf numFmtId="3" fontId="82" fillId="11" borderId="10" xfId="0" applyNumberFormat="1" applyFont="1" applyFill="1" applyBorder="1" applyAlignment="1">
      <alignment horizontal="center" vertical="center"/>
    </xf>
    <xf numFmtId="3" fontId="52" fillId="17" borderId="0" xfId="0" applyNumberFormat="1" applyFont="1" applyFill="1" applyAlignment="1">
      <alignment horizontal="center" vertical="center"/>
    </xf>
    <xf numFmtId="0" fontId="34" fillId="11" borderId="20" xfId="0" applyFont="1" applyFill="1" applyBorder="1" applyAlignment="1">
      <alignment horizontal="center" vertical="center"/>
    </xf>
    <xf numFmtId="0" fontId="34" fillId="11" borderId="0" xfId="0" applyFont="1" applyFill="1" applyAlignment="1">
      <alignment horizontal="center" vertical="center"/>
    </xf>
    <xf numFmtId="3" fontId="5" fillId="11" borderId="17" xfId="0" applyNumberFormat="1" applyFont="1" applyFill="1" applyBorder="1" applyAlignment="1" applyProtection="1">
      <alignment horizontal="right" vertical="center"/>
      <protection locked="0"/>
    </xf>
    <xf numFmtId="3" fontId="5" fillId="11" borderId="10" xfId="0" applyNumberFormat="1" applyFont="1" applyFill="1" applyBorder="1" applyAlignment="1" applyProtection="1">
      <alignment horizontal="right" vertical="center"/>
      <protection locked="0"/>
    </xf>
    <xf numFmtId="0" fontId="2" fillId="20" borderId="21" xfId="0" applyFont="1" applyFill="1" applyBorder="1" applyAlignment="1" applyProtection="1">
      <alignment horizontal="center" vertical="center"/>
      <protection locked="0"/>
    </xf>
    <xf numFmtId="0" fontId="2" fillId="20" borderId="22" xfId="0" applyFont="1" applyFill="1" applyBorder="1" applyAlignment="1" applyProtection="1">
      <alignment horizontal="center" vertical="center"/>
      <protection locked="0"/>
    </xf>
    <xf numFmtId="0" fontId="2" fillId="20" borderId="8" xfId="0" applyFont="1" applyFill="1" applyBorder="1" applyAlignment="1" applyProtection="1">
      <alignment horizontal="center" vertical="center"/>
      <protection locked="0"/>
    </xf>
    <xf numFmtId="170" fontId="66" fillId="11" borderId="9" xfId="0" applyNumberFormat="1" applyFont="1" applyFill="1" applyBorder="1" applyAlignment="1" applyProtection="1">
      <alignment horizontal="center" vertical="center"/>
      <protection locked="0"/>
    </xf>
    <xf numFmtId="170" fontId="66" fillId="11" borderId="1" xfId="0" applyNumberFormat="1" applyFont="1" applyFill="1" applyBorder="1" applyAlignment="1" applyProtection="1">
      <alignment horizontal="center" vertical="center"/>
      <protection locked="0"/>
    </xf>
    <xf numFmtId="170" fontId="66" fillId="11" borderId="2" xfId="0" applyNumberFormat="1" applyFont="1" applyFill="1" applyBorder="1" applyAlignment="1" applyProtection="1">
      <alignment horizontal="center" vertical="center"/>
      <protection locked="0"/>
    </xf>
    <xf numFmtId="170" fontId="5" fillId="11" borderId="0" xfId="0" applyNumberFormat="1" applyFont="1" applyFill="1" applyAlignment="1" applyProtection="1">
      <alignment horizontal="center" vertical="center"/>
      <protection locked="0"/>
    </xf>
    <xf numFmtId="171" fontId="17" fillId="11" borderId="18" xfId="0" applyNumberFormat="1" applyFont="1" applyFill="1" applyBorder="1" applyAlignment="1" applyProtection="1">
      <alignment horizontal="center" vertical="center"/>
      <protection locked="0"/>
    </xf>
    <xf numFmtId="171" fontId="17" fillId="11" borderId="19" xfId="0" applyNumberFormat="1" applyFont="1" applyFill="1" applyBorder="1" applyAlignment="1" applyProtection="1">
      <alignment horizontal="center" vertical="center"/>
      <protection locked="0"/>
    </xf>
    <xf numFmtId="3" fontId="52" fillId="11" borderId="18" xfId="0" applyNumberFormat="1" applyFont="1" applyFill="1" applyBorder="1" applyAlignment="1" applyProtection="1">
      <alignment horizontal="right" vertical="center"/>
      <protection locked="0"/>
    </xf>
    <xf numFmtId="3" fontId="52" fillId="11" borderId="19" xfId="0" applyNumberFormat="1" applyFont="1" applyFill="1" applyBorder="1" applyAlignment="1" applyProtection="1">
      <alignment horizontal="right" vertical="center"/>
      <protection locked="0"/>
    </xf>
    <xf numFmtId="3" fontId="52" fillId="11" borderId="20" xfId="0" applyNumberFormat="1" applyFont="1" applyFill="1" applyBorder="1" applyAlignment="1" applyProtection="1">
      <alignment horizontal="right" vertical="center"/>
      <protection locked="0"/>
    </xf>
    <xf numFmtId="3" fontId="52" fillId="11" borderId="0" xfId="0" applyNumberFormat="1" applyFont="1" applyFill="1" applyAlignment="1" applyProtection="1">
      <alignment horizontal="right" vertical="center"/>
      <protection locked="0"/>
    </xf>
    <xf numFmtId="3" fontId="58" fillId="8" borderId="0" xfId="0" applyNumberFormat="1" applyFont="1" applyFill="1" applyAlignment="1">
      <alignment horizontal="center" vertical="center"/>
    </xf>
    <xf numFmtId="1" fontId="55" fillId="8" borderId="16" xfId="0" applyNumberFormat="1" applyFont="1" applyFill="1" applyBorder="1" applyAlignment="1">
      <alignment horizontal="center" vertical="center"/>
    </xf>
    <xf numFmtId="1" fontId="55" fillId="8" borderId="17" xfId="0" applyNumberFormat="1" applyFont="1" applyFill="1" applyBorder="1" applyAlignment="1">
      <alignment horizontal="center" vertical="center"/>
    </xf>
    <xf numFmtId="0" fontId="58" fillId="8" borderId="0" xfId="0" applyFont="1" applyFill="1" applyAlignment="1">
      <alignment horizontal="center" vertical="center"/>
    </xf>
    <xf numFmtId="177" fontId="5" fillId="11" borderId="0" xfId="0" applyNumberFormat="1" applyFont="1" applyFill="1" applyAlignment="1" applyProtection="1">
      <alignment horizontal="center" vertical="center"/>
      <protection locked="0"/>
    </xf>
    <xf numFmtId="3" fontId="30" fillId="11" borderId="22" xfId="0" applyNumberFormat="1" applyFont="1" applyFill="1" applyBorder="1" applyAlignment="1" applyProtection="1">
      <alignment horizontal="center" vertical="center"/>
      <protection locked="0"/>
    </xf>
    <xf numFmtId="0" fontId="55" fillId="8" borderId="20" xfId="0" applyFont="1" applyFill="1" applyBorder="1" applyAlignment="1">
      <alignment horizontal="center" vertical="center"/>
    </xf>
    <xf numFmtId="0" fontId="55" fillId="8" borderId="0" xfId="0" applyFont="1" applyFill="1" applyAlignment="1">
      <alignment horizontal="center" vertical="center"/>
    </xf>
    <xf numFmtId="0" fontId="55" fillId="8" borderId="11" xfId="0" applyFont="1" applyFill="1" applyBorder="1" applyAlignment="1">
      <alignment horizontal="center" vertical="center"/>
    </xf>
    <xf numFmtId="0" fontId="55" fillId="8" borderId="18" xfId="0" applyFont="1" applyFill="1" applyBorder="1" applyAlignment="1">
      <alignment horizontal="center" vertical="center"/>
    </xf>
    <xf numFmtId="0" fontId="55" fillId="8" borderId="19" xfId="0" applyFont="1" applyFill="1" applyBorder="1" applyAlignment="1">
      <alignment horizontal="center" vertical="center"/>
    </xf>
    <xf numFmtId="0" fontId="55" fillId="8" borderId="12" xfId="0" applyFont="1" applyFill="1" applyBorder="1" applyAlignment="1">
      <alignment horizontal="center" vertical="center"/>
    </xf>
    <xf numFmtId="0" fontId="14" fillId="0" borderId="16" xfId="0" applyFont="1" applyBorder="1" applyAlignment="1">
      <alignment horizontal="left" vertical="center" wrapText="1"/>
    </xf>
    <xf numFmtId="0" fontId="14" fillId="0" borderId="20" xfId="0" applyFont="1" applyBorder="1" applyAlignment="1">
      <alignment horizontal="left" vertical="center" wrapText="1"/>
    </xf>
    <xf numFmtId="0" fontId="14" fillId="0" borderId="18" xfId="0" applyFont="1" applyBorder="1"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cellXfs>
  <cellStyles count="5">
    <cellStyle name="Procent" xfId="1" builtinId="5"/>
    <cellStyle name="Standaard" xfId="0" builtinId="0"/>
    <cellStyle name="Standaard 2" xfId="4" xr:uid="{657063AA-2E48-49C9-BA77-96871C731EA5}"/>
    <cellStyle name="Standaard_Blad1" xfId="2" xr:uid="{00000000-0005-0000-0000-000002000000}"/>
    <cellStyle name="Valuta" xfId="3" builtinId="4"/>
  </cellStyles>
  <dxfs count="9">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s>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72"/>
  <sheetViews>
    <sheetView tabSelected="1" topLeftCell="A20" zoomScale="70" zoomScaleNormal="70" zoomScalePageLayoutView="75" workbookViewId="0">
      <selection activeCell="AE40" sqref="AE40:AI40"/>
    </sheetView>
  </sheetViews>
  <sheetFormatPr defaultColWidth="9.33203125" defaultRowHeight="14.4" x14ac:dyDescent="0.3"/>
  <cols>
    <col min="1" max="1" width="6.6640625" style="2" customWidth="1"/>
    <col min="2" max="2" width="4.44140625" bestFit="1" customWidth="1"/>
    <col min="3" max="3" width="24.5546875" customWidth="1"/>
    <col min="4" max="4" width="8" customWidth="1"/>
    <col min="5" max="5" width="6.5546875" customWidth="1"/>
    <col min="6" max="6" width="7.6640625" customWidth="1"/>
    <col min="7" max="7" width="7.5546875" customWidth="1"/>
    <col min="8" max="8" width="5.33203125" customWidth="1"/>
    <col min="9" max="9" width="5.5546875" customWidth="1"/>
    <col min="10" max="10" width="11.33203125" customWidth="1"/>
    <col min="11" max="11" width="8" hidden="1" customWidth="1"/>
    <col min="12" max="12" width="8.5546875" hidden="1" customWidth="1"/>
    <col min="13" max="13" width="6.5546875" hidden="1" customWidth="1"/>
    <col min="14" max="14" width="7.44140625" hidden="1" customWidth="1"/>
    <col min="15" max="15" width="9.44140625" hidden="1" customWidth="1"/>
    <col min="16" max="16" width="4.5546875" hidden="1" customWidth="1"/>
    <col min="17" max="17" width="9.6640625" customWidth="1"/>
    <col min="18" max="18" width="9" customWidth="1"/>
    <col min="19" max="19" width="7.44140625" hidden="1" customWidth="1"/>
    <col min="20" max="20" width="7.44140625" customWidth="1"/>
    <col min="21" max="21" width="8.6640625" hidden="1" customWidth="1"/>
    <col min="22" max="22" width="9.6640625" hidden="1" customWidth="1"/>
    <col min="23" max="23" width="10.5546875" hidden="1" customWidth="1"/>
    <col min="24" max="24" width="22.5546875" customWidth="1"/>
    <col min="25" max="25" width="17.44140625" customWidth="1"/>
    <col min="26" max="26" width="8.44140625" customWidth="1"/>
    <col min="27" max="27" width="22.33203125" bestFit="1" customWidth="1"/>
    <col min="28" max="28" width="6.109375" customWidth="1"/>
    <col min="29" max="29" width="12.6640625" customWidth="1"/>
    <col min="30" max="30" width="7.44140625" customWidth="1"/>
    <col min="31" max="31" width="4.6640625" customWidth="1"/>
    <col min="32" max="32" width="4.44140625" style="2" bestFit="1" customWidth="1"/>
    <col min="33" max="33" width="5.44140625" customWidth="1"/>
    <col min="34" max="34" width="4.6640625" customWidth="1"/>
    <col min="35" max="35" width="7.5546875" customWidth="1"/>
    <col min="36" max="36" width="6.6640625" customWidth="1"/>
    <col min="37" max="37" width="16.5546875" customWidth="1"/>
    <col min="38" max="38" width="21.6640625" style="120" hidden="1" customWidth="1"/>
    <col min="39" max="47" width="11.5546875" style="120" hidden="1" customWidth="1"/>
    <col min="48" max="49" width="14.44140625" style="120" hidden="1" customWidth="1"/>
    <col min="50" max="50" width="14.6640625" style="120" hidden="1" customWidth="1"/>
    <col min="51" max="53" width="21.6640625" style="120" hidden="1" customWidth="1"/>
    <col min="54" max="59" width="11.5546875" style="120" hidden="1" customWidth="1"/>
    <col min="60" max="60" width="24.44140625" customWidth="1"/>
    <col min="61" max="61" width="24" customWidth="1"/>
  </cols>
  <sheetData>
    <row r="1" spans="1:60" ht="24.6" customHeight="1" thickBot="1" x14ac:dyDescent="0.35">
      <c r="A1" s="632" t="s">
        <v>745</v>
      </c>
      <c r="B1" s="633"/>
      <c r="C1" s="633"/>
      <c r="D1" s="634" t="s">
        <v>740</v>
      </c>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272"/>
      <c r="AM1" s="54"/>
      <c r="AN1" s="55"/>
      <c r="AO1" s="55"/>
      <c r="AP1" s="56"/>
      <c r="AQ1" s="57"/>
      <c r="AR1" s="55"/>
      <c r="AS1" s="57"/>
      <c r="AT1" s="57"/>
      <c r="AU1" s="55"/>
      <c r="AV1" s="58"/>
      <c r="AW1" s="58"/>
      <c r="AX1" s="59"/>
      <c r="AY1" s="60"/>
      <c r="AZ1" s="58"/>
      <c r="BA1" s="58"/>
      <c r="BB1" s="56"/>
      <c r="BC1" s="57"/>
      <c r="BD1" s="55"/>
      <c r="BE1" s="57"/>
      <c r="BF1" s="57"/>
      <c r="BG1" s="55"/>
      <c r="BH1" s="186" t="s">
        <v>877</v>
      </c>
    </row>
    <row r="2" spans="1:60" s="72" customFormat="1" ht="162.6" customHeight="1" thickBot="1" x14ac:dyDescent="0.3">
      <c r="A2" s="489" t="s">
        <v>0</v>
      </c>
      <c r="B2" s="275" t="s">
        <v>1</v>
      </c>
      <c r="C2" s="488" t="s">
        <v>2</v>
      </c>
      <c r="D2" s="269" t="s">
        <v>3</v>
      </c>
      <c r="E2" s="269" t="s">
        <v>4</v>
      </c>
      <c r="F2" s="269" t="s">
        <v>5</v>
      </c>
      <c r="G2" s="269" t="s">
        <v>6</v>
      </c>
      <c r="H2" s="269" t="s">
        <v>7</v>
      </c>
      <c r="I2" s="269" t="s">
        <v>8</v>
      </c>
      <c r="J2" s="269" t="s">
        <v>9</v>
      </c>
      <c r="K2" s="61" t="s">
        <v>10</v>
      </c>
      <c r="L2" s="61" t="s">
        <v>11</v>
      </c>
      <c r="M2" s="61" t="s">
        <v>12</v>
      </c>
      <c r="N2" s="61" t="s">
        <v>13</v>
      </c>
      <c r="O2" s="61" t="s">
        <v>14</v>
      </c>
      <c r="P2" s="61" t="s">
        <v>15</v>
      </c>
      <c r="Q2" s="269" t="s">
        <v>16</v>
      </c>
      <c r="R2" s="269" t="s">
        <v>17</v>
      </c>
      <c r="S2" s="61" t="s">
        <v>18</v>
      </c>
      <c r="T2" s="269" t="s">
        <v>19</v>
      </c>
      <c r="U2" s="356" t="s">
        <v>680</v>
      </c>
      <c r="V2" s="356" t="s">
        <v>681</v>
      </c>
      <c r="W2" s="356" t="s">
        <v>682</v>
      </c>
      <c r="X2" s="273" t="s">
        <v>20</v>
      </c>
      <c r="Y2" s="269" t="s">
        <v>21</v>
      </c>
      <c r="Z2" s="269" t="s">
        <v>22</v>
      </c>
      <c r="AA2" s="273" t="s">
        <v>23</v>
      </c>
      <c r="AB2" s="269" t="s">
        <v>24</v>
      </c>
      <c r="AC2" s="269" t="s">
        <v>25</v>
      </c>
      <c r="AD2" s="269" t="s">
        <v>26</v>
      </c>
      <c r="AE2" s="269" t="s">
        <v>27</v>
      </c>
      <c r="AF2" s="269" t="s">
        <v>28</v>
      </c>
      <c r="AG2" s="269" t="s">
        <v>29</v>
      </c>
      <c r="AH2" s="269" t="s">
        <v>30</v>
      </c>
      <c r="AI2" s="269" t="s">
        <v>31</v>
      </c>
      <c r="AJ2" s="269" t="s">
        <v>32</v>
      </c>
      <c r="AK2" s="274" t="s">
        <v>33</v>
      </c>
      <c r="AL2" s="137" t="s">
        <v>34</v>
      </c>
      <c r="AM2" s="62" t="s">
        <v>35</v>
      </c>
      <c r="AN2" s="63" t="s">
        <v>36</v>
      </c>
      <c r="AO2" s="64" t="s">
        <v>37</v>
      </c>
      <c r="AP2" s="62" t="s">
        <v>38</v>
      </c>
      <c r="AQ2" s="63" t="s">
        <v>39</v>
      </c>
      <c r="AR2" s="64" t="s">
        <v>40</v>
      </c>
      <c r="AS2" s="65" t="s">
        <v>41</v>
      </c>
      <c r="AT2" s="63" t="s">
        <v>42</v>
      </c>
      <c r="AU2" s="64" t="s">
        <v>43</v>
      </c>
      <c r="AV2" s="66" t="s">
        <v>44</v>
      </c>
      <c r="AW2" s="66" t="s">
        <v>45</v>
      </c>
      <c r="AX2" s="67" t="s">
        <v>46</v>
      </c>
      <c r="AY2" s="68" t="s">
        <v>47</v>
      </c>
      <c r="AZ2" s="66" t="s">
        <v>48</v>
      </c>
      <c r="BA2" s="66" t="s">
        <v>49</v>
      </c>
      <c r="BB2" s="391" t="s">
        <v>685</v>
      </c>
      <c r="BC2" s="69" t="s">
        <v>686</v>
      </c>
      <c r="BD2" s="70" t="s">
        <v>687</v>
      </c>
      <c r="BE2" s="71" t="s">
        <v>50</v>
      </c>
      <c r="BF2" s="69" t="s">
        <v>51</v>
      </c>
      <c r="BG2" s="70" t="s">
        <v>52</v>
      </c>
      <c r="BH2" s="275" t="s">
        <v>53</v>
      </c>
    </row>
    <row r="3" spans="1:60" ht="17.25" customHeight="1" thickBot="1" x14ac:dyDescent="0.35">
      <c r="A3" s="394"/>
      <c r="B3" s="395"/>
      <c r="C3" s="396" t="s">
        <v>54</v>
      </c>
      <c r="D3" s="673" t="s">
        <v>746</v>
      </c>
      <c r="E3" s="673"/>
      <c r="F3" s="673"/>
      <c r="G3" s="673"/>
      <c r="H3" s="673"/>
      <c r="I3" s="673"/>
      <c r="J3" s="673"/>
      <c r="K3" s="397"/>
      <c r="L3" s="397"/>
      <c r="M3" s="397"/>
      <c r="N3" s="397"/>
      <c r="O3" s="397"/>
      <c r="P3" s="397"/>
      <c r="Q3" s="395"/>
      <c r="R3" s="395"/>
      <c r="S3" s="397"/>
      <c r="T3" s="395"/>
      <c r="U3" s="395"/>
      <c r="V3" s="395"/>
      <c r="W3" s="395"/>
      <c r="X3" s="395"/>
      <c r="Y3" s="395"/>
      <c r="Z3" s="395"/>
      <c r="AA3" s="395"/>
      <c r="AB3" s="395"/>
      <c r="AC3" s="395"/>
      <c r="AD3" s="395"/>
      <c r="AE3" s="395"/>
      <c r="AF3" s="395"/>
      <c r="AG3" s="395"/>
      <c r="AH3" s="395"/>
      <c r="AI3" s="395"/>
      <c r="AJ3" s="395"/>
      <c r="AK3" s="395"/>
      <c r="AL3" s="272"/>
      <c r="AM3" s="277"/>
      <c r="AN3" s="278"/>
      <c r="AO3" s="279"/>
      <c r="AP3" s="277"/>
      <c r="AQ3" s="278"/>
      <c r="AR3" s="279"/>
      <c r="AS3" s="278"/>
      <c r="AT3" s="278"/>
      <c r="AU3" s="278"/>
      <c r="AV3" s="278"/>
      <c r="AW3" s="278"/>
      <c r="AX3" s="278"/>
      <c r="AY3" s="277"/>
      <c r="AZ3" s="278"/>
      <c r="BA3" s="279"/>
      <c r="BB3" s="277"/>
      <c r="BC3" s="278"/>
      <c r="BD3" s="279"/>
      <c r="BE3" s="278"/>
      <c r="BF3" s="278"/>
      <c r="BG3" s="279"/>
      <c r="BH3" s="280"/>
    </row>
    <row r="4" spans="1:60" ht="20.100000000000001" customHeight="1" x14ac:dyDescent="0.3">
      <c r="A4" s="398" t="s">
        <v>55</v>
      </c>
      <c r="B4" s="399" t="s">
        <v>628</v>
      </c>
      <c r="C4" s="400"/>
      <c r="D4" s="401"/>
      <c r="E4" s="401"/>
      <c r="F4" s="401"/>
      <c r="G4" s="402"/>
      <c r="H4" s="403"/>
      <c r="I4" s="404"/>
      <c r="J4" s="405"/>
      <c r="K4" s="406">
        <f t="shared" ref="K4:K17" si="0">Y4*T4*G4*AI4</f>
        <v>0</v>
      </c>
      <c r="L4" s="407">
        <f t="shared" ref="L4:L17" si="1">I4*G4</f>
        <v>0</v>
      </c>
      <c r="M4" s="407">
        <f>IF(D4="A",(4+F4*1),IF(D4="E",(6+F4*1),0))</f>
        <v>0</v>
      </c>
      <c r="N4" s="408">
        <f>IF(F4=0,0,(VLOOKUP(E4,'Basis-maxima'!$A$1:'Basis-maxima'!$R$11,HLOOKUP(F4,Code!$A$1:'Code'!$R$2,2))))</f>
        <v>0</v>
      </c>
      <c r="O4" s="408">
        <f t="shared" ref="O4:O17" si="2">N4*AH4</f>
        <v>0</v>
      </c>
      <c r="P4" s="409">
        <f t="shared" ref="P4:P17" si="3">J4*G4</f>
        <v>0</v>
      </c>
      <c r="Q4" s="410">
        <f>IF(J4=0,0,J4/R4)</f>
        <v>0</v>
      </c>
      <c r="R4" s="411">
        <f t="shared" ref="R4" si="4">IF(I4&gt;M4,AH4*(M4+N4+H4),AH4*(H4+I4+N4))</f>
        <v>0</v>
      </c>
      <c r="S4" s="408">
        <f t="shared" ref="S4" si="5">R4*G4</f>
        <v>0</v>
      </c>
      <c r="T4" s="412">
        <f>IF(J4=0,0,IF(J4&gt;R4,R4,J4))</f>
        <v>0</v>
      </c>
      <c r="U4" s="413">
        <f>LOOKUP(T4,'Prijzentabel €'!A:A,'Prijzentabel €'!B:B)</f>
        <v>0</v>
      </c>
      <c r="V4" s="413">
        <f>LOOKUP((T4+1),'Prijzentabel €'!A:A,'Prijzentabel €'!B:B)</f>
        <v>0</v>
      </c>
      <c r="W4" s="413">
        <f>U4+(J4-FLOOR(J4,1))*(V4-U4)</f>
        <v>0</v>
      </c>
      <c r="X4" s="414"/>
      <c r="Y4" s="415"/>
      <c r="Z4" s="416">
        <f>IF(T4=0,0,IF(T4&gt;R4,0,IF((0.03*(R4-T4)/(0.1*R4))&gt;0.03,0.03,0.03*(R4-T4)/(0.1*R4))))</f>
        <v>0</v>
      </c>
      <c r="AA4" s="417">
        <f t="shared" ref="AA4" si="6">IF(T4=0,0,W4*(1+Z4)+Y4)</f>
        <v>0</v>
      </c>
      <c r="AB4" s="418"/>
      <c r="AC4" s="419">
        <f>IF(AB4="G",'Prijsnormen €'!$B$15,IF(AB4="C",'Prijsnormen €'!$B$16,IF(AB4=1,'Prijsnormen €'!$B$15,0)))</f>
        <v>0</v>
      </c>
      <c r="AD4" s="420">
        <f>IF(A4=0,0,LOOKUP(A4,SoortWerk,Codetabel!H$2:H$6))</f>
        <v>1</v>
      </c>
      <c r="AE4" s="421">
        <f>LOOKUP($Z$46,LijstGemeenten!C:C,LijstGemeenten!E:E)</f>
        <v>0</v>
      </c>
      <c r="AF4" s="422"/>
      <c r="AG4" s="423"/>
      <c r="AH4" s="424">
        <f t="shared" ref="AH4:AH17" si="7">IF(AG4=0,1,1.1)</f>
        <v>1</v>
      </c>
      <c r="AI4" s="425">
        <f>AD4*(1+AE4+AF4+AG4)</f>
        <v>1</v>
      </c>
      <c r="AJ4" s="425">
        <f t="shared" ref="AJ4:AJ17" si="8">$AJ$38</f>
        <v>1.149</v>
      </c>
      <c r="AK4" s="426">
        <f t="shared" ref="AK4:AK17" si="9">(T4*AA4+AC4)*AI4*AJ4</f>
        <v>0</v>
      </c>
      <c r="AL4" s="427">
        <f t="shared" ref="AL4:AL17" si="10">(AK4-(AC4*AJ4*AI4))*G4</f>
        <v>0</v>
      </c>
      <c r="AM4" s="428">
        <f t="shared" ref="AM4:AM17" si="11">IF($B4="H",$G4,0)</f>
        <v>0</v>
      </c>
      <c r="AN4" s="429">
        <f t="shared" ref="AN4:AN17" si="12">IF($B4="K",$G4,0)</f>
        <v>0</v>
      </c>
      <c r="AO4" s="430">
        <f t="shared" ref="AO4:AO17" si="13">IF($B4="A",$G4,0)</f>
        <v>0</v>
      </c>
      <c r="AP4" s="428">
        <f t="shared" ref="AP4:AP17" si="14">IF($B4="H",$J4*$G4,0)</f>
        <v>0</v>
      </c>
      <c r="AQ4" s="429">
        <f t="shared" ref="AQ4:AQ17" si="15">IF($B4="K",$J4*$G4,0)</f>
        <v>0</v>
      </c>
      <c r="AR4" s="430">
        <f t="shared" ref="AR4:AR17" si="16">IF($B4="A",$J4*$G4,0)</f>
        <v>0</v>
      </c>
      <c r="AS4" s="431">
        <f t="shared" ref="AS4:AS17" si="17">IF($B4="H",$R4*$G4,0)</f>
        <v>0</v>
      </c>
      <c r="AT4" s="429">
        <f t="shared" ref="AT4:AT17" si="18">IF($B4="K",$R4*$G4,0)</f>
        <v>0</v>
      </c>
      <c r="AU4" s="430">
        <f t="shared" ref="AU4:AU17" si="19">IF($B4="A",$R4*$G4,0)</f>
        <v>0</v>
      </c>
      <c r="AV4" s="432">
        <f t="shared" ref="AV4:AV17" si="20">IF($B4="H",$AL4,0)</f>
        <v>0</v>
      </c>
      <c r="AW4" s="433">
        <f t="shared" ref="AW4:AW17" si="21">IF($B4="K",$AL4,0)</f>
        <v>0</v>
      </c>
      <c r="AX4" s="434">
        <f t="shared" ref="AX4:AX17" si="22">IF($B4="A",$AL4,0)</f>
        <v>0</v>
      </c>
      <c r="AY4" s="432">
        <f t="shared" ref="AY4:AY17" si="23">IF(G4=0,0,IF($B4="H",$BH4,0))</f>
        <v>0</v>
      </c>
      <c r="AZ4" s="433">
        <f t="shared" ref="AZ4:AZ17" si="24">IF(G4=0,0,IF($B4="K",$BH4,0))</f>
        <v>0</v>
      </c>
      <c r="BA4" s="435">
        <f t="shared" ref="BA4:BA17" si="25">IF(G4=0,0,IF($B4="A",$BH4,0))</f>
        <v>0</v>
      </c>
      <c r="BB4" s="436">
        <f t="shared" ref="BB4:BB17" si="26">IF($B4="H",($AA4-$Y4)/(1+$Z4)*$Z4*$T4*$G4,0)</f>
        <v>0</v>
      </c>
      <c r="BC4" s="437">
        <f t="shared" ref="BC4:BC17" si="27">IF($B4="K",($AA4-$Y4)/(1+$Z4)*$Z4*$T4*$G4,0)</f>
        <v>0</v>
      </c>
      <c r="BD4" s="438">
        <f t="shared" ref="BD4:BD17" si="28">IF($B4="A",($AA4-$Y4)/(1+$Z4)*$Z4*$T4*$G4,0)</f>
        <v>0</v>
      </c>
      <c r="BE4" s="437">
        <f t="shared" ref="BE4:BE17" si="29">IF($B4="H",$K4,0)</f>
        <v>0</v>
      </c>
      <c r="BF4" s="437">
        <f t="shared" ref="BF4:BF17" si="30">IF($B4="K",$K4,0)</f>
        <v>0</v>
      </c>
      <c r="BG4" s="438">
        <f t="shared" ref="BG4:BG17" si="31">IF($B4="A",$K4,0)</f>
        <v>0</v>
      </c>
      <c r="BH4" s="30">
        <f t="shared" ref="BH4:BH17" si="32">IF(G4=0,0,G4*AK4)</f>
        <v>0</v>
      </c>
    </row>
    <row r="5" spans="1:60" ht="20.100000000000001" customHeight="1" x14ac:dyDescent="0.3">
      <c r="A5" s="23" t="s">
        <v>55</v>
      </c>
      <c r="B5" s="372" t="s">
        <v>628</v>
      </c>
      <c r="C5" s="373"/>
      <c r="D5" s="374"/>
      <c r="E5" s="374"/>
      <c r="F5" s="374"/>
      <c r="G5" s="375"/>
      <c r="H5" s="376"/>
      <c r="I5" s="377"/>
      <c r="J5" s="378"/>
      <c r="K5" s="281">
        <f t="shared" si="0"/>
        <v>0</v>
      </c>
      <c r="L5" s="268">
        <f t="shared" ref="L5:L10" si="33">I5*G5</f>
        <v>0</v>
      </c>
      <c r="M5" s="268">
        <f t="shared" ref="M5:M10" si="34">IF(D5="A",(4+F5*1),IF(D5="E",(6+F5*1),0))</f>
        <v>0</v>
      </c>
      <c r="N5" s="379">
        <f>IF(F5=0,0,(VLOOKUP(E5,'Basis-maxima'!$A$1:'Basis-maxima'!$R$11,HLOOKUP(F5,Code!$A$1:'Code'!$R$2,2))))</f>
        <v>0</v>
      </c>
      <c r="O5" s="379">
        <f t="shared" si="2"/>
        <v>0</v>
      </c>
      <c r="P5" s="74">
        <f t="shared" ref="P5:P10" si="35">J5*G5</f>
        <v>0</v>
      </c>
      <c r="Q5" s="380">
        <f t="shared" ref="Q5:Q17" si="36">IF(J5=0,0,J5/R5)</f>
        <v>0</v>
      </c>
      <c r="R5" s="381">
        <f t="shared" ref="R5:R17" si="37">IF(I5&gt;M5,AH5*(M5+N5+H5),AH5*(H5+I5+N5))</f>
        <v>0</v>
      </c>
      <c r="S5" s="379">
        <f t="shared" ref="S5:S17" si="38">R5*G5</f>
        <v>0</v>
      </c>
      <c r="T5" s="282">
        <f t="shared" ref="T5:T17" si="39">IF(J5=0,0,IF(J5&gt;R5,R5,J5))</f>
        <v>0</v>
      </c>
      <c r="U5" s="383">
        <f>LOOKUP(T5,'Prijzentabel €'!A:A,'Prijzentabel €'!B:B)</f>
        <v>0</v>
      </c>
      <c r="V5" s="383">
        <f>LOOKUP((T5+1),'Prijzentabel €'!A:A,'Prijzentabel €'!B:B)</f>
        <v>0</v>
      </c>
      <c r="W5" s="383">
        <f t="shared" ref="W5:W17" si="40">U5+(J5-FLOOR(J5,1))*(V5-U5)</f>
        <v>0</v>
      </c>
      <c r="X5" s="283"/>
      <c r="Y5" s="382"/>
      <c r="Z5" s="267">
        <f t="shared" ref="Z5:Z17" si="41">IF(T5=0,0,IF(T5&gt;R5,0,IF((0.03*(R5-T5)/(0.1*R5))&gt;0.03,0.03,0.03*(R5-T5)/(0.1*R5))))</f>
        <v>0</v>
      </c>
      <c r="AA5" s="357">
        <f t="shared" ref="AA5:AA17" si="42">IF(T5=0,0,W5*(1+Z5)+Y5)</f>
        <v>0</v>
      </c>
      <c r="AB5" s="284"/>
      <c r="AC5" s="285">
        <f>IF(AB5="G",'Prijsnormen €'!$B$15,IF(AB5="C",'Prijsnormen €'!$B$16,IF(AB5=1,'Prijsnormen €'!$B$15,0)))</f>
        <v>0</v>
      </c>
      <c r="AD5" s="286">
        <f>IF(A5=0,0,LOOKUP(A5,SoortWerk,Codetabel!H$2:H$6))</f>
        <v>1</v>
      </c>
      <c r="AE5" s="287">
        <f>LOOKUP($Z$46,LijstGemeenten!C:C,LijstGemeenten!E:E)</f>
        <v>0</v>
      </c>
      <c r="AF5" s="288"/>
      <c r="AG5" s="289"/>
      <c r="AH5" s="290">
        <f t="shared" ref="AH5:AH10" si="43">IF(AG5=0,1,1.1)</f>
        <v>1</v>
      </c>
      <c r="AI5" s="25">
        <f t="shared" ref="AI5:AI10" si="44">AD5*(1+AE5+AF5+AG5)</f>
        <v>1</v>
      </c>
      <c r="AJ5" s="25">
        <f t="shared" si="8"/>
        <v>1.149</v>
      </c>
      <c r="AK5" s="24">
        <f t="shared" si="9"/>
        <v>0</v>
      </c>
      <c r="AL5" s="291">
        <f t="shared" si="10"/>
        <v>0</v>
      </c>
      <c r="AM5" s="292">
        <f t="shared" si="11"/>
        <v>0</v>
      </c>
      <c r="AN5" s="293">
        <f t="shared" si="12"/>
        <v>0</v>
      </c>
      <c r="AO5" s="294">
        <f t="shared" si="13"/>
        <v>0</v>
      </c>
      <c r="AP5" s="292">
        <f t="shared" si="14"/>
        <v>0</v>
      </c>
      <c r="AQ5" s="293">
        <f t="shared" si="15"/>
        <v>0</v>
      </c>
      <c r="AR5" s="294">
        <f t="shared" si="16"/>
        <v>0</v>
      </c>
      <c r="AS5" s="295">
        <f t="shared" si="17"/>
        <v>0</v>
      </c>
      <c r="AT5" s="293">
        <f t="shared" si="18"/>
        <v>0</v>
      </c>
      <c r="AU5" s="294">
        <f t="shared" si="19"/>
        <v>0</v>
      </c>
      <c r="AV5" s="27">
        <f t="shared" si="20"/>
        <v>0</v>
      </c>
      <c r="AW5" s="28">
        <f t="shared" si="21"/>
        <v>0</v>
      </c>
      <c r="AX5" s="296">
        <f t="shared" si="22"/>
        <v>0</v>
      </c>
      <c r="AY5" s="27">
        <f t="shared" si="23"/>
        <v>0</v>
      </c>
      <c r="AZ5" s="28">
        <f t="shared" si="24"/>
        <v>0</v>
      </c>
      <c r="BA5" s="29">
        <f t="shared" si="25"/>
        <v>0</v>
      </c>
      <c r="BB5" s="392">
        <f t="shared" si="26"/>
        <v>0</v>
      </c>
      <c r="BC5" s="75">
        <f t="shared" si="27"/>
        <v>0</v>
      </c>
      <c r="BD5" s="76">
        <f t="shared" si="28"/>
        <v>0</v>
      </c>
      <c r="BE5" s="75">
        <f t="shared" si="29"/>
        <v>0</v>
      </c>
      <c r="BF5" s="75">
        <f t="shared" si="30"/>
        <v>0</v>
      </c>
      <c r="BG5" s="76">
        <f t="shared" si="31"/>
        <v>0</v>
      </c>
      <c r="BH5" s="30">
        <f t="shared" si="32"/>
        <v>0</v>
      </c>
    </row>
    <row r="6" spans="1:60" ht="20.100000000000001" customHeight="1" x14ac:dyDescent="0.3">
      <c r="A6" s="23" t="s">
        <v>55</v>
      </c>
      <c r="B6" s="372" t="s">
        <v>628</v>
      </c>
      <c r="C6" s="373"/>
      <c r="D6" s="374"/>
      <c r="E6" s="374"/>
      <c r="F6" s="374"/>
      <c r="G6" s="375"/>
      <c r="H6" s="376"/>
      <c r="I6" s="377"/>
      <c r="J6" s="378"/>
      <c r="K6" s="281">
        <f t="shared" si="0"/>
        <v>0</v>
      </c>
      <c r="L6" s="268">
        <f t="shared" si="33"/>
        <v>0</v>
      </c>
      <c r="M6" s="268">
        <f t="shared" si="34"/>
        <v>0</v>
      </c>
      <c r="N6" s="379">
        <f>IF(F6=0,0,(VLOOKUP(E6,'Basis-maxima'!$A$1:'Basis-maxima'!$R$11,HLOOKUP(F6,Code!$A$1:'Code'!$R$2,2))))</f>
        <v>0</v>
      </c>
      <c r="O6" s="379">
        <f t="shared" si="2"/>
        <v>0</v>
      </c>
      <c r="P6" s="74">
        <f t="shared" si="35"/>
        <v>0</v>
      </c>
      <c r="Q6" s="380">
        <f t="shared" si="36"/>
        <v>0</v>
      </c>
      <c r="R6" s="381">
        <f t="shared" si="37"/>
        <v>0</v>
      </c>
      <c r="S6" s="379">
        <f t="shared" si="38"/>
        <v>0</v>
      </c>
      <c r="T6" s="282">
        <f t="shared" si="39"/>
        <v>0</v>
      </c>
      <c r="U6" s="383">
        <f>LOOKUP(T6,'Prijzentabel €'!A:A,'Prijzentabel €'!B:B)</f>
        <v>0</v>
      </c>
      <c r="V6" s="383">
        <f>LOOKUP((T6+1),'Prijzentabel €'!A:A,'Prijzentabel €'!B:B)</f>
        <v>0</v>
      </c>
      <c r="W6" s="383">
        <f t="shared" si="40"/>
        <v>0</v>
      </c>
      <c r="X6" s="283"/>
      <c r="Y6" s="382"/>
      <c r="Z6" s="267">
        <f t="shared" si="41"/>
        <v>0</v>
      </c>
      <c r="AA6" s="357">
        <f t="shared" si="42"/>
        <v>0</v>
      </c>
      <c r="AB6" s="284"/>
      <c r="AC6" s="285">
        <f>IF(AB6="G",'Prijsnormen €'!$B$15,IF(AB6="C",'Prijsnormen €'!$B$16,IF(AB6=1,'Prijsnormen €'!$B$15,0)))</f>
        <v>0</v>
      </c>
      <c r="AD6" s="286">
        <f>IF(A6=0,0,LOOKUP(A6,SoortWerk,Codetabel!H$2:H$6))</f>
        <v>1</v>
      </c>
      <c r="AE6" s="287">
        <f>LOOKUP($Z$46,LijstGemeenten!C:C,LijstGemeenten!E:E)</f>
        <v>0</v>
      </c>
      <c r="AF6" s="288"/>
      <c r="AG6" s="289"/>
      <c r="AH6" s="290">
        <f t="shared" si="43"/>
        <v>1</v>
      </c>
      <c r="AI6" s="25">
        <f t="shared" si="44"/>
        <v>1</v>
      </c>
      <c r="AJ6" s="25">
        <f t="shared" si="8"/>
        <v>1.149</v>
      </c>
      <c r="AK6" s="24">
        <f t="shared" si="9"/>
        <v>0</v>
      </c>
      <c r="AL6" s="291">
        <f t="shared" si="10"/>
        <v>0</v>
      </c>
      <c r="AM6" s="292">
        <f t="shared" si="11"/>
        <v>0</v>
      </c>
      <c r="AN6" s="293">
        <f t="shared" si="12"/>
        <v>0</v>
      </c>
      <c r="AO6" s="294">
        <f t="shared" si="13"/>
        <v>0</v>
      </c>
      <c r="AP6" s="292">
        <f t="shared" si="14"/>
        <v>0</v>
      </c>
      <c r="AQ6" s="293">
        <f t="shared" si="15"/>
        <v>0</v>
      </c>
      <c r="AR6" s="294">
        <f t="shared" si="16"/>
        <v>0</v>
      </c>
      <c r="AS6" s="295">
        <f t="shared" si="17"/>
        <v>0</v>
      </c>
      <c r="AT6" s="293">
        <f t="shared" si="18"/>
        <v>0</v>
      </c>
      <c r="AU6" s="294">
        <f t="shared" si="19"/>
        <v>0</v>
      </c>
      <c r="AV6" s="27">
        <f t="shared" si="20"/>
        <v>0</v>
      </c>
      <c r="AW6" s="28">
        <f t="shared" si="21"/>
        <v>0</v>
      </c>
      <c r="AX6" s="296">
        <f t="shared" si="22"/>
        <v>0</v>
      </c>
      <c r="AY6" s="27">
        <f t="shared" si="23"/>
        <v>0</v>
      </c>
      <c r="AZ6" s="28">
        <f t="shared" si="24"/>
        <v>0</v>
      </c>
      <c r="BA6" s="29">
        <f t="shared" si="25"/>
        <v>0</v>
      </c>
      <c r="BB6" s="392">
        <f t="shared" si="26"/>
        <v>0</v>
      </c>
      <c r="BC6" s="75">
        <f t="shared" si="27"/>
        <v>0</v>
      </c>
      <c r="BD6" s="76">
        <f t="shared" si="28"/>
        <v>0</v>
      </c>
      <c r="BE6" s="75">
        <f t="shared" si="29"/>
        <v>0</v>
      </c>
      <c r="BF6" s="75">
        <f t="shared" si="30"/>
        <v>0</v>
      </c>
      <c r="BG6" s="76">
        <f t="shared" si="31"/>
        <v>0</v>
      </c>
      <c r="BH6" s="30">
        <f t="shared" si="32"/>
        <v>0</v>
      </c>
    </row>
    <row r="7" spans="1:60" ht="20.100000000000001" customHeight="1" x14ac:dyDescent="0.3">
      <c r="A7" s="23" t="s">
        <v>55</v>
      </c>
      <c r="B7" s="372" t="s">
        <v>628</v>
      </c>
      <c r="C7" s="373"/>
      <c r="D7" s="374"/>
      <c r="E7" s="374"/>
      <c r="F7" s="374"/>
      <c r="G7" s="375"/>
      <c r="H7" s="376"/>
      <c r="I7" s="377"/>
      <c r="J7" s="378"/>
      <c r="K7" s="281">
        <f t="shared" si="0"/>
        <v>0</v>
      </c>
      <c r="L7" s="268">
        <f t="shared" si="33"/>
        <v>0</v>
      </c>
      <c r="M7" s="268">
        <f t="shared" si="34"/>
        <v>0</v>
      </c>
      <c r="N7" s="379">
        <f>IF(F7=0,0,(VLOOKUP(E7,'Basis-maxima'!$A$1:'Basis-maxima'!$R$11,HLOOKUP(F7,Code!$A$1:'Code'!$R$2,2))))</f>
        <v>0</v>
      </c>
      <c r="O7" s="379">
        <f t="shared" si="2"/>
        <v>0</v>
      </c>
      <c r="P7" s="74">
        <f t="shared" si="35"/>
        <v>0</v>
      </c>
      <c r="Q7" s="380">
        <f t="shared" si="36"/>
        <v>0</v>
      </c>
      <c r="R7" s="381">
        <f t="shared" si="37"/>
        <v>0</v>
      </c>
      <c r="S7" s="379">
        <f t="shared" si="38"/>
        <v>0</v>
      </c>
      <c r="T7" s="282">
        <f t="shared" si="39"/>
        <v>0</v>
      </c>
      <c r="U7" s="383">
        <f>LOOKUP(T7,'Prijzentabel €'!A:A,'Prijzentabel €'!B:B)</f>
        <v>0</v>
      </c>
      <c r="V7" s="383">
        <f>LOOKUP((T7+1),'Prijzentabel €'!A:A,'Prijzentabel €'!B:B)</f>
        <v>0</v>
      </c>
      <c r="W7" s="383">
        <f t="shared" si="40"/>
        <v>0</v>
      </c>
      <c r="X7" s="283"/>
      <c r="Y7" s="382"/>
      <c r="Z7" s="267">
        <f t="shared" si="41"/>
        <v>0</v>
      </c>
      <c r="AA7" s="357">
        <f t="shared" si="42"/>
        <v>0</v>
      </c>
      <c r="AB7" s="284"/>
      <c r="AC7" s="285">
        <f>IF(AB7="G",'Prijsnormen €'!$B$15,IF(AB7="C",'Prijsnormen €'!$B$16,IF(AB7=1,'Prijsnormen €'!$B$15,0)))</f>
        <v>0</v>
      </c>
      <c r="AD7" s="286">
        <f>IF(A7=0,0,LOOKUP(A7,SoortWerk,Codetabel!H$2:H$6))</f>
        <v>1</v>
      </c>
      <c r="AE7" s="287">
        <f>LOOKUP($Z$46,LijstGemeenten!C:C,LijstGemeenten!E:E)</f>
        <v>0</v>
      </c>
      <c r="AF7" s="288"/>
      <c r="AG7" s="289"/>
      <c r="AH7" s="290">
        <f t="shared" si="43"/>
        <v>1</v>
      </c>
      <c r="AI7" s="25">
        <f t="shared" si="44"/>
        <v>1</v>
      </c>
      <c r="AJ7" s="25">
        <f t="shared" si="8"/>
        <v>1.149</v>
      </c>
      <c r="AK7" s="24">
        <f t="shared" si="9"/>
        <v>0</v>
      </c>
      <c r="AL7" s="291">
        <f t="shared" si="10"/>
        <v>0</v>
      </c>
      <c r="AM7" s="292">
        <f t="shared" si="11"/>
        <v>0</v>
      </c>
      <c r="AN7" s="293">
        <f t="shared" si="12"/>
        <v>0</v>
      </c>
      <c r="AO7" s="294">
        <f t="shared" si="13"/>
        <v>0</v>
      </c>
      <c r="AP7" s="292">
        <f t="shared" si="14"/>
        <v>0</v>
      </c>
      <c r="AQ7" s="293">
        <f t="shared" si="15"/>
        <v>0</v>
      </c>
      <c r="AR7" s="294">
        <f t="shared" si="16"/>
        <v>0</v>
      </c>
      <c r="AS7" s="295">
        <f t="shared" si="17"/>
        <v>0</v>
      </c>
      <c r="AT7" s="293">
        <f t="shared" si="18"/>
        <v>0</v>
      </c>
      <c r="AU7" s="294">
        <f t="shared" si="19"/>
        <v>0</v>
      </c>
      <c r="AV7" s="27">
        <f t="shared" si="20"/>
        <v>0</v>
      </c>
      <c r="AW7" s="28">
        <f t="shared" si="21"/>
        <v>0</v>
      </c>
      <c r="AX7" s="296">
        <f t="shared" si="22"/>
        <v>0</v>
      </c>
      <c r="AY7" s="27">
        <f t="shared" si="23"/>
        <v>0</v>
      </c>
      <c r="AZ7" s="28">
        <f t="shared" si="24"/>
        <v>0</v>
      </c>
      <c r="BA7" s="29">
        <f t="shared" si="25"/>
        <v>0</v>
      </c>
      <c r="BB7" s="392">
        <f t="shared" si="26"/>
        <v>0</v>
      </c>
      <c r="BC7" s="75">
        <f t="shared" si="27"/>
        <v>0</v>
      </c>
      <c r="BD7" s="76">
        <f t="shared" si="28"/>
        <v>0</v>
      </c>
      <c r="BE7" s="75">
        <f t="shared" si="29"/>
        <v>0</v>
      </c>
      <c r="BF7" s="75">
        <f t="shared" si="30"/>
        <v>0</v>
      </c>
      <c r="BG7" s="76">
        <f t="shared" si="31"/>
        <v>0</v>
      </c>
      <c r="BH7" s="30">
        <f t="shared" si="32"/>
        <v>0</v>
      </c>
    </row>
    <row r="8" spans="1:60" ht="20.100000000000001" customHeight="1" x14ac:dyDescent="0.3">
      <c r="A8" s="23" t="s">
        <v>55</v>
      </c>
      <c r="B8" s="372" t="s">
        <v>628</v>
      </c>
      <c r="C8" s="373"/>
      <c r="D8" s="374"/>
      <c r="E8" s="374"/>
      <c r="F8" s="374"/>
      <c r="G8" s="375"/>
      <c r="H8" s="376"/>
      <c r="I8" s="377"/>
      <c r="J8" s="378"/>
      <c r="K8" s="281">
        <f t="shared" si="0"/>
        <v>0</v>
      </c>
      <c r="L8" s="268">
        <f t="shared" si="33"/>
        <v>0</v>
      </c>
      <c r="M8" s="268">
        <f t="shared" si="34"/>
        <v>0</v>
      </c>
      <c r="N8" s="379">
        <f>IF(F8=0,0,(VLOOKUP(E8,'Basis-maxima'!$A$1:'Basis-maxima'!$R$11,HLOOKUP(F8,Code!$A$1:'Code'!$R$2,2))))</f>
        <v>0</v>
      </c>
      <c r="O8" s="379">
        <f t="shared" si="2"/>
        <v>0</v>
      </c>
      <c r="P8" s="74">
        <f t="shared" si="35"/>
        <v>0</v>
      </c>
      <c r="Q8" s="380">
        <f t="shared" si="36"/>
        <v>0</v>
      </c>
      <c r="R8" s="381">
        <f t="shared" si="37"/>
        <v>0</v>
      </c>
      <c r="S8" s="379">
        <f t="shared" si="38"/>
        <v>0</v>
      </c>
      <c r="T8" s="282">
        <f t="shared" si="39"/>
        <v>0</v>
      </c>
      <c r="U8" s="383">
        <f>LOOKUP(T8,'Prijzentabel €'!A:A,'Prijzentabel €'!B:B)</f>
        <v>0</v>
      </c>
      <c r="V8" s="383">
        <f>LOOKUP((T8+1),'Prijzentabel €'!A:A,'Prijzentabel €'!B:B)</f>
        <v>0</v>
      </c>
      <c r="W8" s="383">
        <f t="shared" si="40"/>
        <v>0</v>
      </c>
      <c r="X8" s="283"/>
      <c r="Y8" s="382"/>
      <c r="Z8" s="267">
        <f t="shared" si="41"/>
        <v>0</v>
      </c>
      <c r="AA8" s="357">
        <f t="shared" si="42"/>
        <v>0</v>
      </c>
      <c r="AB8" s="284"/>
      <c r="AC8" s="285">
        <f>IF(AB8="G",'Prijsnormen €'!$B$15,IF(AB8="C",'Prijsnormen €'!$B$16,IF(AB8=1,'Prijsnormen €'!$B$15,0)))</f>
        <v>0</v>
      </c>
      <c r="AD8" s="286">
        <f>IF(A8=0,0,LOOKUP(A8,SoortWerk,Codetabel!H$2:H$6))</f>
        <v>1</v>
      </c>
      <c r="AE8" s="287">
        <f>LOOKUP($Z$46,LijstGemeenten!C:C,LijstGemeenten!E:E)</f>
        <v>0</v>
      </c>
      <c r="AF8" s="288"/>
      <c r="AG8" s="289"/>
      <c r="AH8" s="290">
        <f t="shared" si="43"/>
        <v>1</v>
      </c>
      <c r="AI8" s="25">
        <f t="shared" si="44"/>
        <v>1</v>
      </c>
      <c r="AJ8" s="25">
        <f t="shared" si="8"/>
        <v>1.149</v>
      </c>
      <c r="AK8" s="24">
        <f t="shared" si="9"/>
        <v>0</v>
      </c>
      <c r="AL8" s="291">
        <f t="shared" si="10"/>
        <v>0</v>
      </c>
      <c r="AM8" s="292">
        <f t="shared" si="11"/>
        <v>0</v>
      </c>
      <c r="AN8" s="293">
        <f t="shared" si="12"/>
        <v>0</v>
      </c>
      <c r="AO8" s="294">
        <f t="shared" si="13"/>
        <v>0</v>
      </c>
      <c r="AP8" s="292">
        <f t="shared" si="14"/>
        <v>0</v>
      </c>
      <c r="AQ8" s="293">
        <f t="shared" si="15"/>
        <v>0</v>
      </c>
      <c r="AR8" s="294">
        <f t="shared" si="16"/>
        <v>0</v>
      </c>
      <c r="AS8" s="295">
        <f t="shared" si="17"/>
        <v>0</v>
      </c>
      <c r="AT8" s="293">
        <f t="shared" si="18"/>
        <v>0</v>
      </c>
      <c r="AU8" s="294">
        <f t="shared" si="19"/>
        <v>0</v>
      </c>
      <c r="AV8" s="27">
        <f t="shared" si="20"/>
        <v>0</v>
      </c>
      <c r="AW8" s="28">
        <f t="shared" si="21"/>
        <v>0</v>
      </c>
      <c r="AX8" s="296">
        <f t="shared" si="22"/>
        <v>0</v>
      </c>
      <c r="AY8" s="27">
        <f t="shared" si="23"/>
        <v>0</v>
      </c>
      <c r="AZ8" s="28">
        <f t="shared" si="24"/>
        <v>0</v>
      </c>
      <c r="BA8" s="29">
        <f t="shared" si="25"/>
        <v>0</v>
      </c>
      <c r="BB8" s="392">
        <f t="shared" si="26"/>
        <v>0</v>
      </c>
      <c r="BC8" s="75">
        <f t="shared" si="27"/>
        <v>0</v>
      </c>
      <c r="BD8" s="76">
        <f t="shared" si="28"/>
        <v>0</v>
      </c>
      <c r="BE8" s="75">
        <f t="shared" si="29"/>
        <v>0</v>
      </c>
      <c r="BF8" s="75">
        <f t="shared" si="30"/>
        <v>0</v>
      </c>
      <c r="BG8" s="76">
        <f t="shared" si="31"/>
        <v>0</v>
      </c>
      <c r="BH8" s="30">
        <f t="shared" si="32"/>
        <v>0</v>
      </c>
    </row>
    <row r="9" spans="1:60" ht="20.100000000000001" customHeight="1" x14ac:dyDescent="0.3">
      <c r="A9" s="23" t="s">
        <v>55</v>
      </c>
      <c r="B9" s="372" t="s">
        <v>628</v>
      </c>
      <c r="C9" s="373"/>
      <c r="D9" s="374"/>
      <c r="E9" s="374"/>
      <c r="F9" s="374"/>
      <c r="G9" s="375"/>
      <c r="H9" s="376"/>
      <c r="I9" s="377"/>
      <c r="J9" s="378"/>
      <c r="K9" s="281">
        <f t="shared" si="0"/>
        <v>0</v>
      </c>
      <c r="L9" s="268">
        <f t="shared" si="33"/>
        <v>0</v>
      </c>
      <c r="M9" s="268">
        <f t="shared" si="34"/>
        <v>0</v>
      </c>
      <c r="N9" s="379">
        <f>IF(F9=0,0,(VLOOKUP(E9,'Basis-maxima'!$A$1:'Basis-maxima'!$R$11,HLOOKUP(F9,Code!$A$1:'Code'!$R$2,2))))</f>
        <v>0</v>
      </c>
      <c r="O9" s="379">
        <f t="shared" si="2"/>
        <v>0</v>
      </c>
      <c r="P9" s="74">
        <f t="shared" si="35"/>
        <v>0</v>
      </c>
      <c r="Q9" s="380">
        <f t="shared" si="36"/>
        <v>0</v>
      </c>
      <c r="R9" s="381">
        <f t="shared" si="37"/>
        <v>0</v>
      </c>
      <c r="S9" s="379">
        <f t="shared" si="38"/>
        <v>0</v>
      </c>
      <c r="T9" s="282">
        <f t="shared" si="39"/>
        <v>0</v>
      </c>
      <c r="U9" s="383">
        <f>LOOKUP(T9,'Prijzentabel €'!A:A,'Prijzentabel €'!B:B)</f>
        <v>0</v>
      </c>
      <c r="V9" s="383">
        <f>LOOKUP((T9+1),'Prijzentabel €'!A:A,'Prijzentabel €'!B:B)</f>
        <v>0</v>
      </c>
      <c r="W9" s="383">
        <f t="shared" si="40"/>
        <v>0</v>
      </c>
      <c r="X9" s="283"/>
      <c r="Y9" s="382"/>
      <c r="Z9" s="267">
        <f t="shared" si="41"/>
        <v>0</v>
      </c>
      <c r="AA9" s="357">
        <f t="shared" si="42"/>
        <v>0</v>
      </c>
      <c r="AB9" s="284"/>
      <c r="AC9" s="285">
        <f>IF(AB9="G",'Prijsnormen €'!$B$15,IF(AB9="C",'Prijsnormen €'!$B$16,IF(AB9=1,'Prijsnormen €'!$B$15,0)))</f>
        <v>0</v>
      </c>
      <c r="AD9" s="286">
        <f>IF(A9=0,0,LOOKUP(A9,SoortWerk,Codetabel!H$2:H$6))</f>
        <v>1</v>
      </c>
      <c r="AE9" s="287">
        <f>LOOKUP($Z$46,LijstGemeenten!C:C,LijstGemeenten!E:E)</f>
        <v>0</v>
      </c>
      <c r="AF9" s="288"/>
      <c r="AG9" s="289"/>
      <c r="AH9" s="290">
        <f t="shared" si="43"/>
        <v>1</v>
      </c>
      <c r="AI9" s="25">
        <f t="shared" si="44"/>
        <v>1</v>
      </c>
      <c r="AJ9" s="25">
        <f>$AJ$38</f>
        <v>1.149</v>
      </c>
      <c r="AK9" s="24">
        <f t="shared" si="9"/>
        <v>0</v>
      </c>
      <c r="AL9" s="291">
        <f t="shared" si="10"/>
        <v>0</v>
      </c>
      <c r="AM9" s="292">
        <f t="shared" si="11"/>
        <v>0</v>
      </c>
      <c r="AN9" s="293">
        <f t="shared" si="12"/>
        <v>0</v>
      </c>
      <c r="AO9" s="294">
        <f t="shared" si="13"/>
        <v>0</v>
      </c>
      <c r="AP9" s="292">
        <f t="shared" si="14"/>
        <v>0</v>
      </c>
      <c r="AQ9" s="293">
        <f t="shared" si="15"/>
        <v>0</v>
      </c>
      <c r="AR9" s="294">
        <f t="shared" si="16"/>
        <v>0</v>
      </c>
      <c r="AS9" s="295">
        <f t="shared" si="17"/>
        <v>0</v>
      </c>
      <c r="AT9" s="293">
        <f t="shared" si="18"/>
        <v>0</v>
      </c>
      <c r="AU9" s="294">
        <f t="shared" si="19"/>
        <v>0</v>
      </c>
      <c r="AV9" s="27">
        <f t="shared" si="20"/>
        <v>0</v>
      </c>
      <c r="AW9" s="28">
        <f t="shared" si="21"/>
        <v>0</v>
      </c>
      <c r="AX9" s="296">
        <f t="shared" si="22"/>
        <v>0</v>
      </c>
      <c r="AY9" s="27">
        <f t="shared" si="23"/>
        <v>0</v>
      </c>
      <c r="AZ9" s="28">
        <f t="shared" si="24"/>
        <v>0</v>
      </c>
      <c r="BA9" s="29">
        <f t="shared" si="25"/>
        <v>0</v>
      </c>
      <c r="BB9" s="392">
        <f t="shared" si="26"/>
        <v>0</v>
      </c>
      <c r="BC9" s="75">
        <f t="shared" si="27"/>
        <v>0</v>
      </c>
      <c r="BD9" s="76">
        <f t="shared" si="28"/>
        <v>0</v>
      </c>
      <c r="BE9" s="75">
        <f t="shared" si="29"/>
        <v>0</v>
      </c>
      <c r="BF9" s="75">
        <f t="shared" si="30"/>
        <v>0</v>
      </c>
      <c r="BG9" s="76">
        <f t="shared" si="31"/>
        <v>0</v>
      </c>
      <c r="BH9" s="30">
        <f t="shared" si="32"/>
        <v>0</v>
      </c>
    </row>
    <row r="10" spans="1:60" ht="20.100000000000001" customHeight="1" x14ac:dyDescent="0.3">
      <c r="A10" s="23" t="s">
        <v>55</v>
      </c>
      <c r="B10" s="372" t="s">
        <v>628</v>
      </c>
      <c r="C10" s="373"/>
      <c r="D10" s="374"/>
      <c r="E10" s="374"/>
      <c r="F10" s="374"/>
      <c r="G10" s="375"/>
      <c r="H10" s="376"/>
      <c r="I10" s="377"/>
      <c r="J10" s="378"/>
      <c r="K10" s="281">
        <f t="shared" si="0"/>
        <v>0</v>
      </c>
      <c r="L10" s="268">
        <f t="shared" si="33"/>
        <v>0</v>
      </c>
      <c r="M10" s="268">
        <f t="shared" si="34"/>
        <v>0</v>
      </c>
      <c r="N10" s="379">
        <f>IF(F10=0,0,(VLOOKUP(E10,'Basis-maxima'!$A$1:'Basis-maxima'!$R$11,HLOOKUP(F10,Code!$A$1:'Code'!$R$2,2))))</f>
        <v>0</v>
      </c>
      <c r="O10" s="379">
        <f t="shared" si="2"/>
        <v>0</v>
      </c>
      <c r="P10" s="74">
        <f t="shared" si="35"/>
        <v>0</v>
      </c>
      <c r="Q10" s="380">
        <f t="shared" si="36"/>
        <v>0</v>
      </c>
      <c r="R10" s="381">
        <f t="shared" si="37"/>
        <v>0</v>
      </c>
      <c r="S10" s="379">
        <f t="shared" si="38"/>
        <v>0</v>
      </c>
      <c r="T10" s="282">
        <f t="shared" si="39"/>
        <v>0</v>
      </c>
      <c r="U10" s="383">
        <f>LOOKUP(T10,'Prijzentabel €'!A:A,'Prijzentabel €'!B:B)</f>
        <v>0</v>
      </c>
      <c r="V10" s="383">
        <f>LOOKUP((T10+1),'Prijzentabel €'!A:A,'Prijzentabel €'!B:B)</f>
        <v>0</v>
      </c>
      <c r="W10" s="383">
        <f t="shared" si="40"/>
        <v>0</v>
      </c>
      <c r="X10" s="283"/>
      <c r="Y10" s="382"/>
      <c r="Z10" s="267">
        <f t="shared" si="41"/>
        <v>0</v>
      </c>
      <c r="AA10" s="357">
        <f t="shared" si="42"/>
        <v>0</v>
      </c>
      <c r="AB10" s="284"/>
      <c r="AC10" s="285">
        <f>IF(AB10="G",'Prijsnormen €'!$B$15,IF(AB10="C",'Prijsnormen €'!$B$16,IF(AB10=1,'Prijsnormen €'!$B$15,0)))</f>
        <v>0</v>
      </c>
      <c r="AD10" s="286">
        <f>IF(A10=0,0,LOOKUP(A10,SoortWerk,Codetabel!H$2:H$6))</f>
        <v>1</v>
      </c>
      <c r="AE10" s="287">
        <f>LOOKUP($Z$46,LijstGemeenten!C:C,LijstGemeenten!E:E)</f>
        <v>0</v>
      </c>
      <c r="AF10" s="288"/>
      <c r="AG10" s="289"/>
      <c r="AH10" s="290">
        <f t="shared" si="43"/>
        <v>1</v>
      </c>
      <c r="AI10" s="25">
        <f t="shared" si="44"/>
        <v>1</v>
      </c>
      <c r="AJ10" s="25">
        <f t="shared" si="8"/>
        <v>1.149</v>
      </c>
      <c r="AK10" s="24">
        <f t="shared" si="9"/>
        <v>0</v>
      </c>
      <c r="AL10" s="291">
        <f t="shared" si="10"/>
        <v>0</v>
      </c>
      <c r="AM10" s="292">
        <f t="shared" si="11"/>
        <v>0</v>
      </c>
      <c r="AN10" s="293">
        <f t="shared" si="12"/>
        <v>0</v>
      </c>
      <c r="AO10" s="294">
        <f t="shared" si="13"/>
        <v>0</v>
      </c>
      <c r="AP10" s="292">
        <f t="shared" si="14"/>
        <v>0</v>
      </c>
      <c r="AQ10" s="293">
        <f t="shared" si="15"/>
        <v>0</v>
      </c>
      <c r="AR10" s="294">
        <f t="shared" si="16"/>
        <v>0</v>
      </c>
      <c r="AS10" s="295">
        <f t="shared" si="17"/>
        <v>0</v>
      </c>
      <c r="AT10" s="293">
        <f t="shared" si="18"/>
        <v>0</v>
      </c>
      <c r="AU10" s="294">
        <f t="shared" si="19"/>
        <v>0</v>
      </c>
      <c r="AV10" s="27">
        <f t="shared" si="20"/>
        <v>0</v>
      </c>
      <c r="AW10" s="28">
        <f t="shared" si="21"/>
        <v>0</v>
      </c>
      <c r="AX10" s="296">
        <f t="shared" si="22"/>
        <v>0</v>
      </c>
      <c r="AY10" s="27">
        <f t="shared" si="23"/>
        <v>0</v>
      </c>
      <c r="AZ10" s="28">
        <f t="shared" si="24"/>
        <v>0</v>
      </c>
      <c r="BA10" s="29">
        <f t="shared" si="25"/>
        <v>0</v>
      </c>
      <c r="BB10" s="392">
        <f t="shared" si="26"/>
        <v>0</v>
      </c>
      <c r="BC10" s="75">
        <f t="shared" si="27"/>
        <v>0</v>
      </c>
      <c r="BD10" s="76">
        <f t="shared" si="28"/>
        <v>0</v>
      </c>
      <c r="BE10" s="75">
        <f t="shared" si="29"/>
        <v>0</v>
      </c>
      <c r="BF10" s="75">
        <f t="shared" si="30"/>
        <v>0</v>
      </c>
      <c r="BG10" s="76">
        <f t="shared" si="31"/>
        <v>0</v>
      </c>
      <c r="BH10" s="30">
        <f t="shared" si="32"/>
        <v>0</v>
      </c>
    </row>
    <row r="11" spans="1:60" ht="20.100000000000001" customHeight="1" x14ac:dyDescent="0.3">
      <c r="A11" s="23" t="s">
        <v>55</v>
      </c>
      <c r="B11" s="372" t="s">
        <v>628</v>
      </c>
      <c r="C11" s="373"/>
      <c r="D11" s="374"/>
      <c r="E11" s="374"/>
      <c r="F11" s="374"/>
      <c r="G11" s="375"/>
      <c r="H11" s="376"/>
      <c r="I11" s="377"/>
      <c r="J11" s="378"/>
      <c r="K11" s="281">
        <f t="shared" si="0"/>
        <v>0</v>
      </c>
      <c r="L11" s="268">
        <f t="shared" si="1"/>
        <v>0</v>
      </c>
      <c r="M11" s="268">
        <f t="shared" ref="M11:M17" si="45">IF(D11="A",(4+F11*1),IF(D11="E",(6+F11*1),0))</f>
        <v>0</v>
      </c>
      <c r="N11" s="379">
        <f>IF(F11=0,0,(VLOOKUP(E11,'Basis-maxima'!$A$1:'Basis-maxima'!$R$11,HLOOKUP(F11,Code!$A$1:'Code'!$R$2,2))))</f>
        <v>0</v>
      </c>
      <c r="O11" s="379">
        <f t="shared" si="2"/>
        <v>0</v>
      </c>
      <c r="P11" s="74">
        <f t="shared" si="3"/>
        <v>0</v>
      </c>
      <c r="Q11" s="380">
        <f t="shared" si="36"/>
        <v>0</v>
      </c>
      <c r="R11" s="381">
        <f t="shared" si="37"/>
        <v>0</v>
      </c>
      <c r="S11" s="379">
        <f t="shared" si="38"/>
        <v>0</v>
      </c>
      <c r="T11" s="282">
        <f t="shared" si="39"/>
        <v>0</v>
      </c>
      <c r="U11" s="383">
        <f>LOOKUP(T11,'Prijzentabel €'!A:A,'Prijzentabel €'!B:B)</f>
        <v>0</v>
      </c>
      <c r="V11" s="383">
        <f>LOOKUP((T11+1),'Prijzentabel €'!A:A,'Prijzentabel €'!B:B)</f>
        <v>0</v>
      </c>
      <c r="W11" s="383">
        <f t="shared" si="40"/>
        <v>0</v>
      </c>
      <c r="X11" s="283"/>
      <c r="Y11" s="382"/>
      <c r="Z11" s="267">
        <f t="shared" si="41"/>
        <v>0</v>
      </c>
      <c r="AA11" s="357">
        <f t="shared" si="42"/>
        <v>0</v>
      </c>
      <c r="AB11" s="284"/>
      <c r="AC11" s="285">
        <f>IF(AB11="G",'Prijsnormen €'!$B$15,IF(AB11="C",'Prijsnormen €'!$B$16,IF(AB11=1,'Prijsnormen €'!$B$15,0)))</f>
        <v>0</v>
      </c>
      <c r="AD11" s="286">
        <f>IF(A11=0,0,LOOKUP(A11,SoortWerk,Codetabel!H$2:H$6))</f>
        <v>1</v>
      </c>
      <c r="AE11" s="287">
        <f>LOOKUP($Z$46,LijstGemeenten!C:C,LijstGemeenten!E:E)</f>
        <v>0</v>
      </c>
      <c r="AF11" s="288"/>
      <c r="AG11" s="289"/>
      <c r="AH11" s="290">
        <f t="shared" si="7"/>
        <v>1</v>
      </c>
      <c r="AI11" s="25">
        <f t="shared" ref="AI11:AI17" si="46">AD11*(1+AE11+AF11+AG11)</f>
        <v>1</v>
      </c>
      <c r="AJ11" s="25">
        <f t="shared" si="8"/>
        <v>1.149</v>
      </c>
      <c r="AK11" s="24">
        <f t="shared" si="9"/>
        <v>0</v>
      </c>
      <c r="AL11" s="291">
        <f t="shared" si="10"/>
        <v>0</v>
      </c>
      <c r="AM11" s="292">
        <f t="shared" si="11"/>
        <v>0</v>
      </c>
      <c r="AN11" s="293">
        <f t="shared" si="12"/>
        <v>0</v>
      </c>
      <c r="AO11" s="294">
        <f t="shared" si="13"/>
        <v>0</v>
      </c>
      <c r="AP11" s="292">
        <f t="shared" si="14"/>
        <v>0</v>
      </c>
      <c r="AQ11" s="293">
        <f t="shared" si="15"/>
        <v>0</v>
      </c>
      <c r="AR11" s="294">
        <f t="shared" si="16"/>
        <v>0</v>
      </c>
      <c r="AS11" s="295">
        <f t="shared" si="17"/>
        <v>0</v>
      </c>
      <c r="AT11" s="293">
        <f t="shared" si="18"/>
        <v>0</v>
      </c>
      <c r="AU11" s="294">
        <f t="shared" si="19"/>
        <v>0</v>
      </c>
      <c r="AV11" s="27">
        <f t="shared" si="20"/>
        <v>0</v>
      </c>
      <c r="AW11" s="28">
        <f t="shared" si="21"/>
        <v>0</v>
      </c>
      <c r="AX11" s="296">
        <f t="shared" si="22"/>
        <v>0</v>
      </c>
      <c r="AY11" s="27">
        <f t="shared" si="23"/>
        <v>0</v>
      </c>
      <c r="AZ11" s="28">
        <f t="shared" si="24"/>
        <v>0</v>
      </c>
      <c r="BA11" s="29">
        <f t="shared" si="25"/>
        <v>0</v>
      </c>
      <c r="BB11" s="392">
        <f t="shared" si="26"/>
        <v>0</v>
      </c>
      <c r="BC11" s="75">
        <f t="shared" si="27"/>
        <v>0</v>
      </c>
      <c r="BD11" s="76">
        <f t="shared" si="28"/>
        <v>0</v>
      </c>
      <c r="BE11" s="75">
        <f t="shared" si="29"/>
        <v>0</v>
      </c>
      <c r="BF11" s="75">
        <f t="shared" si="30"/>
        <v>0</v>
      </c>
      <c r="BG11" s="76">
        <f t="shared" si="31"/>
        <v>0</v>
      </c>
      <c r="BH11" s="30">
        <f t="shared" si="32"/>
        <v>0</v>
      </c>
    </row>
    <row r="12" spans="1:60" ht="20.100000000000001" customHeight="1" x14ac:dyDescent="0.3">
      <c r="A12" s="23" t="s">
        <v>55</v>
      </c>
      <c r="B12" s="372" t="s">
        <v>628</v>
      </c>
      <c r="C12" s="373"/>
      <c r="D12" s="374"/>
      <c r="E12" s="374"/>
      <c r="F12" s="374"/>
      <c r="G12" s="375"/>
      <c r="H12" s="376"/>
      <c r="I12" s="377"/>
      <c r="J12" s="378"/>
      <c r="K12" s="281">
        <f t="shared" si="0"/>
        <v>0</v>
      </c>
      <c r="L12" s="268">
        <f t="shared" si="1"/>
        <v>0</v>
      </c>
      <c r="M12" s="268">
        <f t="shared" si="45"/>
        <v>0</v>
      </c>
      <c r="N12" s="379">
        <f>IF(F12=0,0,(VLOOKUP(E12,'Basis-maxima'!$A$1:'Basis-maxima'!$R$11,HLOOKUP(F12,Code!$A$1:'Code'!$R$2,2))))</f>
        <v>0</v>
      </c>
      <c r="O12" s="379">
        <f t="shared" si="2"/>
        <v>0</v>
      </c>
      <c r="P12" s="74">
        <f t="shared" si="3"/>
        <v>0</v>
      </c>
      <c r="Q12" s="380">
        <f t="shared" si="36"/>
        <v>0</v>
      </c>
      <c r="R12" s="381">
        <f t="shared" si="37"/>
        <v>0</v>
      </c>
      <c r="S12" s="379">
        <f t="shared" si="38"/>
        <v>0</v>
      </c>
      <c r="T12" s="282">
        <f t="shared" si="39"/>
        <v>0</v>
      </c>
      <c r="U12" s="383">
        <f>LOOKUP(T12,'Prijzentabel €'!A:A,'Prijzentabel €'!B:B)</f>
        <v>0</v>
      </c>
      <c r="V12" s="383">
        <f>LOOKUP((T12+1),'Prijzentabel €'!A:A,'Prijzentabel €'!B:B)</f>
        <v>0</v>
      </c>
      <c r="W12" s="383">
        <f t="shared" si="40"/>
        <v>0</v>
      </c>
      <c r="X12" s="283"/>
      <c r="Y12" s="382"/>
      <c r="Z12" s="267">
        <f t="shared" si="41"/>
        <v>0</v>
      </c>
      <c r="AA12" s="357">
        <f t="shared" si="42"/>
        <v>0</v>
      </c>
      <c r="AB12" s="284"/>
      <c r="AC12" s="285">
        <f>IF(AB12="G",'Prijsnormen €'!$B$15,IF(AB12="C",'Prijsnormen €'!$B$16,IF(AB12=1,'Prijsnormen €'!$B$15,0)))</f>
        <v>0</v>
      </c>
      <c r="AD12" s="286">
        <f>IF(A12=0,0,LOOKUP(A12,SoortWerk,Codetabel!H$2:H$6))</f>
        <v>1</v>
      </c>
      <c r="AE12" s="287">
        <f>LOOKUP($Z$46,LijstGemeenten!C:C,LijstGemeenten!E:E)</f>
        <v>0</v>
      </c>
      <c r="AF12" s="288"/>
      <c r="AG12" s="289"/>
      <c r="AH12" s="290">
        <f t="shared" si="7"/>
        <v>1</v>
      </c>
      <c r="AI12" s="25">
        <f t="shared" si="46"/>
        <v>1</v>
      </c>
      <c r="AJ12" s="25">
        <f t="shared" si="8"/>
        <v>1.149</v>
      </c>
      <c r="AK12" s="24">
        <f t="shared" si="9"/>
        <v>0</v>
      </c>
      <c r="AL12" s="291">
        <f t="shared" si="10"/>
        <v>0</v>
      </c>
      <c r="AM12" s="292">
        <f t="shared" si="11"/>
        <v>0</v>
      </c>
      <c r="AN12" s="293">
        <f t="shared" si="12"/>
        <v>0</v>
      </c>
      <c r="AO12" s="294">
        <f t="shared" si="13"/>
        <v>0</v>
      </c>
      <c r="AP12" s="292">
        <f t="shared" si="14"/>
        <v>0</v>
      </c>
      <c r="AQ12" s="293">
        <f t="shared" si="15"/>
        <v>0</v>
      </c>
      <c r="AR12" s="294">
        <f t="shared" si="16"/>
        <v>0</v>
      </c>
      <c r="AS12" s="295">
        <f t="shared" si="17"/>
        <v>0</v>
      </c>
      <c r="AT12" s="293">
        <f t="shared" si="18"/>
        <v>0</v>
      </c>
      <c r="AU12" s="294">
        <f t="shared" si="19"/>
        <v>0</v>
      </c>
      <c r="AV12" s="27">
        <f t="shared" si="20"/>
        <v>0</v>
      </c>
      <c r="AW12" s="28">
        <f t="shared" si="21"/>
        <v>0</v>
      </c>
      <c r="AX12" s="296">
        <f t="shared" si="22"/>
        <v>0</v>
      </c>
      <c r="AY12" s="27">
        <f t="shared" si="23"/>
        <v>0</v>
      </c>
      <c r="AZ12" s="28">
        <f t="shared" si="24"/>
        <v>0</v>
      </c>
      <c r="BA12" s="29">
        <f t="shared" si="25"/>
        <v>0</v>
      </c>
      <c r="BB12" s="392">
        <f t="shared" si="26"/>
        <v>0</v>
      </c>
      <c r="BC12" s="75">
        <f t="shared" si="27"/>
        <v>0</v>
      </c>
      <c r="BD12" s="76">
        <f t="shared" si="28"/>
        <v>0</v>
      </c>
      <c r="BE12" s="75">
        <f t="shared" si="29"/>
        <v>0</v>
      </c>
      <c r="BF12" s="75">
        <f t="shared" si="30"/>
        <v>0</v>
      </c>
      <c r="BG12" s="76">
        <f t="shared" si="31"/>
        <v>0</v>
      </c>
      <c r="BH12" s="30">
        <f t="shared" si="32"/>
        <v>0</v>
      </c>
    </row>
    <row r="13" spans="1:60" ht="20.100000000000001" customHeight="1" x14ac:dyDescent="0.3">
      <c r="A13" s="23" t="s">
        <v>55</v>
      </c>
      <c r="B13" s="372" t="s">
        <v>628</v>
      </c>
      <c r="C13" s="373"/>
      <c r="D13" s="374"/>
      <c r="E13" s="374"/>
      <c r="F13" s="374"/>
      <c r="G13" s="375"/>
      <c r="H13" s="376"/>
      <c r="I13" s="377"/>
      <c r="J13" s="378"/>
      <c r="K13" s="281">
        <f t="shared" si="0"/>
        <v>0</v>
      </c>
      <c r="L13" s="268">
        <f t="shared" si="1"/>
        <v>0</v>
      </c>
      <c r="M13" s="268">
        <f t="shared" si="45"/>
        <v>0</v>
      </c>
      <c r="N13" s="379">
        <f>IF(F13=0,0,(VLOOKUP(E13,'Basis-maxima'!$A$1:'Basis-maxima'!$R$11,HLOOKUP(F13,Code!$A$1:'Code'!$R$2,2))))</f>
        <v>0</v>
      </c>
      <c r="O13" s="379">
        <f t="shared" si="2"/>
        <v>0</v>
      </c>
      <c r="P13" s="74">
        <f t="shared" si="3"/>
        <v>0</v>
      </c>
      <c r="Q13" s="380">
        <f t="shared" si="36"/>
        <v>0</v>
      </c>
      <c r="R13" s="381">
        <f t="shared" si="37"/>
        <v>0</v>
      </c>
      <c r="S13" s="379">
        <f t="shared" si="38"/>
        <v>0</v>
      </c>
      <c r="T13" s="282">
        <f t="shared" si="39"/>
        <v>0</v>
      </c>
      <c r="U13" s="383">
        <f>LOOKUP(T13,'Prijzentabel €'!A:A,'Prijzentabel €'!B:B)</f>
        <v>0</v>
      </c>
      <c r="V13" s="383">
        <f>LOOKUP((T13+1),'Prijzentabel €'!A:A,'Prijzentabel €'!B:B)</f>
        <v>0</v>
      </c>
      <c r="W13" s="383">
        <f t="shared" si="40"/>
        <v>0</v>
      </c>
      <c r="X13" s="283"/>
      <c r="Y13" s="382"/>
      <c r="Z13" s="267">
        <f t="shared" si="41"/>
        <v>0</v>
      </c>
      <c r="AA13" s="357">
        <f t="shared" si="42"/>
        <v>0</v>
      </c>
      <c r="AB13" s="284"/>
      <c r="AC13" s="285">
        <f>IF(AB13="G",'Prijsnormen €'!$B$15,IF(AB13="C",'Prijsnormen €'!$B$16,IF(AB13=1,'Prijsnormen €'!$B$15,0)))</f>
        <v>0</v>
      </c>
      <c r="AD13" s="286">
        <f>IF(A13=0,0,LOOKUP(A13,SoortWerk,Codetabel!H$2:H$6))</f>
        <v>1</v>
      </c>
      <c r="AE13" s="287">
        <f>LOOKUP($Z$46,LijstGemeenten!C:C,LijstGemeenten!E:E)</f>
        <v>0</v>
      </c>
      <c r="AF13" s="288"/>
      <c r="AG13" s="289"/>
      <c r="AH13" s="290">
        <f t="shared" si="7"/>
        <v>1</v>
      </c>
      <c r="AI13" s="25">
        <f t="shared" si="46"/>
        <v>1</v>
      </c>
      <c r="AJ13" s="25">
        <f t="shared" si="8"/>
        <v>1.149</v>
      </c>
      <c r="AK13" s="24">
        <f t="shared" si="9"/>
        <v>0</v>
      </c>
      <c r="AL13" s="291">
        <f t="shared" si="10"/>
        <v>0</v>
      </c>
      <c r="AM13" s="292">
        <f t="shared" si="11"/>
        <v>0</v>
      </c>
      <c r="AN13" s="293">
        <f t="shared" si="12"/>
        <v>0</v>
      </c>
      <c r="AO13" s="294">
        <f t="shared" si="13"/>
        <v>0</v>
      </c>
      <c r="AP13" s="292">
        <f t="shared" si="14"/>
        <v>0</v>
      </c>
      <c r="AQ13" s="293">
        <f t="shared" si="15"/>
        <v>0</v>
      </c>
      <c r="AR13" s="294">
        <f t="shared" si="16"/>
        <v>0</v>
      </c>
      <c r="AS13" s="295">
        <f t="shared" si="17"/>
        <v>0</v>
      </c>
      <c r="AT13" s="293">
        <f t="shared" si="18"/>
        <v>0</v>
      </c>
      <c r="AU13" s="294">
        <f t="shared" si="19"/>
        <v>0</v>
      </c>
      <c r="AV13" s="27">
        <f t="shared" si="20"/>
        <v>0</v>
      </c>
      <c r="AW13" s="28">
        <f t="shared" si="21"/>
        <v>0</v>
      </c>
      <c r="AX13" s="296">
        <f t="shared" si="22"/>
        <v>0</v>
      </c>
      <c r="AY13" s="27">
        <f t="shared" si="23"/>
        <v>0</v>
      </c>
      <c r="AZ13" s="28">
        <f t="shared" si="24"/>
        <v>0</v>
      </c>
      <c r="BA13" s="29">
        <f t="shared" si="25"/>
        <v>0</v>
      </c>
      <c r="BB13" s="392">
        <f t="shared" si="26"/>
        <v>0</v>
      </c>
      <c r="BC13" s="75">
        <f t="shared" si="27"/>
        <v>0</v>
      </c>
      <c r="BD13" s="76">
        <f t="shared" si="28"/>
        <v>0</v>
      </c>
      <c r="BE13" s="75">
        <f t="shared" si="29"/>
        <v>0</v>
      </c>
      <c r="BF13" s="75">
        <f t="shared" si="30"/>
        <v>0</v>
      </c>
      <c r="BG13" s="76">
        <f t="shared" si="31"/>
        <v>0</v>
      </c>
      <c r="BH13" s="30">
        <f t="shared" si="32"/>
        <v>0</v>
      </c>
    </row>
    <row r="14" spans="1:60" ht="20.100000000000001" customHeight="1" x14ac:dyDescent="0.3">
      <c r="A14" s="23" t="s">
        <v>55</v>
      </c>
      <c r="B14" s="372" t="s">
        <v>628</v>
      </c>
      <c r="C14" s="373"/>
      <c r="D14" s="374"/>
      <c r="E14" s="374"/>
      <c r="F14" s="374"/>
      <c r="G14" s="375"/>
      <c r="H14" s="376"/>
      <c r="I14" s="377"/>
      <c r="J14" s="378"/>
      <c r="K14" s="281">
        <f t="shared" si="0"/>
        <v>0</v>
      </c>
      <c r="L14" s="268">
        <f t="shared" si="1"/>
        <v>0</v>
      </c>
      <c r="M14" s="268">
        <f t="shared" si="45"/>
        <v>0</v>
      </c>
      <c r="N14" s="379">
        <f>IF(F14=0,0,(VLOOKUP(E14,'Basis-maxima'!$A$1:'Basis-maxima'!$R$11,HLOOKUP(F14,Code!$A$1:'Code'!$R$2,2))))</f>
        <v>0</v>
      </c>
      <c r="O14" s="379">
        <f t="shared" si="2"/>
        <v>0</v>
      </c>
      <c r="P14" s="74">
        <f t="shared" si="3"/>
        <v>0</v>
      </c>
      <c r="Q14" s="380">
        <f t="shared" si="36"/>
        <v>0</v>
      </c>
      <c r="R14" s="381">
        <f t="shared" si="37"/>
        <v>0</v>
      </c>
      <c r="S14" s="379">
        <f t="shared" si="38"/>
        <v>0</v>
      </c>
      <c r="T14" s="282">
        <f t="shared" si="39"/>
        <v>0</v>
      </c>
      <c r="U14" s="383">
        <f>LOOKUP(T14,'Prijzentabel €'!A:A,'Prijzentabel €'!B:B)</f>
        <v>0</v>
      </c>
      <c r="V14" s="383">
        <f>LOOKUP((T14+1),'Prijzentabel €'!A:A,'Prijzentabel €'!B:B)</f>
        <v>0</v>
      </c>
      <c r="W14" s="383">
        <f t="shared" si="40"/>
        <v>0</v>
      </c>
      <c r="X14" s="283"/>
      <c r="Y14" s="382"/>
      <c r="Z14" s="267">
        <f t="shared" si="41"/>
        <v>0</v>
      </c>
      <c r="AA14" s="357">
        <f t="shared" si="42"/>
        <v>0</v>
      </c>
      <c r="AB14" s="284"/>
      <c r="AC14" s="285">
        <f>IF(AB14="G",'Prijsnormen €'!$B$15,IF(AB14="C",'Prijsnormen €'!$B$16,IF(AB14=1,'Prijsnormen €'!$B$15,0)))</f>
        <v>0</v>
      </c>
      <c r="AD14" s="286">
        <f>IF(A14=0,0,LOOKUP(A14,SoortWerk,Codetabel!H$2:H$6))</f>
        <v>1</v>
      </c>
      <c r="AE14" s="287">
        <f>LOOKUP($Z$46,LijstGemeenten!C:C,LijstGemeenten!E:E)</f>
        <v>0</v>
      </c>
      <c r="AF14" s="288"/>
      <c r="AG14" s="289"/>
      <c r="AH14" s="290">
        <f t="shared" si="7"/>
        <v>1</v>
      </c>
      <c r="AI14" s="25">
        <f t="shared" si="46"/>
        <v>1</v>
      </c>
      <c r="AJ14" s="25">
        <f t="shared" si="8"/>
        <v>1.149</v>
      </c>
      <c r="AK14" s="24">
        <f t="shared" si="9"/>
        <v>0</v>
      </c>
      <c r="AL14" s="291">
        <f t="shared" si="10"/>
        <v>0</v>
      </c>
      <c r="AM14" s="292">
        <f t="shared" si="11"/>
        <v>0</v>
      </c>
      <c r="AN14" s="293">
        <f t="shared" si="12"/>
        <v>0</v>
      </c>
      <c r="AO14" s="294">
        <f t="shared" si="13"/>
        <v>0</v>
      </c>
      <c r="AP14" s="292">
        <f t="shared" si="14"/>
        <v>0</v>
      </c>
      <c r="AQ14" s="293">
        <f t="shared" si="15"/>
        <v>0</v>
      </c>
      <c r="AR14" s="294">
        <f t="shared" si="16"/>
        <v>0</v>
      </c>
      <c r="AS14" s="295">
        <f t="shared" si="17"/>
        <v>0</v>
      </c>
      <c r="AT14" s="293">
        <f t="shared" si="18"/>
        <v>0</v>
      </c>
      <c r="AU14" s="294">
        <f t="shared" si="19"/>
        <v>0</v>
      </c>
      <c r="AV14" s="27">
        <f t="shared" si="20"/>
        <v>0</v>
      </c>
      <c r="AW14" s="28">
        <f t="shared" si="21"/>
        <v>0</v>
      </c>
      <c r="AX14" s="296">
        <f t="shared" si="22"/>
        <v>0</v>
      </c>
      <c r="AY14" s="27">
        <f t="shared" si="23"/>
        <v>0</v>
      </c>
      <c r="AZ14" s="28">
        <f t="shared" si="24"/>
        <v>0</v>
      </c>
      <c r="BA14" s="29">
        <f t="shared" si="25"/>
        <v>0</v>
      </c>
      <c r="BB14" s="392">
        <f t="shared" si="26"/>
        <v>0</v>
      </c>
      <c r="BC14" s="75">
        <f t="shared" si="27"/>
        <v>0</v>
      </c>
      <c r="BD14" s="76">
        <f t="shared" si="28"/>
        <v>0</v>
      </c>
      <c r="BE14" s="75">
        <f t="shared" si="29"/>
        <v>0</v>
      </c>
      <c r="BF14" s="75">
        <f t="shared" si="30"/>
        <v>0</v>
      </c>
      <c r="BG14" s="76">
        <f t="shared" si="31"/>
        <v>0</v>
      </c>
      <c r="BH14" s="30">
        <f t="shared" si="32"/>
        <v>0</v>
      </c>
    </row>
    <row r="15" spans="1:60" ht="20.100000000000001" customHeight="1" x14ac:dyDescent="0.3">
      <c r="A15" s="23" t="s">
        <v>55</v>
      </c>
      <c r="B15" s="372" t="s">
        <v>628</v>
      </c>
      <c r="C15" s="373"/>
      <c r="D15" s="374"/>
      <c r="E15" s="374"/>
      <c r="F15" s="374"/>
      <c r="G15" s="375"/>
      <c r="H15" s="376"/>
      <c r="I15" s="377"/>
      <c r="J15" s="378"/>
      <c r="K15" s="281">
        <f t="shared" si="0"/>
        <v>0</v>
      </c>
      <c r="L15" s="268">
        <f t="shared" si="1"/>
        <v>0</v>
      </c>
      <c r="M15" s="268">
        <f t="shared" si="45"/>
        <v>0</v>
      </c>
      <c r="N15" s="379">
        <f>IF(F15=0,0,(VLOOKUP(E15,'Basis-maxima'!$A$1:'Basis-maxima'!$R$11,HLOOKUP(F15,Code!$A$1:'Code'!$R$2,2))))</f>
        <v>0</v>
      </c>
      <c r="O15" s="379">
        <f t="shared" si="2"/>
        <v>0</v>
      </c>
      <c r="P15" s="74">
        <f t="shared" si="3"/>
        <v>0</v>
      </c>
      <c r="Q15" s="380">
        <f t="shared" si="36"/>
        <v>0</v>
      </c>
      <c r="R15" s="381">
        <f t="shared" si="37"/>
        <v>0</v>
      </c>
      <c r="S15" s="379">
        <f t="shared" si="38"/>
        <v>0</v>
      </c>
      <c r="T15" s="282">
        <f t="shared" si="39"/>
        <v>0</v>
      </c>
      <c r="U15" s="383">
        <f>LOOKUP(T15,'Prijzentabel €'!A:A,'Prijzentabel €'!B:B)</f>
        <v>0</v>
      </c>
      <c r="V15" s="383">
        <f>LOOKUP((T15+1),'Prijzentabel €'!A:A,'Prijzentabel €'!B:B)</f>
        <v>0</v>
      </c>
      <c r="W15" s="383">
        <f t="shared" si="40"/>
        <v>0</v>
      </c>
      <c r="X15" s="283"/>
      <c r="Y15" s="382"/>
      <c r="Z15" s="267">
        <f t="shared" si="41"/>
        <v>0</v>
      </c>
      <c r="AA15" s="357">
        <f t="shared" si="42"/>
        <v>0</v>
      </c>
      <c r="AB15" s="284"/>
      <c r="AC15" s="285">
        <f>IF(AB15="G",'Prijsnormen €'!$B$15,IF(AB15="C",'Prijsnormen €'!$B$16,IF(AB15=1,'Prijsnormen €'!$B$15,0)))</f>
        <v>0</v>
      </c>
      <c r="AD15" s="286">
        <f>IF(A15=0,0,LOOKUP(A15,SoortWerk,Codetabel!H$2:H$6))</f>
        <v>1</v>
      </c>
      <c r="AE15" s="287">
        <f>LOOKUP($Z$46,LijstGemeenten!C:C,LijstGemeenten!E:E)</f>
        <v>0</v>
      </c>
      <c r="AF15" s="288"/>
      <c r="AG15" s="289"/>
      <c r="AH15" s="290">
        <f t="shared" si="7"/>
        <v>1</v>
      </c>
      <c r="AI15" s="25">
        <f t="shared" si="46"/>
        <v>1</v>
      </c>
      <c r="AJ15" s="25">
        <f t="shared" si="8"/>
        <v>1.149</v>
      </c>
      <c r="AK15" s="24">
        <f t="shared" si="9"/>
        <v>0</v>
      </c>
      <c r="AL15" s="291">
        <f t="shared" si="10"/>
        <v>0</v>
      </c>
      <c r="AM15" s="292">
        <f t="shared" si="11"/>
        <v>0</v>
      </c>
      <c r="AN15" s="293">
        <f t="shared" si="12"/>
        <v>0</v>
      </c>
      <c r="AO15" s="294">
        <f t="shared" si="13"/>
        <v>0</v>
      </c>
      <c r="AP15" s="292">
        <f t="shared" si="14"/>
        <v>0</v>
      </c>
      <c r="AQ15" s="293">
        <f t="shared" si="15"/>
        <v>0</v>
      </c>
      <c r="AR15" s="294">
        <f t="shared" si="16"/>
        <v>0</v>
      </c>
      <c r="AS15" s="295">
        <f t="shared" si="17"/>
        <v>0</v>
      </c>
      <c r="AT15" s="293">
        <f t="shared" si="18"/>
        <v>0</v>
      </c>
      <c r="AU15" s="294">
        <f t="shared" si="19"/>
        <v>0</v>
      </c>
      <c r="AV15" s="27">
        <f t="shared" si="20"/>
        <v>0</v>
      </c>
      <c r="AW15" s="28">
        <f t="shared" si="21"/>
        <v>0</v>
      </c>
      <c r="AX15" s="296">
        <f t="shared" si="22"/>
        <v>0</v>
      </c>
      <c r="AY15" s="27">
        <f t="shared" si="23"/>
        <v>0</v>
      </c>
      <c r="AZ15" s="28">
        <f t="shared" si="24"/>
        <v>0</v>
      </c>
      <c r="BA15" s="29">
        <f t="shared" si="25"/>
        <v>0</v>
      </c>
      <c r="BB15" s="392">
        <f t="shared" si="26"/>
        <v>0</v>
      </c>
      <c r="BC15" s="75">
        <f t="shared" si="27"/>
        <v>0</v>
      </c>
      <c r="BD15" s="76">
        <f t="shared" si="28"/>
        <v>0</v>
      </c>
      <c r="BE15" s="75">
        <f t="shared" si="29"/>
        <v>0</v>
      </c>
      <c r="BF15" s="75">
        <f t="shared" si="30"/>
        <v>0</v>
      </c>
      <c r="BG15" s="76">
        <f t="shared" si="31"/>
        <v>0</v>
      </c>
      <c r="BH15" s="30">
        <f t="shared" si="32"/>
        <v>0</v>
      </c>
    </row>
    <row r="16" spans="1:60" ht="20.100000000000001" customHeight="1" x14ac:dyDescent="0.3">
      <c r="A16" s="23" t="s">
        <v>55</v>
      </c>
      <c r="B16" s="372" t="s">
        <v>628</v>
      </c>
      <c r="C16" s="373"/>
      <c r="D16" s="374"/>
      <c r="E16" s="374"/>
      <c r="F16" s="374"/>
      <c r="G16" s="375"/>
      <c r="H16" s="376"/>
      <c r="I16" s="377"/>
      <c r="J16" s="378"/>
      <c r="K16" s="281">
        <f t="shared" si="0"/>
        <v>0</v>
      </c>
      <c r="L16" s="268">
        <f t="shared" si="1"/>
        <v>0</v>
      </c>
      <c r="M16" s="268">
        <f t="shared" si="45"/>
        <v>0</v>
      </c>
      <c r="N16" s="379">
        <f>IF(F16=0,0,(VLOOKUP(E16,'Basis-maxima'!$A$1:'Basis-maxima'!$R$11,HLOOKUP(F16,Code!$A$1:'Code'!$R$2,2))))</f>
        <v>0</v>
      </c>
      <c r="O16" s="379">
        <f t="shared" si="2"/>
        <v>0</v>
      </c>
      <c r="P16" s="74">
        <f t="shared" si="3"/>
        <v>0</v>
      </c>
      <c r="Q16" s="380">
        <f t="shared" si="36"/>
        <v>0</v>
      </c>
      <c r="R16" s="381">
        <f t="shared" si="37"/>
        <v>0</v>
      </c>
      <c r="S16" s="379">
        <f t="shared" si="38"/>
        <v>0</v>
      </c>
      <c r="T16" s="282">
        <f t="shared" si="39"/>
        <v>0</v>
      </c>
      <c r="U16" s="383">
        <f>LOOKUP(T16,'Prijzentabel €'!A:A,'Prijzentabel €'!B:B)</f>
        <v>0</v>
      </c>
      <c r="V16" s="383">
        <f>LOOKUP((T16+1),'Prijzentabel €'!A:A,'Prijzentabel €'!B:B)</f>
        <v>0</v>
      </c>
      <c r="W16" s="383">
        <f t="shared" si="40"/>
        <v>0</v>
      </c>
      <c r="X16" s="283"/>
      <c r="Y16" s="382"/>
      <c r="Z16" s="267">
        <f t="shared" si="41"/>
        <v>0</v>
      </c>
      <c r="AA16" s="357">
        <f t="shared" si="42"/>
        <v>0</v>
      </c>
      <c r="AB16" s="284"/>
      <c r="AC16" s="285">
        <f>IF(AB16="G",'Prijsnormen €'!$B$15,IF(AB16="C",'Prijsnormen €'!$B$16,IF(AB16=1,'Prijsnormen €'!$B$15,0)))</f>
        <v>0</v>
      </c>
      <c r="AD16" s="286">
        <f>IF(A16=0,0,LOOKUP(A16,SoortWerk,Codetabel!H$2:H$6))</f>
        <v>1</v>
      </c>
      <c r="AE16" s="287">
        <f>LOOKUP($Z$46,LijstGemeenten!C:C,LijstGemeenten!E:E)</f>
        <v>0</v>
      </c>
      <c r="AF16" s="288"/>
      <c r="AG16" s="289"/>
      <c r="AH16" s="290">
        <f t="shared" si="7"/>
        <v>1</v>
      </c>
      <c r="AI16" s="25">
        <f t="shared" si="46"/>
        <v>1</v>
      </c>
      <c r="AJ16" s="25">
        <f t="shared" si="8"/>
        <v>1.149</v>
      </c>
      <c r="AK16" s="24">
        <f t="shared" si="9"/>
        <v>0</v>
      </c>
      <c r="AL16" s="291">
        <f t="shared" si="10"/>
        <v>0</v>
      </c>
      <c r="AM16" s="292">
        <f t="shared" si="11"/>
        <v>0</v>
      </c>
      <c r="AN16" s="293">
        <f t="shared" si="12"/>
        <v>0</v>
      </c>
      <c r="AO16" s="294">
        <f t="shared" si="13"/>
        <v>0</v>
      </c>
      <c r="AP16" s="292">
        <f t="shared" si="14"/>
        <v>0</v>
      </c>
      <c r="AQ16" s="293">
        <f t="shared" si="15"/>
        <v>0</v>
      </c>
      <c r="AR16" s="294">
        <f t="shared" si="16"/>
        <v>0</v>
      </c>
      <c r="AS16" s="295">
        <f t="shared" si="17"/>
        <v>0</v>
      </c>
      <c r="AT16" s="293">
        <f t="shared" si="18"/>
        <v>0</v>
      </c>
      <c r="AU16" s="294">
        <f t="shared" si="19"/>
        <v>0</v>
      </c>
      <c r="AV16" s="27">
        <f t="shared" si="20"/>
        <v>0</v>
      </c>
      <c r="AW16" s="28">
        <f t="shared" si="21"/>
        <v>0</v>
      </c>
      <c r="AX16" s="296">
        <f t="shared" si="22"/>
        <v>0</v>
      </c>
      <c r="AY16" s="27">
        <f t="shared" si="23"/>
        <v>0</v>
      </c>
      <c r="AZ16" s="28">
        <f t="shared" si="24"/>
        <v>0</v>
      </c>
      <c r="BA16" s="29">
        <f t="shared" si="25"/>
        <v>0</v>
      </c>
      <c r="BB16" s="392">
        <f t="shared" si="26"/>
        <v>0</v>
      </c>
      <c r="BC16" s="75">
        <f t="shared" si="27"/>
        <v>0</v>
      </c>
      <c r="BD16" s="76">
        <f t="shared" si="28"/>
        <v>0</v>
      </c>
      <c r="BE16" s="75">
        <f t="shared" si="29"/>
        <v>0</v>
      </c>
      <c r="BF16" s="75">
        <f t="shared" si="30"/>
        <v>0</v>
      </c>
      <c r="BG16" s="76">
        <f t="shared" si="31"/>
        <v>0</v>
      </c>
      <c r="BH16" s="30">
        <f t="shared" si="32"/>
        <v>0</v>
      </c>
    </row>
    <row r="17" spans="1:60" ht="20.100000000000001" customHeight="1" thickBot="1" x14ac:dyDescent="0.35">
      <c r="A17" s="439" t="s">
        <v>55</v>
      </c>
      <c r="B17" s="372" t="s">
        <v>628</v>
      </c>
      <c r="C17" s="440"/>
      <c r="D17" s="441"/>
      <c r="E17" s="441"/>
      <c r="F17" s="441"/>
      <c r="G17" s="442"/>
      <c r="H17" s="443"/>
      <c r="I17" s="444"/>
      <c r="J17" s="445"/>
      <c r="K17" s="446">
        <f t="shared" si="0"/>
        <v>0</v>
      </c>
      <c r="L17" s="447">
        <f t="shared" si="1"/>
        <v>0</v>
      </c>
      <c r="M17" s="447">
        <f t="shared" si="45"/>
        <v>0</v>
      </c>
      <c r="N17" s="448">
        <f>IF(F17=0,0,(VLOOKUP(E17,'Basis-maxima'!$A$1:'Basis-maxima'!$R$11,HLOOKUP(F17,Code!$A$1:'Code'!$R$2,2))))</f>
        <v>0</v>
      </c>
      <c r="O17" s="448">
        <f t="shared" si="2"/>
        <v>0</v>
      </c>
      <c r="P17" s="449">
        <f t="shared" si="3"/>
        <v>0</v>
      </c>
      <c r="Q17" s="450">
        <f t="shared" si="36"/>
        <v>0</v>
      </c>
      <c r="R17" s="451">
        <f t="shared" si="37"/>
        <v>0</v>
      </c>
      <c r="S17" s="448">
        <f t="shared" si="38"/>
        <v>0</v>
      </c>
      <c r="T17" s="452">
        <f t="shared" si="39"/>
        <v>0</v>
      </c>
      <c r="U17" s="453">
        <f>LOOKUP(T17,'Prijzentabel €'!A:A,'Prijzentabel €'!B:B)</f>
        <v>0</v>
      </c>
      <c r="V17" s="453">
        <f>LOOKUP((T17+1),'Prijzentabel €'!A:A,'Prijzentabel €'!B:B)</f>
        <v>0</v>
      </c>
      <c r="W17" s="453">
        <f t="shared" si="40"/>
        <v>0</v>
      </c>
      <c r="X17" s="454"/>
      <c r="Y17" s="455"/>
      <c r="Z17" s="456">
        <f t="shared" si="41"/>
        <v>0</v>
      </c>
      <c r="AA17" s="457">
        <f t="shared" si="42"/>
        <v>0</v>
      </c>
      <c r="AB17" s="458"/>
      <c r="AC17" s="459">
        <f>IF(AB17="G",'Prijsnormen €'!$B$15,IF(AB17="C",'Prijsnormen €'!$B$16,IF(AB17=1,'Prijsnormen €'!$B$15,0)))</f>
        <v>0</v>
      </c>
      <c r="AD17" s="460">
        <f>IF(A17=0,0,LOOKUP(A17,SoortWerk,Codetabel!H$2:H$6))</f>
        <v>1</v>
      </c>
      <c r="AE17" s="461">
        <f>LOOKUP($Z$46,LijstGemeenten!C:C,LijstGemeenten!E:E)</f>
        <v>0</v>
      </c>
      <c r="AF17" s="462"/>
      <c r="AG17" s="463"/>
      <c r="AH17" s="464">
        <f t="shared" si="7"/>
        <v>1</v>
      </c>
      <c r="AI17" s="465">
        <f t="shared" si="46"/>
        <v>1</v>
      </c>
      <c r="AJ17" s="465">
        <f t="shared" si="8"/>
        <v>1.149</v>
      </c>
      <c r="AK17" s="466">
        <f t="shared" si="9"/>
        <v>0</v>
      </c>
      <c r="AL17" s="467">
        <f t="shared" si="10"/>
        <v>0</v>
      </c>
      <c r="AM17" s="468">
        <f t="shared" si="11"/>
        <v>0</v>
      </c>
      <c r="AN17" s="469">
        <f t="shared" si="12"/>
        <v>0</v>
      </c>
      <c r="AO17" s="470">
        <f t="shared" si="13"/>
        <v>0</v>
      </c>
      <c r="AP17" s="468">
        <f t="shared" si="14"/>
        <v>0</v>
      </c>
      <c r="AQ17" s="469">
        <f t="shared" si="15"/>
        <v>0</v>
      </c>
      <c r="AR17" s="470">
        <f t="shared" si="16"/>
        <v>0</v>
      </c>
      <c r="AS17" s="471">
        <f t="shared" si="17"/>
        <v>0</v>
      </c>
      <c r="AT17" s="469">
        <f t="shared" si="18"/>
        <v>0</v>
      </c>
      <c r="AU17" s="470">
        <f t="shared" si="19"/>
        <v>0</v>
      </c>
      <c r="AV17" s="472">
        <f t="shared" si="20"/>
        <v>0</v>
      </c>
      <c r="AW17" s="473">
        <f t="shared" si="21"/>
        <v>0</v>
      </c>
      <c r="AX17" s="474">
        <f t="shared" si="22"/>
        <v>0</v>
      </c>
      <c r="AY17" s="472">
        <f t="shared" si="23"/>
        <v>0</v>
      </c>
      <c r="AZ17" s="473">
        <f t="shared" si="24"/>
        <v>0</v>
      </c>
      <c r="BA17" s="475">
        <f t="shared" si="25"/>
        <v>0</v>
      </c>
      <c r="BB17" s="476">
        <f t="shared" si="26"/>
        <v>0</v>
      </c>
      <c r="BC17" s="477">
        <f t="shared" si="27"/>
        <v>0</v>
      </c>
      <c r="BD17" s="478">
        <f t="shared" si="28"/>
        <v>0</v>
      </c>
      <c r="BE17" s="477">
        <f t="shared" si="29"/>
        <v>0</v>
      </c>
      <c r="BF17" s="477">
        <f t="shared" si="30"/>
        <v>0</v>
      </c>
      <c r="BG17" s="478">
        <f t="shared" si="31"/>
        <v>0</v>
      </c>
      <c r="BH17" s="30">
        <f t="shared" si="32"/>
        <v>0</v>
      </c>
    </row>
    <row r="18" spans="1:60" ht="17.25" customHeight="1" thickBot="1" x14ac:dyDescent="0.35">
      <c r="A18" s="276"/>
      <c r="B18" s="297"/>
      <c r="C18" s="73" t="s">
        <v>56</v>
      </c>
      <c r="D18" s="73"/>
      <c r="E18" s="73"/>
      <c r="F18" s="73"/>
      <c r="G18" s="298" t="s">
        <v>57</v>
      </c>
      <c r="H18" s="77"/>
      <c r="I18" s="298"/>
      <c r="J18" s="298" t="s">
        <v>58</v>
      </c>
      <c r="K18" s="298"/>
      <c r="L18" s="298"/>
      <c r="M18" s="298"/>
      <c r="N18" s="298"/>
      <c r="O18" s="298"/>
      <c r="P18" s="298"/>
      <c r="Q18" s="297"/>
      <c r="R18" s="297"/>
      <c r="S18" s="298"/>
      <c r="T18" s="297"/>
      <c r="U18" s="297"/>
      <c r="V18" s="297"/>
      <c r="W18" s="297"/>
      <c r="X18" s="297"/>
      <c r="Y18" s="297"/>
      <c r="Z18" s="297"/>
      <c r="AA18" s="297"/>
      <c r="AB18" s="297"/>
      <c r="AC18" s="297"/>
      <c r="AD18" s="297"/>
      <c r="AE18" s="297"/>
      <c r="AF18" s="297"/>
      <c r="AG18" s="297"/>
      <c r="AH18" s="297"/>
      <c r="AI18" s="297"/>
      <c r="AJ18" s="297"/>
      <c r="AK18" s="297"/>
      <c r="AL18" s="299"/>
      <c r="AM18" s="300"/>
      <c r="AN18" s="298"/>
      <c r="AO18" s="301"/>
      <c r="AP18" s="300"/>
      <c r="AQ18" s="298"/>
      <c r="AR18" s="301"/>
      <c r="AS18" s="298"/>
      <c r="AT18" s="298"/>
      <c r="AU18" s="298"/>
      <c r="AV18" s="298"/>
      <c r="AW18" s="298"/>
      <c r="AX18" s="298"/>
      <c r="AY18" s="300"/>
      <c r="AZ18" s="298"/>
      <c r="BA18" s="301"/>
      <c r="BB18" s="298"/>
      <c r="BC18" s="298"/>
      <c r="BD18" s="301"/>
      <c r="BE18" s="298"/>
      <c r="BF18" s="298"/>
      <c r="BG18" s="301"/>
      <c r="BH18" s="302"/>
    </row>
    <row r="19" spans="1:60" ht="16.5" customHeight="1" x14ac:dyDescent="0.3">
      <c r="A19" s="23" t="s">
        <v>55</v>
      </c>
      <c r="B19" s="31" t="s">
        <v>628</v>
      </c>
      <c r="C19" s="50" t="s">
        <v>59</v>
      </c>
      <c r="D19" s="577" t="s">
        <v>60</v>
      </c>
      <c r="E19" s="577"/>
      <c r="F19" s="578"/>
      <c r="G19" s="33">
        <v>0</v>
      </c>
      <c r="H19" s="34"/>
      <c r="I19" s="53"/>
      <c r="J19" s="35"/>
      <c r="K19" s="52"/>
      <c r="L19" s="52"/>
      <c r="M19" s="52"/>
      <c r="N19" s="52"/>
      <c r="O19" s="52"/>
      <c r="P19" s="52"/>
      <c r="Q19" s="37"/>
      <c r="R19" s="53"/>
      <c r="S19" s="53"/>
      <c r="T19" s="53"/>
      <c r="U19" s="53"/>
      <c r="V19" s="53"/>
      <c r="W19" s="53"/>
      <c r="X19" s="363" t="s">
        <v>61</v>
      </c>
      <c r="Y19" s="364">
        <v>3</v>
      </c>
      <c r="Z19" s="361"/>
      <c r="AA19" s="480">
        <f>LOOKUP(D19,Codetabel!O:O,Codetabel!P:P)+Y19*'Prijsnormen €'!$C$19</f>
        <v>43750</v>
      </c>
      <c r="AB19" s="674"/>
      <c r="AC19" s="675"/>
      <c r="AD19" s="40">
        <f ca="1">IF(A19=0,0,LOOKUP(A19,SoortWerk,Codetabel!H$2:H$7))</f>
        <v>1</v>
      </c>
      <c r="AE19" s="41">
        <f>IF($D19="afbraak-raming/offerte",0,IF($D19="diversen-raming/offerte",0,LOOKUP($Z$46,LijstGemeenten!C:C,LijstGemeenten!E:E)))</f>
        <v>0</v>
      </c>
      <c r="AF19" s="42"/>
      <c r="AG19" s="43"/>
      <c r="AH19" s="39"/>
      <c r="AI19" s="44">
        <f t="shared" ref="AI19:AI36" ca="1" si="47">AD19*(1+AE19+AF19)</f>
        <v>1</v>
      </c>
      <c r="AJ19" s="25">
        <f t="shared" ref="AJ19:AJ36" si="48">$AJ$38</f>
        <v>1.149</v>
      </c>
      <c r="AK19" s="24">
        <f t="shared" ref="AK19:AK36" ca="1" si="49">IF(J19=0,AA19*AI19*AJ19,J19*AA19*AI19*AJ19)</f>
        <v>50268.75</v>
      </c>
      <c r="AL19" s="26"/>
      <c r="AM19" s="45"/>
      <c r="AN19" s="46"/>
      <c r="AO19" s="47"/>
      <c r="AP19" s="45"/>
      <c r="AQ19" s="46"/>
      <c r="AR19" s="47"/>
      <c r="AS19" s="46"/>
      <c r="AT19" s="46"/>
      <c r="AU19" s="46"/>
      <c r="AV19" s="385">
        <f ca="1">IF($B19="H",LOOKUP($D19,Codetabel!$O:$O,Codetabel!$Q:$Q)*$BH19,0)</f>
        <v>0</v>
      </c>
      <c r="AW19" s="386">
        <f>IF($B19="K",LOOKUP($D19,Codetabel!$O:$O,Codetabel!$Q:$Q)*$BH19,0)</f>
        <v>0</v>
      </c>
      <c r="AX19" s="387">
        <f>IF($B19="A",LOOKUP($D19,Codetabel!$O:$O,Codetabel!$Q:$Q)*$BH19,0)</f>
        <v>0</v>
      </c>
      <c r="AY19" s="27">
        <f t="shared" ref="AY19:AY36" ca="1" si="50">IF($B19="H",$BH19,0)</f>
        <v>0</v>
      </c>
      <c r="AZ19" s="28">
        <f t="shared" ref="AZ19:AZ36" si="51">IF($B19="K",$BH19,0)</f>
        <v>0</v>
      </c>
      <c r="BA19" s="29">
        <f t="shared" ref="BA19:BA36" si="52">IF($B19="A",$BH19,0)</f>
        <v>0</v>
      </c>
      <c r="BB19" s="45"/>
      <c r="BC19" s="46"/>
      <c r="BD19" s="47"/>
      <c r="BE19" s="48"/>
      <c r="BF19" s="48"/>
      <c r="BG19" s="49"/>
      <c r="BH19" s="30">
        <f t="shared" ref="BH19:BH26" ca="1" si="53">AK19*G19</f>
        <v>0</v>
      </c>
    </row>
    <row r="20" spans="1:60" ht="16.5" customHeight="1" x14ac:dyDescent="0.3">
      <c r="A20" s="23" t="s">
        <v>55</v>
      </c>
      <c r="B20" s="31" t="s">
        <v>628</v>
      </c>
      <c r="C20" s="50" t="s">
        <v>62</v>
      </c>
      <c r="D20" s="577" t="s">
        <v>63</v>
      </c>
      <c r="E20" s="577"/>
      <c r="F20" s="578"/>
      <c r="G20" s="33">
        <v>0</v>
      </c>
      <c r="H20" s="34"/>
      <c r="I20" s="53"/>
      <c r="J20" s="35"/>
      <c r="K20" s="52"/>
      <c r="L20" s="52"/>
      <c r="M20" s="52"/>
      <c r="N20" s="52"/>
      <c r="O20" s="52"/>
      <c r="P20" s="52"/>
      <c r="Q20" s="37"/>
      <c r="R20" s="53"/>
      <c r="S20" s="53"/>
      <c r="T20" s="53"/>
      <c r="U20" s="53"/>
      <c r="V20" s="53"/>
      <c r="W20" s="53"/>
      <c r="X20" s="38" t="s">
        <v>64</v>
      </c>
      <c r="Y20" s="365">
        <v>0</v>
      </c>
      <c r="Z20" s="361"/>
      <c r="AA20" s="481">
        <f>IF(Y20*'Prijsnormen €'!$B$30&gt;'Prijsnormen €'!$B$31,'Prijsnormen €'!$B$31,Y20*'Prijsnormen €'!$B$30)</f>
        <v>0</v>
      </c>
      <c r="AB20" s="676"/>
      <c r="AC20" s="677"/>
      <c r="AD20" s="40">
        <f ca="1">IF(A20=0,0,LOOKUP(A20,SoortWerk,Codetabel!H$2:H$7))</f>
        <v>1</v>
      </c>
      <c r="AE20" s="41">
        <f>IF($D20="afbraak-raming/offerte",0,IF($D20="diversen-raming/offerte",0,LOOKUP($Z$46,LijstGemeenten!C:C,LijstGemeenten!E:E)))</f>
        <v>0</v>
      </c>
      <c r="AF20" s="42"/>
      <c r="AG20" s="43"/>
      <c r="AH20" s="39"/>
      <c r="AI20" s="44">
        <f t="shared" ca="1" si="47"/>
        <v>1</v>
      </c>
      <c r="AJ20" s="25">
        <f t="shared" si="48"/>
        <v>1.149</v>
      </c>
      <c r="AK20" s="24">
        <f t="shared" ca="1" si="49"/>
        <v>0</v>
      </c>
      <c r="AL20" s="26"/>
      <c r="AM20" s="45"/>
      <c r="AN20" s="46"/>
      <c r="AO20" s="47"/>
      <c r="AP20" s="45"/>
      <c r="AQ20" s="46"/>
      <c r="AR20" s="47"/>
      <c r="AS20" s="46"/>
      <c r="AT20" s="46"/>
      <c r="AU20" s="46"/>
      <c r="AV20" s="388">
        <f ca="1">IF($B20="H",LOOKUP($D20,Codetabel!$O:$O,Codetabel!$Q:$Q)*$BH20,0)</f>
        <v>0</v>
      </c>
      <c r="AW20" s="389">
        <f>IF($B20="K",LOOKUP($D20,Codetabel!$O:$O,Codetabel!$Q:$Q)*$BH20,0)</f>
        <v>0</v>
      </c>
      <c r="AX20" s="390">
        <f>IF($B20="A",LOOKUP($D20,Codetabel!$O:$O,Codetabel!$Q:$Q)*$BH20,0)</f>
        <v>0</v>
      </c>
      <c r="AY20" s="27">
        <f t="shared" ca="1" si="50"/>
        <v>0</v>
      </c>
      <c r="AZ20" s="28">
        <f t="shared" si="51"/>
        <v>0</v>
      </c>
      <c r="BA20" s="29">
        <f t="shared" si="52"/>
        <v>0</v>
      </c>
      <c r="BB20" s="45"/>
      <c r="BC20" s="46"/>
      <c r="BD20" s="47"/>
      <c r="BE20" s="46"/>
      <c r="BF20" s="46"/>
      <c r="BG20" s="47"/>
      <c r="BH20" s="30">
        <f t="shared" ca="1" si="53"/>
        <v>0</v>
      </c>
    </row>
    <row r="21" spans="1:60" ht="16.5" customHeight="1" x14ac:dyDescent="0.3">
      <c r="A21" s="23" t="s">
        <v>55</v>
      </c>
      <c r="B21" s="31" t="s">
        <v>628</v>
      </c>
      <c r="C21" s="50" t="s">
        <v>62</v>
      </c>
      <c r="D21" s="577" t="s">
        <v>65</v>
      </c>
      <c r="E21" s="577"/>
      <c r="F21" s="578"/>
      <c r="G21" s="33">
        <v>0</v>
      </c>
      <c r="H21" s="34"/>
      <c r="I21" s="53"/>
      <c r="J21" s="35"/>
      <c r="K21" s="52"/>
      <c r="L21" s="52"/>
      <c r="M21" s="52"/>
      <c r="N21" s="52"/>
      <c r="O21" s="52"/>
      <c r="P21" s="52"/>
      <c r="Q21" s="37"/>
      <c r="R21" s="53"/>
      <c r="S21" s="53"/>
      <c r="T21" s="53"/>
      <c r="U21" s="53"/>
      <c r="V21" s="53"/>
      <c r="W21" s="53"/>
      <c r="X21" s="38" t="s">
        <v>64</v>
      </c>
      <c r="Y21" s="365">
        <v>0</v>
      </c>
      <c r="Z21" s="361"/>
      <c r="AA21" s="481">
        <f>IF(Y21*'Prijsnormen €'!$B$30&gt;'Prijsnormen €'!$B$32,'Prijsnormen €'!$B$32,Y21*'Prijsnormen €'!$B$30)</f>
        <v>0</v>
      </c>
      <c r="AB21" s="676"/>
      <c r="AC21" s="677"/>
      <c r="AD21" s="40">
        <f ca="1">IF(A21=0,0,LOOKUP(A21,SoortWerk,Codetabel!H$2:H$7))</f>
        <v>1</v>
      </c>
      <c r="AE21" s="41">
        <f>IF($D21="afbraak-raming/offerte",0,IF($D21="diversen-raming/offerte",0,LOOKUP($Z$46,LijstGemeenten!C:C,LijstGemeenten!E:E)))</f>
        <v>0</v>
      </c>
      <c r="AF21" s="42"/>
      <c r="AG21" s="43"/>
      <c r="AH21" s="39"/>
      <c r="AI21" s="44">
        <f ca="1">AD21*(1+AE21+AF21)</f>
        <v>1</v>
      </c>
      <c r="AJ21" s="25">
        <f t="shared" si="48"/>
        <v>1.149</v>
      </c>
      <c r="AK21" s="24">
        <f t="shared" ca="1" si="49"/>
        <v>0</v>
      </c>
      <c r="AL21" s="26"/>
      <c r="AM21" s="45"/>
      <c r="AN21" s="46"/>
      <c r="AO21" s="47"/>
      <c r="AP21" s="45"/>
      <c r="AQ21" s="46"/>
      <c r="AR21" s="47"/>
      <c r="AS21" s="46"/>
      <c r="AT21" s="46"/>
      <c r="AU21" s="46"/>
      <c r="AV21" s="388">
        <f ca="1">IF($B21="H",LOOKUP($D21,Codetabel!$O:$O,Codetabel!$Q:$Q)*$BH21,0)</f>
        <v>0</v>
      </c>
      <c r="AW21" s="389">
        <f>IF($B21="K",LOOKUP($D21,Codetabel!$O:$O,Codetabel!$Q:$Q)*$BH21,0)</f>
        <v>0</v>
      </c>
      <c r="AX21" s="390">
        <f>IF($B21="A",LOOKUP($D21,Codetabel!$O:$O,Codetabel!$Q:$Q)*$BH21,0)</f>
        <v>0</v>
      </c>
      <c r="AY21" s="27">
        <f t="shared" ca="1" si="50"/>
        <v>0</v>
      </c>
      <c r="AZ21" s="28">
        <f t="shared" si="51"/>
        <v>0</v>
      </c>
      <c r="BA21" s="29">
        <f t="shared" si="52"/>
        <v>0</v>
      </c>
      <c r="BB21" s="45"/>
      <c r="BC21" s="46"/>
      <c r="BD21" s="47"/>
      <c r="BE21" s="46"/>
      <c r="BF21" s="46"/>
      <c r="BG21" s="47"/>
      <c r="BH21" s="30">
        <f t="shared" ca="1" si="53"/>
        <v>0</v>
      </c>
    </row>
    <row r="22" spans="1:60" ht="16.5" customHeight="1" x14ac:dyDescent="0.3">
      <c r="A22" s="23" t="s">
        <v>55</v>
      </c>
      <c r="B22" s="31" t="s">
        <v>628</v>
      </c>
      <c r="C22" s="50" t="s">
        <v>66</v>
      </c>
      <c r="D22" s="577" t="s">
        <v>67</v>
      </c>
      <c r="E22" s="577"/>
      <c r="F22" s="578"/>
      <c r="G22" s="33">
        <v>0</v>
      </c>
      <c r="H22" s="34"/>
      <c r="I22" s="53"/>
      <c r="J22" s="35"/>
      <c r="K22" s="52"/>
      <c r="L22" s="52"/>
      <c r="M22" s="52"/>
      <c r="N22" s="52"/>
      <c r="O22" s="52"/>
      <c r="P22" s="52"/>
      <c r="Q22" s="37"/>
      <c r="R22" s="53"/>
      <c r="S22" s="53"/>
      <c r="T22" s="53"/>
      <c r="U22" s="53"/>
      <c r="V22" s="53"/>
      <c r="W22" s="53"/>
      <c r="X22" s="38"/>
      <c r="Y22" s="365"/>
      <c r="Z22" s="361"/>
      <c r="AA22" s="481">
        <f>LOOKUP(D22,Codetabel!O:O,Codetabel!P:P)</f>
        <v>3700</v>
      </c>
      <c r="AB22" s="676"/>
      <c r="AC22" s="677"/>
      <c r="AD22" s="40">
        <f ca="1">IF(A22=0,0,LOOKUP(A22,SoortWerk,Codetabel!H$2:H$7))</f>
        <v>1</v>
      </c>
      <c r="AE22" s="41">
        <f>IF($D22="afbraak-raming/offerte",0,IF($D22="diversen-raming/offerte",0,LOOKUP($Z$46,LijstGemeenten!C:C,LijstGemeenten!E:E)))</f>
        <v>0</v>
      </c>
      <c r="AF22" s="42"/>
      <c r="AG22" s="43"/>
      <c r="AH22" s="39"/>
      <c r="AI22" s="44">
        <f t="shared" ca="1" si="47"/>
        <v>1</v>
      </c>
      <c r="AJ22" s="25">
        <f t="shared" si="48"/>
        <v>1.149</v>
      </c>
      <c r="AK22" s="24">
        <f t="shared" ca="1" si="49"/>
        <v>4251.3</v>
      </c>
      <c r="AL22" s="26"/>
      <c r="AM22" s="45"/>
      <c r="AN22" s="46"/>
      <c r="AO22" s="47"/>
      <c r="AP22" s="45"/>
      <c r="AQ22" s="46"/>
      <c r="AR22" s="47"/>
      <c r="AS22" s="46"/>
      <c r="AT22" s="46"/>
      <c r="AU22" s="46"/>
      <c r="AV22" s="388">
        <f ca="1">IF($B22="H",LOOKUP($D22,Codetabel!$O:$O,Codetabel!$Q:$Q)*$BH22,0)</f>
        <v>0</v>
      </c>
      <c r="AW22" s="389">
        <f>IF($B22="K",LOOKUP($D22,Codetabel!$O:$O,Codetabel!$Q:$Q)*$BH22,0)</f>
        <v>0</v>
      </c>
      <c r="AX22" s="390">
        <f>IF($B22="A",LOOKUP($D22,Codetabel!$O:$O,Codetabel!$Q:$Q)*$BH22,0)</f>
        <v>0</v>
      </c>
      <c r="AY22" s="27">
        <f t="shared" ca="1" si="50"/>
        <v>0</v>
      </c>
      <c r="AZ22" s="28">
        <f t="shared" si="51"/>
        <v>0</v>
      </c>
      <c r="BA22" s="29">
        <f t="shared" si="52"/>
        <v>0</v>
      </c>
      <c r="BB22" s="393"/>
      <c r="BC22" s="48"/>
      <c r="BD22" s="49"/>
      <c r="BE22" s="46"/>
      <c r="BF22" s="46"/>
      <c r="BG22" s="47"/>
      <c r="BH22" s="30">
        <f t="shared" ca="1" si="53"/>
        <v>0</v>
      </c>
    </row>
    <row r="23" spans="1:60" ht="16.5" customHeight="1" x14ac:dyDescent="0.3">
      <c r="A23" s="23" t="s">
        <v>55</v>
      </c>
      <c r="B23" s="31" t="s">
        <v>628</v>
      </c>
      <c r="C23" s="50" t="s">
        <v>68</v>
      </c>
      <c r="D23" s="577" t="s">
        <v>69</v>
      </c>
      <c r="E23" s="577"/>
      <c r="F23" s="578"/>
      <c r="G23" s="33">
        <v>0</v>
      </c>
      <c r="H23" s="34"/>
      <c r="I23" s="53"/>
      <c r="J23" s="35"/>
      <c r="K23" s="52"/>
      <c r="L23" s="52"/>
      <c r="M23" s="52"/>
      <c r="N23" s="52"/>
      <c r="O23" s="52"/>
      <c r="P23" s="52"/>
      <c r="Q23" s="37"/>
      <c r="R23" s="53"/>
      <c r="S23" s="53"/>
      <c r="T23" s="53"/>
      <c r="U23" s="53"/>
      <c r="V23" s="53"/>
      <c r="W23" s="53"/>
      <c r="X23" s="38"/>
      <c r="Y23" s="365"/>
      <c r="Z23" s="361"/>
      <c r="AA23" s="481">
        <f>LOOKUP(D23,Codetabel!O:O,Codetabel!P:P)</f>
        <v>4900</v>
      </c>
      <c r="AB23" s="676"/>
      <c r="AC23" s="677"/>
      <c r="AD23" s="40">
        <f ca="1">IF(A23=0,0,LOOKUP(A23,SoortWerk,Codetabel!H$2:H$7))</f>
        <v>1</v>
      </c>
      <c r="AE23" s="41">
        <f>IF($D23="afbraak-raming/offerte",0,IF($D23="diversen-raming/offerte",0,LOOKUP($Z$46,LijstGemeenten!C:C,LijstGemeenten!E:E)))</f>
        <v>0</v>
      </c>
      <c r="AF23" s="42"/>
      <c r="AG23" s="43"/>
      <c r="AH23" s="39"/>
      <c r="AI23" s="44">
        <f t="shared" ref="AI23" ca="1" si="54">AD23*(1+AE23+AF23)</f>
        <v>1</v>
      </c>
      <c r="AJ23" s="25">
        <f t="shared" si="48"/>
        <v>1.149</v>
      </c>
      <c r="AK23" s="24">
        <f t="shared" ca="1" si="49"/>
        <v>5630.1</v>
      </c>
      <c r="AL23" s="26"/>
      <c r="AM23" s="45"/>
      <c r="AN23" s="46"/>
      <c r="AO23" s="47"/>
      <c r="AP23" s="45"/>
      <c r="AQ23" s="46"/>
      <c r="AR23" s="47"/>
      <c r="AS23" s="46"/>
      <c r="AT23" s="46"/>
      <c r="AU23" s="46"/>
      <c r="AV23" s="388">
        <f ca="1">IF($B23="H",LOOKUP($D23,Codetabel!$O:$O,Codetabel!$Q:$Q)*$BH23,0)</f>
        <v>0</v>
      </c>
      <c r="AW23" s="389">
        <f>IF($B23="K",LOOKUP($D23,Codetabel!$O:$O,Codetabel!$Q:$Q)*$BH23,0)</f>
        <v>0</v>
      </c>
      <c r="AX23" s="390">
        <f>IF($B23="A",LOOKUP($D23,Codetabel!$O:$O,Codetabel!$Q:$Q)*$BH23,0)</f>
        <v>0</v>
      </c>
      <c r="AY23" s="27">
        <f t="shared" ca="1" si="50"/>
        <v>0</v>
      </c>
      <c r="AZ23" s="28">
        <f t="shared" si="51"/>
        <v>0</v>
      </c>
      <c r="BA23" s="29">
        <f t="shared" si="52"/>
        <v>0</v>
      </c>
      <c r="BB23" s="45"/>
      <c r="BC23" s="46"/>
      <c r="BD23" s="47"/>
      <c r="BE23" s="46"/>
      <c r="BF23" s="46"/>
      <c r="BG23" s="47"/>
      <c r="BH23" s="30">
        <f t="shared" ca="1" si="53"/>
        <v>0</v>
      </c>
    </row>
    <row r="24" spans="1:60" ht="16.5" customHeight="1" x14ac:dyDescent="0.3">
      <c r="A24" s="23" t="s">
        <v>55</v>
      </c>
      <c r="B24" s="31" t="s">
        <v>628</v>
      </c>
      <c r="C24" s="50" t="s">
        <v>70</v>
      </c>
      <c r="D24" s="577" t="s">
        <v>71</v>
      </c>
      <c r="E24" s="577"/>
      <c r="F24" s="578"/>
      <c r="G24" s="33">
        <v>0</v>
      </c>
      <c r="H24" s="34"/>
      <c r="I24" s="53"/>
      <c r="J24" s="35"/>
      <c r="K24" s="52"/>
      <c r="L24" s="52"/>
      <c r="M24" s="52"/>
      <c r="N24" s="52"/>
      <c r="O24" s="52"/>
      <c r="P24" s="52"/>
      <c r="Q24" s="37"/>
      <c r="R24" s="53"/>
      <c r="S24" s="53"/>
      <c r="T24" s="53"/>
      <c r="U24" s="53"/>
      <c r="V24" s="53"/>
      <c r="W24" s="53"/>
      <c r="X24" s="38"/>
      <c r="Y24" s="365"/>
      <c r="Z24" s="361"/>
      <c r="AA24" s="481">
        <f>LOOKUP(D24,Codetabel!O:O,Codetabel!P:P)</f>
        <v>3200</v>
      </c>
      <c r="AB24" s="676"/>
      <c r="AC24" s="677"/>
      <c r="AD24" s="40">
        <f ca="1">IF(A24=0,0,LOOKUP(A24,SoortWerk,Codetabel!H$2:H$7))</f>
        <v>1</v>
      </c>
      <c r="AE24" s="41">
        <f>IF($D24="afbraak-raming/offerte",0,IF($D24="diversen-raming/offerte",0,LOOKUP($Z$46,LijstGemeenten!C:C,LijstGemeenten!E:E)))</f>
        <v>0</v>
      </c>
      <c r="AF24" s="42"/>
      <c r="AG24" s="43"/>
      <c r="AH24" s="39"/>
      <c r="AI24" s="44">
        <f t="shared" ca="1" si="47"/>
        <v>1</v>
      </c>
      <c r="AJ24" s="25">
        <f t="shared" si="48"/>
        <v>1.149</v>
      </c>
      <c r="AK24" s="24">
        <f t="shared" ca="1" si="49"/>
        <v>3676.8</v>
      </c>
      <c r="AL24" s="26"/>
      <c r="AM24" s="45"/>
      <c r="AN24" s="46"/>
      <c r="AO24" s="47"/>
      <c r="AP24" s="45"/>
      <c r="AQ24" s="46"/>
      <c r="AR24" s="47"/>
      <c r="AS24" s="46"/>
      <c r="AT24" s="46"/>
      <c r="AU24" s="46"/>
      <c r="AV24" s="388">
        <f ca="1">IF($B24="H",LOOKUP($D24,Codetabel!$O:$O,Codetabel!$Q:$Q)*$BH24,0)</f>
        <v>0</v>
      </c>
      <c r="AW24" s="389">
        <f>IF($B24="K",LOOKUP($D24,Codetabel!$O:$O,Codetabel!$Q:$Q)*$BH24,0)</f>
        <v>0</v>
      </c>
      <c r="AX24" s="390">
        <f>IF($B24="A",LOOKUP($D24,Codetabel!$O:$O,Codetabel!$Q:$Q)*$BH24,0)</f>
        <v>0</v>
      </c>
      <c r="AY24" s="27">
        <f t="shared" ca="1" si="50"/>
        <v>0</v>
      </c>
      <c r="AZ24" s="28">
        <f t="shared" si="51"/>
        <v>0</v>
      </c>
      <c r="BA24" s="29">
        <f t="shared" si="52"/>
        <v>0</v>
      </c>
      <c r="BB24" s="45"/>
      <c r="BC24" s="46"/>
      <c r="BD24" s="47"/>
      <c r="BE24" s="46"/>
      <c r="BF24" s="46"/>
      <c r="BG24" s="47"/>
      <c r="BH24" s="30">
        <f t="shared" ca="1" si="53"/>
        <v>0</v>
      </c>
    </row>
    <row r="25" spans="1:60" ht="16.5" customHeight="1" x14ac:dyDescent="0.3">
      <c r="A25" s="23" t="s">
        <v>55</v>
      </c>
      <c r="B25" s="31" t="s">
        <v>628</v>
      </c>
      <c r="C25" s="50" t="s">
        <v>70</v>
      </c>
      <c r="D25" s="577" t="s">
        <v>72</v>
      </c>
      <c r="E25" s="577"/>
      <c r="F25" s="578"/>
      <c r="G25" s="33">
        <v>0</v>
      </c>
      <c r="H25" s="34"/>
      <c r="I25" s="53"/>
      <c r="J25" s="35"/>
      <c r="K25" s="52"/>
      <c r="L25" s="52"/>
      <c r="M25" s="52"/>
      <c r="N25" s="52"/>
      <c r="O25" s="52"/>
      <c r="P25" s="52"/>
      <c r="Q25" s="37"/>
      <c r="R25" s="53"/>
      <c r="S25" s="53"/>
      <c r="T25" s="53"/>
      <c r="U25" s="53"/>
      <c r="V25" s="53"/>
      <c r="W25" s="53"/>
      <c r="X25" s="38"/>
      <c r="Y25" s="365"/>
      <c r="Z25" s="361"/>
      <c r="AA25" s="481">
        <f>LOOKUP(D25,Codetabel!O:O,Codetabel!P:P)</f>
        <v>3200</v>
      </c>
      <c r="AB25" s="676"/>
      <c r="AC25" s="677"/>
      <c r="AD25" s="40">
        <f ca="1">IF(A25=0,0,LOOKUP(A25,SoortWerk,Codetabel!H$2:H$7))</f>
        <v>1</v>
      </c>
      <c r="AE25" s="41">
        <f>IF($D25="afbraak-raming/offerte",0,IF($D25="diversen-raming/offerte",0,LOOKUP($Z$46,LijstGemeenten!C:C,LijstGemeenten!E:E)))</f>
        <v>0</v>
      </c>
      <c r="AF25" s="42"/>
      <c r="AG25" s="43"/>
      <c r="AH25" s="39"/>
      <c r="AI25" s="44">
        <f t="shared" ref="AI25" ca="1" si="55">AD25*(1+AE25+AF25)</f>
        <v>1</v>
      </c>
      <c r="AJ25" s="25">
        <f t="shared" si="48"/>
        <v>1.149</v>
      </c>
      <c r="AK25" s="24">
        <f t="shared" ca="1" si="49"/>
        <v>3676.8</v>
      </c>
      <c r="AL25" s="26"/>
      <c r="AM25" s="45"/>
      <c r="AN25" s="46"/>
      <c r="AO25" s="47"/>
      <c r="AP25" s="45"/>
      <c r="AQ25" s="46"/>
      <c r="AR25" s="47"/>
      <c r="AS25" s="46"/>
      <c r="AT25" s="46"/>
      <c r="AU25" s="46"/>
      <c r="AV25" s="388">
        <f ca="1">IF($B25="H",LOOKUP($D25,Codetabel!$O:$O,Codetabel!$Q:$Q)*$BH25,0)</f>
        <v>0</v>
      </c>
      <c r="AW25" s="389">
        <f>IF($B25="K",LOOKUP($D25,Codetabel!$O:$O,Codetabel!$Q:$Q)*$BH25,0)</f>
        <v>0</v>
      </c>
      <c r="AX25" s="390">
        <f>IF($B25="A",LOOKUP($D25,Codetabel!$O:$O,Codetabel!$Q:$Q)*$BH25,0)</f>
        <v>0</v>
      </c>
      <c r="AY25" s="27">
        <f t="shared" ca="1" si="50"/>
        <v>0</v>
      </c>
      <c r="AZ25" s="28">
        <f t="shared" si="51"/>
        <v>0</v>
      </c>
      <c r="BA25" s="29">
        <f t="shared" si="52"/>
        <v>0</v>
      </c>
      <c r="BB25" s="45"/>
      <c r="BC25" s="46"/>
      <c r="BD25" s="47"/>
      <c r="BE25" s="46"/>
      <c r="BF25" s="46"/>
      <c r="BG25" s="47"/>
      <c r="BH25" s="30">
        <f t="shared" ca="1" si="53"/>
        <v>0</v>
      </c>
    </row>
    <row r="26" spans="1:60" ht="16.5" customHeight="1" x14ac:dyDescent="0.3">
      <c r="A26" s="23" t="s">
        <v>55</v>
      </c>
      <c r="B26" s="31" t="s">
        <v>628</v>
      </c>
      <c r="C26" s="32" t="s">
        <v>73</v>
      </c>
      <c r="D26" s="577" t="s">
        <v>74</v>
      </c>
      <c r="E26" s="577"/>
      <c r="F26" s="578"/>
      <c r="G26" s="33">
        <v>0</v>
      </c>
      <c r="H26" s="34"/>
      <c r="I26" s="53"/>
      <c r="J26" s="51">
        <v>0</v>
      </c>
      <c r="K26" s="36"/>
      <c r="L26" s="36"/>
      <c r="M26" s="36"/>
      <c r="N26" s="36"/>
      <c r="O26" s="36"/>
      <c r="P26" s="36"/>
      <c r="Q26" s="37"/>
      <c r="R26" s="53"/>
      <c r="S26" s="53"/>
      <c r="T26" s="53"/>
      <c r="U26" s="53"/>
      <c r="V26" s="53"/>
      <c r="W26" s="53"/>
      <c r="X26" s="38"/>
      <c r="Y26" s="366"/>
      <c r="Z26" s="361"/>
      <c r="AA26" s="481">
        <f>LOOKUP(D26,Codetabel!O:O,Codetabel!P:P)</f>
        <v>620</v>
      </c>
      <c r="AB26" s="676"/>
      <c r="AC26" s="677"/>
      <c r="AD26" s="40">
        <f ca="1">IF(A26=0,0,LOOKUP(A26,SoortWerk,Codetabel!H$2:H$7))</f>
        <v>1</v>
      </c>
      <c r="AE26" s="41">
        <f>IF($D26="afbraak-raming/offerte",0,IF($D26="diversen-raming/offerte",0,LOOKUP($Z$46,LijstGemeenten!C:C,LijstGemeenten!E:E)))</f>
        <v>0</v>
      </c>
      <c r="AF26" s="42"/>
      <c r="AG26" s="43"/>
      <c r="AH26" s="39"/>
      <c r="AI26" s="44">
        <f t="shared" ca="1" si="47"/>
        <v>1</v>
      </c>
      <c r="AJ26" s="25">
        <f t="shared" si="48"/>
        <v>1.149</v>
      </c>
      <c r="AK26" s="24">
        <f t="shared" ca="1" si="49"/>
        <v>712.38</v>
      </c>
      <c r="AL26" s="26"/>
      <c r="AM26" s="45"/>
      <c r="AN26" s="46"/>
      <c r="AO26" s="47"/>
      <c r="AP26" s="45"/>
      <c r="AQ26" s="46"/>
      <c r="AR26" s="47"/>
      <c r="AS26" s="46"/>
      <c r="AT26" s="46"/>
      <c r="AU26" s="46"/>
      <c r="AV26" s="388">
        <f ca="1">IF($B26="H",LOOKUP($D26,Codetabel!$O:$O,Codetabel!$Q:$Q)*$BH26,0)</f>
        <v>0</v>
      </c>
      <c r="AW26" s="389">
        <f>IF($B26="K",LOOKUP($D26,Codetabel!$O:$O,Codetabel!$Q:$Q)*$BH26,0)</f>
        <v>0</v>
      </c>
      <c r="AX26" s="390">
        <f>IF($B26="A",LOOKUP($D26,Codetabel!$O:$O,Codetabel!$Q:$Q)*$BH26,0)</f>
        <v>0</v>
      </c>
      <c r="AY26" s="27">
        <f t="shared" ca="1" si="50"/>
        <v>0</v>
      </c>
      <c r="AZ26" s="28">
        <f t="shared" si="51"/>
        <v>0</v>
      </c>
      <c r="BA26" s="29">
        <f t="shared" si="52"/>
        <v>0</v>
      </c>
      <c r="BB26" s="45"/>
      <c r="BC26" s="46"/>
      <c r="BD26" s="47"/>
      <c r="BE26" s="48"/>
      <c r="BF26" s="48"/>
      <c r="BG26" s="49"/>
      <c r="BH26" s="30">
        <f t="shared" ca="1" si="53"/>
        <v>0</v>
      </c>
    </row>
    <row r="27" spans="1:60" ht="16.5" customHeight="1" x14ac:dyDescent="0.3">
      <c r="A27" s="23" t="s">
        <v>55</v>
      </c>
      <c r="B27" s="31" t="s">
        <v>628</v>
      </c>
      <c r="C27" s="32" t="s">
        <v>75</v>
      </c>
      <c r="D27" s="577" t="s">
        <v>76</v>
      </c>
      <c r="E27" s="577"/>
      <c r="F27" s="578"/>
      <c r="G27" s="33">
        <v>0</v>
      </c>
      <c r="H27" s="34"/>
      <c r="I27" s="53"/>
      <c r="J27" s="35"/>
      <c r="K27" s="36"/>
      <c r="L27" s="36"/>
      <c r="M27" s="36"/>
      <c r="N27" s="36"/>
      <c r="O27" s="36"/>
      <c r="P27" s="36"/>
      <c r="Q27" s="37"/>
      <c r="R27" s="53"/>
      <c r="S27" s="53"/>
      <c r="T27" s="53"/>
      <c r="U27" s="53"/>
      <c r="V27" s="53"/>
      <c r="W27" s="53"/>
      <c r="X27" s="38" t="s">
        <v>77</v>
      </c>
      <c r="Y27" s="367">
        <v>0</v>
      </c>
      <c r="Z27" s="361"/>
      <c r="AA27" s="481">
        <f>G27*'Prijsnormen €'!$B$40+Y27*'Prijsnormen €'!$B$41</f>
        <v>0</v>
      </c>
      <c r="AB27" s="676"/>
      <c r="AC27" s="677"/>
      <c r="AD27" s="40">
        <f ca="1">IF(A27=0,0,LOOKUP(A27,SoortWerk,Codetabel!H$2:H$7))</f>
        <v>1</v>
      </c>
      <c r="AE27" s="41">
        <f>IF($D27="afbraak-raming/offerte",0,IF($D27="diversen-raming/offerte",0,LOOKUP($Z$46,LijstGemeenten!C:C,LijstGemeenten!E:E)))</f>
        <v>0</v>
      </c>
      <c r="AF27" s="42"/>
      <c r="AG27" s="43"/>
      <c r="AH27" s="39"/>
      <c r="AI27" s="44">
        <f t="shared" ca="1" si="47"/>
        <v>1</v>
      </c>
      <c r="AJ27" s="25">
        <f t="shared" si="48"/>
        <v>1.149</v>
      </c>
      <c r="AK27" s="24">
        <f t="shared" ca="1" si="49"/>
        <v>0</v>
      </c>
      <c r="AL27" s="26"/>
      <c r="AM27" s="45"/>
      <c r="AN27" s="46"/>
      <c r="AO27" s="47"/>
      <c r="AP27" s="45"/>
      <c r="AQ27" s="46"/>
      <c r="AR27" s="47"/>
      <c r="AS27" s="46"/>
      <c r="AT27" s="46"/>
      <c r="AU27" s="46"/>
      <c r="AV27" s="388">
        <f ca="1">IF($B27="H",LOOKUP($D27,Codetabel!$O:$O,Codetabel!$Q:$Q)*$BH27,0)</f>
        <v>0</v>
      </c>
      <c r="AW27" s="389">
        <f>IF($B27="K",LOOKUP($D27,Codetabel!$O:$O,Codetabel!$Q:$Q)*$BH27,0)</f>
        <v>0</v>
      </c>
      <c r="AX27" s="390">
        <f>IF($B27="A",LOOKUP($D27,Codetabel!$O:$O,Codetabel!$Q:$Q)*$BH27,0)</f>
        <v>0</v>
      </c>
      <c r="AY27" s="27">
        <f t="shared" ca="1" si="50"/>
        <v>0</v>
      </c>
      <c r="AZ27" s="28">
        <f t="shared" si="51"/>
        <v>0</v>
      </c>
      <c r="BA27" s="29">
        <f t="shared" si="52"/>
        <v>0</v>
      </c>
      <c r="BB27" s="45"/>
      <c r="BC27" s="46"/>
      <c r="BD27" s="47"/>
      <c r="BE27" s="48"/>
      <c r="BF27" s="48"/>
      <c r="BG27" s="49"/>
      <c r="BH27" s="30">
        <f ca="1">AK27</f>
        <v>0</v>
      </c>
    </row>
    <row r="28" spans="1:60" ht="16.5" customHeight="1" x14ac:dyDescent="0.3">
      <c r="A28" s="23" t="s">
        <v>55</v>
      </c>
      <c r="B28" s="31" t="s">
        <v>628</v>
      </c>
      <c r="C28" s="32" t="s">
        <v>75</v>
      </c>
      <c r="D28" s="577" t="s">
        <v>76</v>
      </c>
      <c r="E28" s="577"/>
      <c r="F28" s="578"/>
      <c r="G28" s="33">
        <v>0</v>
      </c>
      <c r="H28" s="34"/>
      <c r="I28" s="53"/>
      <c r="J28" s="35"/>
      <c r="K28" s="36"/>
      <c r="L28" s="36"/>
      <c r="M28" s="36"/>
      <c r="N28" s="36"/>
      <c r="O28" s="36"/>
      <c r="P28" s="36"/>
      <c r="Q28" s="37"/>
      <c r="R28" s="53"/>
      <c r="S28" s="53"/>
      <c r="T28" s="53"/>
      <c r="U28" s="53"/>
      <c r="V28" s="53"/>
      <c r="W28" s="53"/>
      <c r="X28" s="38" t="s">
        <v>77</v>
      </c>
      <c r="Y28" s="367">
        <v>0</v>
      </c>
      <c r="Z28" s="361"/>
      <c r="AA28" s="481">
        <f>G28*'Prijsnormen €'!$B$40+Y28*'Prijsnormen €'!$B$41</f>
        <v>0</v>
      </c>
      <c r="AB28" s="676"/>
      <c r="AC28" s="677"/>
      <c r="AD28" s="40">
        <f ca="1">IF(A28=0,0,LOOKUP(A28,SoortWerk,Codetabel!H$2:H$7))</f>
        <v>1</v>
      </c>
      <c r="AE28" s="41">
        <f>IF($D28="afbraak-raming/offerte",0,IF($D28="diversen-raming/offerte",0,LOOKUP($Z$46,LijstGemeenten!C:C,LijstGemeenten!E:E)))</f>
        <v>0</v>
      </c>
      <c r="AF28" s="42"/>
      <c r="AG28" s="43"/>
      <c r="AH28" s="39"/>
      <c r="AI28" s="44">
        <f ca="1">AD28*(1+AE28+AF28)</f>
        <v>1</v>
      </c>
      <c r="AJ28" s="25">
        <f t="shared" si="48"/>
        <v>1.149</v>
      </c>
      <c r="AK28" s="24">
        <f t="shared" ca="1" si="49"/>
        <v>0</v>
      </c>
      <c r="AL28" s="26"/>
      <c r="AM28" s="45"/>
      <c r="AN28" s="46"/>
      <c r="AO28" s="47"/>
      <c r="AP28" s="45"/>
      <c r="AQ28" s="46"/>
      <c r="AR28" s="47"/>
      <c r="AS28" s="46"/>
      <c r="AT28" s="46"/>
      <c r="AU28" s="46"/>
      <c r="AV28" s="388">
        <f ca="1">IF($B28="H",LOOKUP($D28,Codetabel!$O:$O,Codetabel!$Q:$Q)*$BH28,0)</f>
        <v>0</v>
      </c>
      <c r="AW28" s="389">
        <f>IF($B28="K",LOOKUP($D28,Codetabel!$O:$O,Codetabel!$Q:$Q)*$BH28,0)</f>
        <v>0</v>
      </c>
      <c r="AX28" s="390">
        <f>IF($B28="A",LOOKUP($D28,Codetabel!$O:$O,Codetabel!$Q:$Q)*$BH28,0)</f>
        <v>0</v>
      </c>
      <c r="AY28" s="27">
        <f t="shared" ca="1" si="50"/>
        <v>0</v>
      </c>
      <c r="AZ28" s="28">
        <f t="shared" si="51"/>
        <v>0</v>
      </c>
      <c r="BA28" s="29">
        <f t="shared" si="52"/>
        <v>0</v>
      </c>
      <c r="BB28" s="45"/>
      <c r="BC28" s="46"/>
      <c r="BD28" s="47"/>
      <c r="BE28" s="48"/>
      <c r="BF28" s="48"/>
      <c r="BG28" s="49"/>
      <c r="BH28" s="30">
        <f ca="1">AK28</f>
        <v>0</v>
      </c>
    </row>
    <row r="29" spans="1:60" ht="16.5" customHeight="1" x14ac:dyDescent="0.3">
      <c r="A29" s="23" t="s">
        <v>55</v>
      </c>
      <c r="B29" s="31" t="s">
        <v>628</v>
      </c>
      <c r="C29" s="121" t="s">
        <v>78</v>
      </c>
      <c r="D29" s="577" t="s">
        <v>79</v>
      </c>
      <c r="E29" s="577"/>
      <c r="F29" s="578"/>
      <c r="G29" s="33">
        <v>0</v>
      </c>
      <c r="H29" s="34"/>
      <c r="I29" s="53"/>
      <c r="J29" s="51"/>
      <c r="K29" s="52"/>
      <c r="L29" s="52"/>
      <c r="M29" s="52"/>
      <c r="N29" s="52"/>
      <c r="O29" s="52"/>
      <c r="P29" s="52"/>
      <c r="Q29" s="37"/>
      <c r="R29" s="53"/>
      <c r="S29" s="53"/>
      <c r="T29" s="53"/>
      <c r="U29" s="53"/>
      <c r="V29" s="53"/>
      <c r="W29" s="53"/>
      <c r="X29" s="38"/>
      <c r="Y29" s="365"/>
      <c r="Z29" s="361"/>
      <c r="AA29" s="481">
        <f>LOOKUP(D29,Codetabel!O:O,Codetabel!P:P)</f>
        <v>26000</v>
      </c>
      <c r="AB29" s="676"/>
      <c r="AC29" s="677"/>
      <c r="AD29" s="40">
        <f ca="1">IF(A29=0,0,LOOKUP(A29,SoortWerk,Codetabel!H$2:H$7))</f>
        <v>1</v>
      </c>
      <c r="AE29" s="41">
        <f>IF($D29="afbraak-raming/offerte",0,IF($D29="diversen-raming/offerte",0,LOOKUP($Z$46,LijstGemeenten!C:C,LijstGemeenten!E:E)))</f>
        <v>0</v>
      </c>
      <c r="AF29" s="42"/>
      <c r="AG29" s="43"/>
      <c r="AH29" s="39"/>
      <c r="AI29" s="44">
        <f t="shared" ca="1" si="47"/>
        <v>1</v>
      </c>
      <c r="AJ29" s="25">
        <f t="shared" si="48"/>
        <v>1.149</v>
      </c>
      <c r="AK29" s="24">
        <f t="shared" ca="1" si="49"/>
        <v>29874</v>
      </c>
      <c r="AL29" s="26"/>
      <c r="AM29" s="45"/>
      <c r="AN29" s="46"/>
      <c r="AO29" s="47"/>
      <c r="AP29" s="45"/>
      <c r="AQ29" s="46"/>
      <c r="AR29" s="47"/>
      <c r="AS29" s="46"/>
      <c r="AT29" s="46"/>
      <c r="AU29" s="46"/>
      <c r="AV29" s="388">
        <f ca="1">IF($B29="H",LOOKUP($D29,Codetabel!$O:$O,Codetabel!$Q:$Q)*$BH29,0)</f>
        <v>0</v>
      </c>
      <c r="AW29" s="389">
        <f>IF($B29="K",LOOKUP($D29,Codetabel!$O:$O,Codetabel!$Q:$Q)*$BH29,0)</f>
        <v>0</v>
      </c>
      <c r="AX29" s="390">
        <f>IF($B29="A",LOOKUP($D29,Codetabel!$O:$O,Codetabel!$Q:$Q)*$BH29,0)</f>
        <v>0</v>
      </c>
      <c r="AY29" s="27">
        <f t="shared" ca="1" si="50"/>
        <v>0</v>
      </c>
      <c r="AZ29" s="28">
        <f t="shared" si="51"/>
        <v>0</v>
      </c>
      <c r="BA29" s="29">
        <f t="shared" si="52"/>
        <v>0</v>
      </c>
      <c r="BB29" s="45"/>
      <c r="BC29" s="46"/>
      <c r="BD29" s="47"/>
      <c r="BE29" s="46"/>
      <c r="BF29" s="46"/>
      <c r="BG29" s="47"/>
      <c r="BH29" s="30">
        <f t="shared" ref="BH29:BH36" ca="1" si="56">AK29*G29</f>
        <v>0</v>
      </c>
    </row>
    <row r="30" spans="1:60" ht="16.5" customHeight="1" x14ac:dyDescent="0.3">
      <c r="A30" s="23" t="s">
        <v>55</v>
      </c>
      <c r="B30" s="31" t="s">
        <v>628</v>
      </c>
      <c r="C30" s="121" t="s">
        <v>80</v>
      </c>
      <c r="D30" s="577" t="s">
        <v>79</v>
      </c>
      <c r="E30" s="577"/>
      <c r="F30" s="578"/>
      <c r="G30" s="33">
        <v>0</v>
      </c>
      <c r="H30" s="34"/>
      <c r="I30" s="53"/>
      <c r="J30" s="51">
        <v>1.5</v>
      </c>
      <c r="K30" s="52"/>
      <c r="L30" s="52"/>
      <c r="M30" s="52"/>
      <c r="N30" s="52"/>
      <c r="O30" s="52"/>
      <c r="P30" s="52"/>
      <c r="Q30" s="37"/>
      <c r="R30" s="53"/>
      <c r="S30" s="53"/>
      <c r="T30" s="53"/>
      <c r="U30" s="53"/>
      <c r="V30" s="53"/>
      <c r="W30" s="53"/>
      <c r="X30" s="38"/>
      <c r="Y30" s="365"/>
      <c r="Z30" s="361"/>
      <c r="AA30" s="481">
        <f>LOOKUP(D30,Codetabel!O:O,Codetabel!P:P)</f>
        <v>26000</v>
      </c>
      <c r="AB30" s="676"/>
      <c r="AC30" s="677"/>
      <c r="AD30" s="40">
        <f ca="1">IF(A30=0,0,LOOKUP(A30,SoortWerk,Codetabel!H$2:H$7))</f>
        <v>1</v>
      </c>
      <c r="AE30" s="41">
        <f>IF($D30="afbraak-raming/offerte",0,IF($D30="diversen-raming/offerte",0,LOOKUP($Z$46,LijstGemeenten!C:C,LijstGemeenten!E:E)))</f>
        <v>0</v>
      </c>
      <c r="AF30" s="42"/>
      <c r="AG30" s="43"/>
      <c r="AH30" s="39"/>
      <c r="AI30" s="44">
        <f t="shared" ca="1" si="47"/>
        <v>1</v>
      </c>
      <c r="AJ30" s="25">
        <f t="shared" si="48"/>
        <v>1.149</v>
      </c>
      <c r="AK30" s="24">
        <f t="shared" ca="1" si="49"/>
        <v>44811</v>
      </c>
      <c r="AL30" s="26"/>
      <c r="AM30" s="45"/>
      <c r="AN30" s="46"/>
      <c r="AO30" s="47"/>
      <c r="AP30" s="45"/>
      <c r="AQ30" s="46"/>
      <c r="AR30" s="47"/>
      <c r="AS30" s="46"/>
      <c r="AT30" s="46"/>
      <c r="AU30" s="46"/>
      <c r="AV30" s="388">
        <f ca="1">IF($B30="H",LOOKUP($D30,Codetabel!$O:$O,Codetabel!$Q:$Q)*$BH30,0)</f>
        <v>0</v>
      </c>
      <c r="AW30" s="389">
        <f>IF($B30="K",LOOKUP($D30,Codetabel!$O:$O,Codetabel!$Q:$Q)*$BH30,0)</f>
        <v>0</v>
      </c>
      <c r="AX30" s="390">
        <f>IF($B30="A",LOOKUP($D30,Codetabel!$O:$O,Codetabel!$Q:$Q)*$BH30,0)</f>
        <v>0</v>
      </c>
      <c r="AY30" s="27">
        <f t="shared" ca="1" si="50"/>
        <v>0</v>
      </c>
      <c r="AZ30" s="28">
        <f t="shared" si="51"/>
        <v>0</v>
      </c>
      <c r="BA30" s="29">
        <f t="shared" si="52"/>
        <v>0</v>
      </c>
      <c r="BB30" s="45"/>
      <c r="BC30" s="46"/>
      <c r="BD30" s="47"/>
      <c r="BE30" s="46"/>
      <c r="BF30" s="46"/>
      <c r="BG30" s="47"/>
      <c r="BH30" s="30">
        <f t="shared" ca="1" si="56"/>
        <v>0</v>
      </c>
    </row>
    <row r="31" spans="1:60" ht="16.5" customHeight="1" x14ac:dyDescent="0.3">
      <c r="A31" s="23" t="s">
        <v>55</v>
      </c>
      <c r="B31" s="31" t="s">
        <v>628</v>
      </c>
      <c r="C31" s="50" t="s">
        <v>81</v>
      </c>
      <c r="D31" s="577" t="s">
        <v>82</v>
      </c>
      <c r="E31" s="577"/>
      <c r="F31" s="578"/>
      <c r="G31" s="33">
        <v>0</v>
      </c>
      <c r="H31" s="34"/>
      <c r="I31" s="53"/>
      <c r="J31" s="51"/>
      <c r="K31" s="52"/>
      <c r="L31" s="52"/>
      <c r="M31" s="52"/>
      <c r="N31" s="52"/>
      <c r="O31" s="52"/>
      <c r="P31" s="52"/>
      <c r="Q31" s="37"/>
      <c r="R31" s="53"/>
      <c r="S31" s="53"/>
      <c r="T31" s="53"/>
      <c r="U31" s="53"/>
      <c r="V31" s="53"/>
      <c r="W31" s="53"/>
      <c r="X31" s="38"/>
      <c r="Y31" s="365"/>
      <c r="Z31" s="361"/>
      <c r="AA31" s="481">
        <f>LOOKUP(D31,Codetabel!O:O,Codetabel!P:P)</f>
        <v>810</v>
      </c>
      <c r="AB31" s="676"/>
      <c r="AC31" s="677"/>
      <c r="AD31" s="40">
        <f ca="1">IF(A31=0,0,LOOKUP(A31,SoortWerk,Codetabel!H$2:H$7))</f>
        <v>1</v>
      </c>
      <c r="AE31" s="41">
        <f>IF($D31="afbraak-raming/offerte",0,IF($D31="diversen-raming/offerte",0,LOOKUP($Z$46,LijstGemeenten!C:C,LijstGemeenten!E:E)))</f>
        <v>0</v>
      </c>
      <c r="AF31" s="42"/>
      <c r="AG31" s="43"/>
      <c r="AH31" s="39"/>
      <c r="AI31" s="44">
        <f t="shared" ca="1" si="47"/>
        <v>1</v>
      </c>
      <c r="AJ31" s="25">
        <f t="shared" si="48"/>
        <v>1.149</v>
      </c>
      <c r="AK31" s="24">
        <f t="shared" ca="1" si="49"/>
        <v>930.69</v>
      </c>
      <c r="AL31" s="26"/>
      <c r="AM31" s="45"/>
      <c r="AN31" s="46"/>
      <c r="AO31" s="47"/>
      <c r="AP31" s="45"/>
      <c r="AQ31" s="46"/>
      <c r="AR31" s="47"/>
      <c r="AS31" s="46"/>
      <c r="AT31" s="46"/>
      <c r="AU31" s="46"/>
      <c r="AV31" s="388">
        <f ca="1">IF($B31="H",LOOKUP($D31,Codetabel!$O:$O,Codetabel!$Q:$Q)*$BH31,0)</f>
        <v>0</v>
      </c>
      <c r="AW31" s="389">
        <f>IF($B31="K",LOOKUP($D31,Codetabel!$O:$O,Codetabel!$Q:$Q)*$BH31,0)</f>
        <v>0</v>
      </c>
      <c r="AX31" s="390">
        <f>IF($B31="A",LOOKUP($D31,Codetabel!$O:$O,Codetabel!$Q:$Q)*$BH31,0)</f>
        <v>0</v>
      </c>
      <c r="AY31" s="27">
        <f t="shared" ca="1" si="50"/>
        <v>0</v>
      </c>
      <c r="AZ31" s="28">
        <f t="shared" si="51"/>
        <v>0</v>
      </c>
      <c r="BA31" s="29">
        <f t="shared" si="52"/>
        <v>0</v>
      </c>
      <c r="BB31" s="45"/>
      <c r="BC31" s="46"/>
      <c r="BD31" s="47"/>
      <c r="BE31" s="46"/>
      <c r="BF31" s="46"/>
      <c r="BG31" s="47"/>
      <c r="BH31" s="30">
        <f t="shared" ca="1" si="56"/>
        <v>0</v>
      </c>
    </row>
    <row r="32" spans="1:60" ht="16.5" customHeight="1" x14ac:dyDescent="0.3">
      <c r="A32" s="23" t="s">
        <v>55</v>
      </c>
      <c r="B32" s="31" t="s">
        <v>628</v>
      </c>
      <c r="C32" s="32" t="s">
        <v>83</v>
      </c>
      <c r="D32" s="577" t="s">
        <v>84</v>
      </c>
      <c r="E32" s="577"/>
      <c r="F32" s="578"/>
      <c r="G32" s="33">
        <v>0</v>
      </c>
      <c r="H32" s="34"/>
      <c r="I32" s="53"/>
      <c r="J32" s="51"/>
      <c r="K32" s="122"/>
      <c r="L32" s="122"/>
      <c r="M32" s="122"/>
      <c r="N32" s="122"/>
      <c r="O32" s="122"/>
      <c r="P32" s="122"/>
      <c r="Q32" s="37"/>
      <c r="R32" s="53"/>
      <c r="S32" s="53"/>
      <c r="T32" s="53"/>
      <c r="U32" s="53"/>
      <c r="V32" s="53"/>
      <c r="W32" s="53"/>
      <c r="X32" s="38"/>
      <c r="Y32" s="368"/>
      <c r="Z32" s="361"/>
      <c r="AA32" s="481">
        <f>LOOKUP(D32,Codetabel!O:O,Codetabel!P:P)</f>
        <v>810</v>
      </c>
      <c r="AB32" s="676"/>
      <c r="AC32" s="677"/>
      <c r="AD32" s="40">
        <f ca="1">IF(A32=0,0,LOOKUP(A32,SoortWerk,Codetabel!H$2:H$7))</f>
        <v>1</v>
      </c>
      <c r="AE32" s="41">
        <f>IF($D32="afbraak-raming/offerte",0,IF($D32="diversen-raming/offerte",0,LOOKUP($Z$46,LijstGemeenten!C:C,LijstGemeenten!E:E)))</f>
        <v>0</v>
      </c>
      <c r="AF32" s="42"/>
      <c r="AG32" s="43"/>
      <c r="AH32" s="39"/>
      <c r="AI32" s="44">
        <f t="shared" ca="1" si="47"/>
        <v>1</v>
      </c>
      <c r="AJ32" s="25">
        <f t="shared" si="48"/>
        <v>1.149</v>
      </c>
      <c r="AK32" s="24">
        <f t="shared" ca="1" si="49"/>
        <v>930.69</v>
      </c>
      <c r="AL32" s="26"/>
      <c r="AM32" s="45"/>
      <c r="AN32" s="46"/>
      <c r="AO32" s="47"/>
      <c r="AP32" s="45"/>
      <c r="AQ32" s="46"/>
      <c r="AR32" s="47"/>
      <c r="AS32" s="46"/>
      <c r="AT32" s="46"/>
      <c r="AU32" s="46"/>
      <c r="AV32" s="388">
        <f ca="1">IF($B32="H",LOOKUP($D32,Codetabel!$O:$O,Codetabel!$Q:$Q)*$BH32,0)</f>
        <v>0</v>
      </c>
      <c r="AW32" s="389">
        <f>IF($B32="K",LOOKUP($D32,Codetabel!$O:$O,Codetabel!$Q:$Q)*$BH32,0)</f>
        <v>0</v>
      </c>
      <c r="AX32" s="390">
        <f>IF($B32="A",LOOKUP($D32,Codetabel!$O:$O,Codetabel!$Q:$Q)*$BH32,0)</f>
        <v>0</v>
      </c>
      <c r="AY32" s="27">
        <f t="shared" ca="1" si="50"/>
        <v>0</v>
      </c>
      <c r="AZ32" s="28">
        <f t="shared" si="51"/>
        <v>0</v>
      </c>
      <c r="BA32" s="29">
        <f t="shared" si="52"/>
        <v>0</v>
      </c>
      <c r="BB32" s="45"/>
      <c r="BC32" s="46"/>
      <c r="BD32" s="47"/>
      <c r="BE32" s="46"/>
      <c r="BF32" s="46"/>
      <c r="BG32" s="47"/>
      <c r="BH32" s="123">
        <f t="shared" ca="1" si="56"/>
        <v>0</v>
      </c>
    </row>
    <row r="33" spans="1:60" ht="16.5" customHeight="1" x14ac:dyDescent="0.3">
      <c r="A33" s="23" t="s">
        <v>55</v>
      </c>
      <c r="B33" s="31" t="s">
        <v>628</v>
      </c>
      <c r="C33" s="50" t="s">
        <v>85</v>
      </c>
      <c r="D33" s="577" t="s">
        <v>86</v>
      </c>
      <c r="E33" s="577"/>
      <c r="F33" s="578"/>
      <c r="G33" s="33">
        <v>0</v>
      </c>
      <c r="H33" s="34"/>
      <c r="I33" s="53"/>
      <c r="J33" s="51"/>
      <c r="K33" s="52"/>
      <c r="L33" s="52"/>
      <c r="M33" s="52"/>
      <c r="N33" s="52"/>
      <c r="O33" s="52"/>
      <c r="P33" s="52"/>
      <c r="Q33" s="37"/>
      <c r="R33" s="53"/>
      <c r="S33" s="53"/>
      <c r="T33" s="53"/>
      <c r="U33" s="53"/>
      <c r="V33" s="53"/>
      <c r="W33" s="53"/>
      <c r="X33" s="38"/>
      <c r="Y33" s="365"/>
      <c r="Z33" s="361"/>
      <c r="AA33" s="481">
        <f>LOOKUP(D33,Codetabel!O:O,Codetabel!P:P)</f>
        <v>810</v>
      </c>
      <c r="AB33" s="676"/>
      <c r="AC33" s="677"/>
      <c r="AD33" s="40">
        <f ca="1">IF(A33=0,0,LOOKUP(A33,SoortWerk,Codetabel!H$2:H$7))</f>
        <v>1</v>
      </c>
      <c r="AE33" s="41">
        <f>IF($D33="afbraak-raming/offerte",0,IF($D33="diversen-raming/offerte",0,LOOKUP($Z$46,LijstGemeenten!C:C,LijstGemeenten!E:E)))</f>
        <v>0</v>
      </c>
      <c r="AF33" s="42"/>
      <c r="AG33" s="43"/>
      <c r="AH33" s="39"/>
      <c r="AI33" s="44">
        <f t="shared" ca="1" si="47"/>
        <v>1</v>
      </c>
      <c r="AJ33" s="25">
        <f t="shared" si="48"/>
        <v>1.149</v>
      </c>
      <c r="AK33" s="24">
        <f t="shared" ca="1" si="49"/>
        <v>930.69</v>
      </c>
      <c r="AL33" s="26"/>
      <c r="AM33" s="45"/>
      <c r="AN33" s="46"/>
      <c r="AO33" s="47"/>
      <c r="AP33" s="45"/>
      <c r="AQ33" s="46"/>
      <c r="AR33" s="47"/>
      <c r="AS33" s="46"/>
      <c r="AT33" s="46"/>
      <c r="AU33" s="46"/>
      <c r="AV33" s="388">
        <f ca="1">IF($B33="H",LOOKUP($D33,Codetabel!$O:$O,Codetabel!$Q:$Q)*$BH33,0)</f>
        <v>0</v>
      </c>
      <c r="AW33" s="389">
        <f>IF($B33="K",LOOKUP($D33,Codetabel!$O:$O,Codetabel!$Q:$Q)*$BH33,0)</f>
        <v>0</v>
      </c>
      <c r="AX33" s="390">
        <f>IF($B33="A",LOOKUP($D33,Codetabel!$O:$O,Codetabel!$Q:$Q)*$BH33,0)</f>
        <v>0</v>
      </c>
      <c r="AY33" s="27">
        <f t="shared" ca="1" si="50"/>
        <v>0</v>
      </c>
      <c r="AZ33" s="28">
        <f t="shared" si="51"/>
        <v>0</v>
      </c>
      <c r="BA33" s="29">
        <f t="shared" si="52"/>
        <v>0</v>
      </c>
      <c r="BB33" s="45"/>
      <c r="BC33" s="46"/>
      <c r="BD33" s="47"/>
      <c r="BE33" s="46"/>
      <c r="BF33" s="46"/>
      <c r="BG33" s="47"/>
      <c r="BH33" s="30">
        <f t="shared" ca="1" si="56"/>
        <v>0</v>
      </c>
    </row>
    <row r="34" spans="1:60" ht="16.5" customHeight="1" x14ac:dyDescent="0.3">
      <c r="A34" s="23" t="s">
        <v>55</v>
      </c>
      <c r="B34" s="31" t="s">
        <v>628</v>
      </c>
      <c r="C34" s="50" t="s">
        <v>87</v>
      </c>
      <c r="D34" s="577" t="s">
        <v>88</v>
      </c>
      <c r="E34" s="577"/>
      <c r="F34" s="578"/>
      <c r="G34" s="33">
        <v>0</v>
      </c>
      <c r="H34" s="34"/>
      <c r="I34" s="53"/>
      <c r="J34" s="51"/>
      <c r="K34" s="52"/>
      <c r="L34" s="52"/>
      <c r="M34" s="52"/>
      <c r="N34" s="52"/>
      <c r="O34" s="52"/>
      <c r="P34" s="52"/>
      <c r="Q34" s="37"/>
      <c r="R34" s="53"/>
      <c r="S34" s="53"/>
      <c r="T34" s="53"/>
      <c r="U34" s="53"/>
      <c r="V34" s="53"/>
      <c r="W34" s="53"/>
      <c r="X34" s="38"/>
      <c r="Y34" s="365"/>
      <c r="Z34" s="361"/>
      <c r="AA34" s="481">
        <f>LOOKUP(D34,Codetabel!O:O,Codetabel!P:P)</f>
        <v>810</v>
      </c>
      <c r="AB34" s="676"/>
      <c r="AC34" s="677"/>
      <c r="AD34" s="40">
        <f ca="1">IF(A34=0,0,LOOKUP(A34,SoortWerk,Codetabel!H$2:H$7))</f>
        <v>1</v>
      </c>
      <c r="AE34" s="41">
        <f>IF($D34="afbraak-raming/offerte",0,IF($D34="diversen-raming/offerte",0,LOOKUP($Z$46,LijstGemeenten!C:C,LijstGemeenten!E:E)))</f>
        <v>0</v>
      </c>
      <c r="AF34" s="42"/>
      <c r="AG34" s="43"/>
      <c r="AH34" s="39"/>
      <c r="AI34" s="44">
        <f t="shared" ca="1" si="47"/>
        <v>1</v>
      </c>
      <c r="AJ34" s="25">
        <f t="shared" si="48"/>
        <v>1.149</v>
      </c>
      <c r="AK34" s="24">
        <f t="shared" ca="1" si="49"/>
        <v>930.69</v>
      </c>
      <c r="AL34" s="26"/>
      <c r="AM34" s="45"/>
      <c r="AN34" s="46"/>
      <c r="AO34" s="47"/>
      <c r="AP34" s="45"/>
      <c r="AQ34" s="46"/>
      <c r="AR34" s="47"/>
      <c r="AS34" s="46"/>
      <c r="AT34" s="46"/>
      <c r="AU34" s="46"/>
      <c r="AV34" s="388">
        <f ca="1">IF($B34="H",LOOKUP($D34,Codetabel!$O:$O,Codetabel!$Q:$Q)*$BH34,0)</f>
        <v>0</v>
      </c>
      <c r="AW34" s="389">
        <f>IF($B34="K",LOOKUP($D34,Codetabel!$O:$O,Codetabel!$Q:$Q)*$BH34,0)</f>
        <v>0</v>
      </c>
      <c r="AX34" s="390">
        <f>IF($B34="A",LOOKUP($D34,Codetabel!$O:$O,Codetabel!$Q:$Q)*$BH34,0)</f>
        <v>0</v>
      </c>
      <c r="AY34" s="27">
        <f t="shared" ca="1" si="50"/>
        <v>0</v>
      </c>
      <c r="AZ34" s="28">
        <f t="shared" si="51"/>
        <v>0</v>
      </c>
      <c r="BA34" s="29">
        <f t="shared" si="52"/>
        <v>0</v>
      </c>
      <c r="BB34" s="45"/>
      <c r="BC34" s="46"/>
      <c r="BD34" s="47"/>
      <c r="BE34" s="46"/>
      <c r="BF34" s="46"/>
      <c r="BG34" s="47"/>
      <c r="BH34" s="30">
        <f t="shared" ca="1" si="56"/>
        <v>0</v>
      </c>
    </row>
    <row r="35" spans="1:60" ht="16.5" customHeight="1" x14ac:dyDescent="0.3">
      <c r="A35" s="23" t="s">
        <v>55</v>
      </c>
      <c r="B35" s="31" t="s">
        <v>628</v>
      </c>
      <c r="C35" s="124" t="s">
        <v>89</v>
      </c>
      <c r="D35" s="577" t="s">
        <v>90</v>
      </c>
      <c r="E35" s="577"/>
      <c r="F35" s="578"/>
      <c r="G35" s="33">
        <v>0</v>
      </c>
      <c r="H35" s="34"/>
      <c r="I35" s="53"/>
      <c r="J35" s="125"/>
      <c r="K35" s="36"/>
      <c r="L35" s="36"/>
      <c r="M35" s="36"/>
      <c r="N35" s="36"/>
      <c r="O35" s="36"/>
      <c r="P35" s="36"/>
      <c r="Q35" s="37"/>
      <c r="R35" s="53"/>
      <c r="S35" s="53"/>
      <c r="T35" s="53"/>
      <c r="U35" s="53"/>
      <c r="V35" s="53"/>
      <c r="W35" s="53"/>
      <c r="X35" s="126"/>
      <c r="Y35" s="369"/>
      <c r="Z35" s="362"/>
      <c r="AA35" s="481">
        <f>LOOKUP(D35,Codetabel!O:O,Codetabel!P:P)</f>
        <v>3200</v>
      </c>
      <c r="AB35" s="676"/>
      <c r="AC35" s="677"/>
      <c r="AD35" s="40">
        <f ca="1">IF(A35=0,0,LOOKUP(A35,SoortWerk,Codetabel!H$2:H$7))</f>
        <v>1</v>
      </c>
      <c r="AE35" s="41">
        <f>IF($D35="afbraak-raming/offerte",0,IF($D35="diversen-raming/offerte",0,LOOKUP($Z$46,LijstGemeenten!C:C,LijstGemeenten!E:E)))</f>
        <v>0</v>
      </c>
      <c r="AF35" s="128"/>
      <c r="AG35" s="129"/>
      <c r="AH35" s="127"/>
      <c r="AI35" s="130">
        <f t="shared" ref="AI35" ca="1" si="57">AD35*(1+AE35+AF35)</f>
        <v>1</v>
      </c>
      <c r="AJ35" s="25">
        <f t="shared" si="48"/>
        <v>1.149</v>
      </c>
      <c r="AK35" s="131">
        <f t="shared" ca="1" si="49"/>
        <v>3676.8</v>
      </c>
      <c r="AL35" s="132"/>
      <c r="AM35" s="45"/>
      <c r="AN35" s="46"/>
      <c r="AO35" s="47"/>
      <c r="AP35" s="45"/>
      <c r="AQ35" s="46"/>
      <c r="AR35" s="47"/>
      <c r="AS35" s="46"/>
      <c r="AT35" s="46"/>
      <c r="AU35" s="46"/>
      <c r="AV35" s="388">
        <f ca="1">IF($B35="H",LOOKUP($D35,Codetabel!$O:$O,Codetabel!$Q:$Q)*$BH35,0)</f>
        <v>0</v>
      </c>
      <c r="AW35" s="389">
        <f>IF($B35="K",LOOKUP($D35,Codetabel!$O:$O,Codetabel!$Q:$Q)*$BH35,0)</f>
        <v>0</v>
      </c>
      <c r="AX35" s="390">
        <f>IF($B35="A",LOOKUP($D35,Codetabel!$O:$O,Codetabel!$Q:$Q)*$BH35,0)</f>
        <v>0</v>
      </c>
      <c r="AY35" s="133">
        <f t="shared" ca="1" si="50"/>
        <v>0</v>
      </c>
      <c r="AZ35" s="134">
        <f t="shared" si="51"/>
        <v>0</v>
      </c>
      <c r="BA35" s="135">
        <f t="shared" si="52"/>
        <v>0</v>
      </c>
      <c r="BB35" s="45"/>
      <c r="BC35" s="46"/>
      <c r="BD35" s="47"/>
      <c r="BE35" s="46"/>
      <c r="BF35" s="46"/>
      <c r="BG35" s="47"/>
      <c r="BH35" s="136">
        <f t="shared" ca="1" si="56"/>
        <v>0</v>
      </c>
    </row>
    <row r="36" spans="1:60" ht="16.5" customHeight="1" thickBot="1" x14ac:dyDescent="0.35">
      <c r="A36" s="23" t="s">
        <v>55</v>
      </c>
      <c r="B36" s="31" t="s">
        <v>628</v>
      </c>
      <c r="C36" s="124" t="s">
        <v>89</v>
      </c>
      <c r="D36" s="577" t="s">
        <v>91</v>
      </c>
      <c r="E36" s="577"/>
      <c r="F36" s="578"/>
      <c r="G36" s="33">
        <v>0</v>
      </c>
      <c r="H36" s="34"/>
      <c r="I36" s="53"/>
      <c r="J36" s="125"/>
      <c r="K36" s="36"/>
      <c r="L36" s="36"/>
      <c r="M36" s="36"/>
      <c r="N36" s="36"/>
      <c r="O36" s="36"/>
      <c r="P36" s="36"/>
      <c r="Q36" s="37"/>
      <c r="R36" s="53"/>
      <c r="S36" s="53"/>
      <c r="T36" s="53"/>
      <c r="U36" s="53"/>
      <c r="V36" s="53"/>
      <c r="W36" s="53"/>
      <c r="X36" s="370"/>
      <c r="Y36" s="371"/>
      <c r="Z36" s="362"/>
      <c r="AA36" s="482">
        <f>LOOKUP(D36,Codetabel!O:O,Codetabel!P:P)</f>
        <v>5000</v>
      </c>
      <c r="AB36" s="678"/>
      <c r="AC36" s="679"/>
      <c r="AD36" s="40">
        <f ca="1">IF(A36=0,0,LOOKUP(A36,SoortWerk,Codetabel!H$2:H$7))</f>
        <v>1</v>
      </c>
      <c r="AE36" s="41">
        <f>IF($D36="afbraak-raming/offerte",0,IF($D36="diversen-raming/offerte",0,LOOKUP($Z$46,LijstGemeenten!C:C,LijstGemeenten!E:E)))</f>
        <v>0</v>
      </c>
      <c r="AF36" s="128"/>
      <c r="AG36" s="129"/>
      <c r="AH36" s="127"/>
      <c r="AI36" s="130">
        <f t="shared" ca="1" si="47"/>
        <v>1</v>
      </c>
      <c r="AJ36" s="25">
        <f t="shared" si="48"/>
        <v>1.149</v>
      </c>
      <c r="AK36" s="131">
        <f t="shared" ca="1" si="49"/>
        <v>5745</v>
      </c>
      <c r="AL36" s="132"/>
      <c r="AM36" s="45"/>
      <c r="AN36" s="46"/>
      <c r="AO36" s="47"/>
      <c r="AP36" s="45"/>
      <c r="AQ36" s="46"/>
      <c r="AR36" s="47"/>
      <c r="AS36" s="46"/>
      <c r="AT36" s="46"/>
      <c r="AU36" s="46"/>
      <c r="AV36" s="388">
        <f ca="1">IF($B36="H",LOOKUP($D36,Codetabel!$O:$O,Codetabel!$Q:$Q)*$BH36,0)</f>
        <v>0</v>
      </c>
      <c r="AW36" s="389">
        <f>IF($B36="K",LOOKUP($D36,Codetabel!$O:$O,Codetabel!$Q:$Q)*$BH36,0)</f>
        <v>0</v>
      </c>
      <c r="AX36" s="390">
        <f>IF($B36="A",LOOKUP($D36,Codetabel!$O:$O,Codetabel!$Q:$Q)*$BH36,0)</f>
        <v>0</v>
      </c>
      <c r="AY36" s="133">
        <f t="shared" ca="1" si="50"/>
        <v>0</v>
      </c>
      <c r="AZ36" s="134">
        <f t="shared" si="51"/>
        <v>0</v>
      </c>
      <c r="BA36" s="135">
        <f t="shared" si="52"/>
        <v>0</v>
      </c>
      <c r="BB36" s="45"/>
      <c r="BC36" s="46"/>
      <c r="BD36" s="47"/>
      <c r="BE36" s="46"/>
      <c r="BF36" s="46"/>
      <c r="BG36" s="47"/>
      <c r="BH36" s="136">
        <f t="shared" ca="1" si="56"/>
        <v>0</v>
      </c>
    </row>
    <row r="37" spans="1:60" ht="21" customHeight="1" thickBot="1" x14ac:dyDescent="0.35">
      <c r="A37" s="662" t="str">
        <f>IF(G47=0,"",G47)</f>
        <v>2020/0001/01</v>
      </c>
      <c r="B37" s="663"/>
      <c r="C37" s="704" t="s">
        <v>744</v>
      </c>
      <c r="D37" s="705"/>
      <c r="E37" s="705"/>
      <c r="F37" s="705"/>
      <c r="G37" s="705"/>
      <c r="H37" s="705"/>
      <c r="I37" s="705"/>
      <c r="J37" s="705"/>
      <c r="K37" s="705"/>
      <c r="L37" s="705"/>
      <c r="M37" s="705"/>
      <c r="N37" s="705"/>
      <c r="O37" s="705"/>
      <c r="P37" s="705"/>
      <c r="Q37" s="705"/>
      <c r="R37" s="705"/>
      <c r="S37" s="705"/>
      <c r="T37" s="705"/>
      <c r="U37" s="705"/>
      <c r="V37" s="705"/>
      <c r="W37" s="705"/>
      <c r="X37" s="705"/>
      <c r="Y37" s="705"/>
      <c r="Z37" s="705"/>
      <c r="AA37" s="705"/>
      <c r="AB37" s="705"/>
      <c r="AC37" s="705"/>
      <c r="AD37" s="705"/>
      <c r="AE37" s="705"/>
      <c r="AF37" s="705"/>
      <c r="AG37" s="705"/>
      <c r="AH37" s="705"/>
      <c r="AI37" s="705"/>
      <c r="AJ37" s="705"/>
      <c r="AK37" s="705"/>
      <c r="AL37" s="705"/>
      <c r="AM37" s="705"/>
      <c r="AN37" s="705"/>
      <c r="AO37" s="705"/>
      <c r="AP37" s="705"/>
      <c r="AQ37" s="705"/>
      <c r="AR37" s="705"/>
      <c r="AS37" s="705"/>
      <c r="AT37" s="705"/>
      <c r="AU37" s="705"/>
      <c r="AV37" s="705"/>
      <c r="AW37" s="705"/>
      <c r="AX37" s="705"/>
      <c r="AY37" s="705"/>
      <c r="AZ37" s="705"/>
      <c r="BA37" s="705"/>
      <c r="BB37" s="705"/>
      <c r="BC37" s="705"/>
      <c r="BD37" s="705"/>
      <c r="BE37" s="705"/>
      <c r="BF37" s="705"/>
      <c r="BG37" s="705"/>
      <c r="BH37" s="706"/>
    </row>
    <row r="38" spans="1:60" s="78" customFormat="1" ht="35.25" customHeight="1" thickBot="1" x14ac:dyDescent="0.35">
      <c r="A38" s="664"/>
      <c r="B38" s="665"/>
      <c r="C38" s="495" t="s">
        <v>738</v>
      </c>
      <c r="D38" s="53"/>
      <c r="E38" s="53"/>
      <c r="F38" s="53"/>
      <c r="G38" s="696" t="s">
        <v>92</v>
      </c>
      <c r="H38" s="696"/>
      <c r="I38" s="696"/>
      <c r="J38" s="485" t="s">
        <v>93</v>
      </c>
      <c r="K38" s="486"/>
      <c r="L38" s="486"/>
      <c r="M38" s="486"/>
      <c r="N38" s="486"/>
      <c r="O38" s="486"/>
      <c r="P38" s="486"/>
      <c r="Q38" s="485" t="s">
        <v>94</v>
      </c>
      <c r="R38" s="485" t="s">
        <v>95</v>
      </c>
      <c r="S38" s="485"/>
      <c r="T38" s="485"/>
      <c r="U38" s="485"/>
      <c r="V38" s="485"/>
      <c r="W38" s="485"/>
      <c r="X38" s="487" t="s">
        <v>96</v>
      </c>
      <c r="Y38" s="485" t="s">
        <v>97</v>
      </c>
      <c r="Z38"/>
      <c r="AA38" s="486" t="s">
        <v>98</v>
      </c>
      <c r="AB38" s="303"/>
      <c r="AC38" s="303"/>
      <c r="AD38" s="303"/>
      <c r="AE38" s="656">
        <v>1041</v>
      </c>
      <c r="AF38" s="657"/>
      <c r="AG38" s="658"/>
      <c r="AH38" s="654">
        <v>906</v>
      </c>
      <c r="AI38" s="655"/>
      <c r="AJ38" s="599">
        <f>ROUND(AE38/AH38,3)</f>
        <v>1.149</v>
      </c>
      <c r="AK38" s="600"/>
      <c r="AL38" s="304"/>
      <c r="AM38" s="496">
        <f t="shared" ref="AM38:AU38" si="58">SUM(AM4:AM18)</f>
        <v>0</v>
      </c>
      <c r="AN38" s="497">
        <f t="shared" si="58"/>
        <v>0</v>
      </c>
      <c r="AO38" s="498">
        <f t="shared" si="58"/>
        <v>0</v>
      </c>
      <c r="AP38" s="499">
        <f t="shared" si="58"/>
        <v>0</v>
      </c>
      <c r="AQ38" s="500">
        <f t="shared" si="58"/>
        <v>0</v>
      </c>
      <c r="AR38" s="501">
        <f t="shared" si="58"/>
        <v>0</v>
      </c>
      <c r="AS38" s="500">
        <f t="shared" si="58"/>
        <v>0</v>
      </c>
      <c r="AT38" s="500">
        <f t="shared" si="58"/>
        <v>0</v>
      </c>
      <c r="AU38" s="500">
        <f t="shared" si="58"/>
        <v>0</v>
      </c>
      <c r="AV38" s="502">
        <f>AY38</f>
        <v>0</v>
      </c>
      <c r="AW38" s="503">
        <f>AZ38</f>
        <v>0</v>
      </c>
      <c r="AX38" s="504">
        <f>BA38</f>
        <v>0</v>
      </c>
      <c r="AY38" s="505">
        <f>IF($J39&gt;0,$AP38/$J$43*$AA$43,0)</f>
        <v>0</v>
      </c>
      <c r="AZ38" s="505">
        <f>IF($J40&gt;0,$AQ38/$J$43*$AA$43,0)</f>
        <v>0</v>
      </c>
      <c r="BA38" s="506">
        <f>IF($J41&gt;0,$AR38/$J$43*$AA$43,0)</f>
        <v>0</v>
      </c>
      <c r="BB38" s="507">
        <f t="shared" ref="BB38:BG38" si="59">SUM(BB4:BB17)</f>
        <v>0</v>
      </c>
      <c r="BC38" s="507">
        <f t="shared" si="59"/>
        <v>0</v>
      </c>
      <c r="BD38" s="508">
        <f t="shared" si="59"/>
        <v>0</v>
      </c>
      <c r="BE38" s="507">
        <f t="shared" si="59"/>
        <v>0</v>
      </c>
      <c r="BF38" s="507">
        <f t="shared" si="59"/>
        <v>0</v>
      </c>
      <c r="BG38" s="508">
        <f t="shared" si="59"/>
        <v>0</v>
      </c>
      <c r="BH38" s="484" t="s">
        <v>702</v>
      </c>
    </row>
    <row r="39" spans="1:60" ht="19.5" customHeight="1" x14ac:dyDescent="0.3">
      <c r="A39" s="664"/>
      <c r="B39" s="665"/>
      <c r="C39" s="683" t="s">
        <v>694</v>
      </c>
      <c r="D39" s="702" t="s">
        <v>99</v>
      </c>
      <c r="E39" s="702"/>
      <c r="F39" s="703"/>
      <c r="G39" s="689">
        <f>AM38</f>
        <v>0</v>
      </c>
      <c r="H39" s="690"/>
      <c r="I39" s="690"/>
      <c r="J39" s="308">
        <f>AP38</f>
        <v>0</v>
      </c>
      <c r="K39" s="79"/>
      <c r="L39" s="79"/>
      <c r="M39" s="79"/>
      <c r="N39" s="79"/>
      <c r="O39" s="79"/>
      <c r="P39" s="79"/>
      <c r="Q39" s="309" t="str">
        <f>IF(R39&gt;0,J39/R39,"")</f>
        <v/>
      </c>
      <c r="R39" s="310">
        <f>AS38</f>
        <v>0</v>
      </c>
      <c r="S39" s="311"/>
      <c r="T39" s="312"/>
      <c r="U39" s="312"/>
      <c r="V39" s="312"/>
      <c r="W39" s="312"/>
      <c r="X39" s="313">
        <f>BB38</f>
        <v>0</v>
      </c>
      <c r="Y39" s="358">
        <f>BE38</f>
        <v>0</v>
      </c>
      <c r="Z39" s="312"/>
      <c r="AA39" s="314">
        <f>AY38</f>
        <v>0</v>
      </c>
      <c r="AB39" s="601" t="s">
        <v>697</v>
      </c>
      <c r="AC39" s="601"/>
      <c r="AD39" s="602"/>
      <c r="AE39" s="648"/>
      <c r="AF39" s="649"/>
      <c r="AG39" s="649"/>
      <c r="AH39" s="649"/>
      <c r="AI39" s="650"/>
      <c r="AJ39" s="647">
        <f ca="1">IF(BH39&gt;0,AE39/BH39,0)</f>
        <v>0</v>
      </c>
      <c r="AK39" s="574"/>
      <c r="AL39" s="80"/>
      <c r="AM39" s="81"/>
      <c r="AN39" s="82"/>
      <c r="AO39" s="83"/>
      <c r="AP39" s="81"/>
      <c r="AQ39" s="82"/>
      <c r="AR39" s="83"/>
      <c r="AS39" s="82"/>
      <c r="AT39" s="82"/>
      <c r="AU39" s="82"/>
      <c r="AV39" s="84"/>
      <c r="AW39" s="85"/>
      <c r="AX39" s="187"/>
      <c r="AY39" s="86"/>
      <c r="AZ39" s="87"/>
      <c r="BA39" s="88"/>
      <c r="BB39" s="89"/>
      <c r="BC39" s="89"/>
      <c r="BD39" s="90"/>
      <c r="BE39" s="89"/>
      <c r="BF39" s="89"/>
      <c r="BG39" s="90"/>
      <c r="BH39" s="314">
        <f ca="1">$AY$43</f>
        <v>0</v>
      </c>
    </row>
    <row r="40" spans="1:60" ht="19.5" customHeight="1" x14ac:dyDescent="0.3">
      <c r="A40" s="664"/>
      <c r="B40" s="665"/>
      <c r="C40" s="684"/>
      <c r="D40" s="601" t="s">
        <v>100</v>
      </c>
      <c r="E40" s="601"/>
      <c r="F40" s="602"/>
      <c r="G40" s="645">
        <f>AN38</f>
        <v>0</v>
      </c>
      <c r="H40" s="646"/>
      <c r="I40" s="646"/>
      <c r="J40" s="315">
        <f>AQ38</f>
        <v>0</v>
      </c>
      <c r="K40" s="316"/>
      <c r="L40" s="316"/>
      <c r="M40" s="316"/>
      <c r="N40" s="316"/>
      <c r="O40" s="316"/>
      <c r="P40" s="316"/>
      <c r="Q40" s="317" t="str">
        <f>IF(R40&gt;0,J40/R40,"")</f>
        <v/>
      </c>
      <c r="R40" s="318">
        <f>AT38</f>
        <v>0</v>
      </c>
      <c r="S40" s="319"/>
      <c r="T40" s="312"/>
      <c r="U40" s="312"/>
      <c r="V40" s="312"/>
      <c r="W40" s="312"/>
      <c r="X40" s="320">
        <f>BC38</f>
        <v>0</v>
      </c>
      <c r="Y40" s="359">
        <f>BF38</f>
        <v>0</v>
      </c>
      <c r="Z40" s="312"/>
      <c r="AA40" s="321">
        <f>AZ38</f>
        <v>0</v>
      </c>
      <c r="AB40" s="601" t="s">
        <v>698</v>
      </c>
      <c r="AC40" s="601"/>
      <c r="AD40" s="602"/>
      <c r="AE40" s="651">
        <v>0</v>
      </c>
      <c r="AF40" s="652"/>
      <c r="AG40" s="652"/>
      <c r="AH40" s="652"/>
      <c r="AI40" s="653"/>
      <c r="AJ40" s="647">
        <f>IF(BH40&gt;0,AE40/BH40,0)</f>
        <v>0</v>
      </c>
      <c r="AK40" s="574"/>
      <c r="AL40" s="80"/>
      <c r="AM40" s="81"/>
      <c r="AN40" s="82"/>
      <c r="AO40" s="83"/>
      <c r="AP40" s="81"/>
      <c r="AQ40" s="82"/>
      <c r="AR40" s="83"/>
      <c r="AS40" s="82"/>
      <c r="AT40" s="82"/>
      <c r="AU40" s="82"/>
      <c r="AV40" s="84"/>
      <c r="AW40" s="85"/>
      <c r="AX40" s="187"/>
      <c r="AY40" s="86"/>
      <c r="AZ40" s="87"/>
      <c r="BA40" s="88"/>
      <c r="BB40" s="89"/>
      <c r="BC40" s="89"/>
      <c r="BD40" s="90"/>
      <c r="BE40" s="89"/>
      <c r="BF40" s="89"/>
      <c r="BG40" s="90"/>
      <c r="BH40" s="321">
        <f>$AZ$43</f>
        <v>0</v>
      </c>
    </row>
    <row r="41" spans="1:60" ht="19.5" customHeight="1" thickBot="1" x14ac:dyDescent="0.35">
      <c r="A41" s="664"/>
      <c r="B41" s="665"/>
      <c r="C41" s="685"/>
      <c r="D41" s="637" t="s">
        <v>101</v>
      </c>
      <c r="E41" s="637"/>
      <c r="F41" s="638"/>
      <c r="G41" s="671">
        <f>AO38</f>
        <v>0</v>
      </c>
      <c r="H41" s="672"/>
      <c r="I41" s="672"/>
      <c r="J41" s="322">
        <f>AR38</f>
        <v>0</v>
      </c>
      <c r="K41" s="323"/>
      <c r="L41" s="323"/>
      <c r="M41" s="323"/>
      <c r="N41" s="323"/>
      <c r="O41" s="323"/>
      <c r="P41" s="323"/>
      <c r="Q41" s="324" t="str">
        <f>IF(R41&gt;0,J41/R41,"")</f>
        <v/>
      </c>
      <c r="R41" s="325">
        <f>AU38</f>
        <v>0</v>
      </c>
      <c r="S41" s="326"/>
      <c r="T41" s="312"/>
      <c r="U41" s="312"/>
      <c r="V41" s="312"/>
      <c r="W41" s="312"/>
      <c r="X41" s="327">
        <f>BD38</f>
        <v>0</v>
      </c>
      <c r="Y41" s="360">
        <f>BG38</f>
        <v>0</v>
      </c>
      <c r="Z41" s="312"/>
      <c r="AA41" s="328">
        <f>BA38</f>
        <v>0</v>
      </c>
      <c r="AB41" s="601" t="s">
        <v>699</v>
      </c>
      <c r="AC41" s="601"/>
      <c r="AD41" s="602"/>
      <c r="AE41" s="659">
        <v>0</v>
      </c>
      <c r="AF41" s="660"/>
      <c r="AG41" s="660"/>
      <c r="AH41" s="660"/>
      <c r="AI41" s="661"/>
      <c r="AJ41" s="647">
        <f>IF(BH41&gt;0,AE41/BH41,0)</f>
        <v>0</v>
      </c>
      <c r="AK41" s="574"/>
      <c r="AL41" s="80"/>
      <c r="AM41" s="81"/>
      <c r="AN41" s="82"/>
      <c r="AO41" s="83"/>
      <c r="AP41" s="81"/>
      <c r="AQ41" s="82"/>
      <c r="AR41" s="83"/>
      <c r="AS41" s="82"/>
      <c r="AT41" s="82"/>
      <c r="AU41" s="82"/>
      <c r="AV41" s="84"/>
      <c r="AW41" s="85"/>
      <c r="AX41" s="187"/>
      <c r="AY41" s="86"/>
      <c r="AZ41" s="87"/>
      <c r="BA41" s="88"/>
      <c r="BB41" s="89"/>
      <c r="BC41" s="89"/>
      <c r="BD41" s="90"/>
      <c r="BE41" s="89"/>
      <c r="BF41" s="89"/>
      <c r="BG41" s="90"/>
      <c r="BH41" s="328">
        <f>$BA$43</f>
        <v>0</v>
      </c>
    </row>
    <row r="42" spans="1:60" ht="14.25" customHeight="1" thickBot="1" x14ac:dyDescent="0.35">
      <c r="A42" s="664"/>
      <c r="B42" s="665"/>
      <c r="C42" s="53"/>
      <c r="D42" s="329"/>
      <c r="E42" s="329"/>
      <c r="F42" s="329"/>
      <c r="G42" s="330"/>
      <c r="H42" s="330"/>
      <c r="I42" s="331"/>
      <c r="J42" s="330"/>
      <c r="K42" s="91"/>
      <c r="L42" s="92"/>
      <c r="M42" s="92"/>
      <c r="N42" s="91"/>
      <c r="O42" s="91"/>
      <c r="P42" s="91"/>
      <c r="Q42" s="332"/>
      <c r="R42" s="330"/>
      <c r="S42" s="91"/>
      <c r="T42" s="93"/>
      <c r="U42" s="93"/>
      <c r="V42" s="93"/>
      <c r="W42" s="93"/>
      <c r="X42" s="331"/>
      <c r="Y42" s="330"/>
      <c r="Z42" s="312"/>
      <c r="AA42" s="330"/>
      <c r="AB42" s="483"/>
      <c r="AC42" s="333"/>
      <c r="AD42" s="334"/>
      <c r="AE42" s="722" t="s">
        <v>102</v>
      </c>
      <c r="AF42" s="722"/>
      <c r="AG42" s="722"/>
      <c r="AH42" s="722"/>
      <c r="AI42" s="722"/>
      <c r="AJ42" s="94"/>
      <c r="AK42" s="94"/>
      <c r="AL42" s="80"/>
      <c r="AM42" s="95"/>
      <c r="AN42" s="94"/>
      <c r="AO42" s="96"/>
      <c r="AP42" s="95"/>
      <c r="AQ42" s="94"/>
      <c r="AR42" s="96"/>
      <c r="AS42" s="94"/>
      <c r="AT42" s="94"/>
      <c r="AU42" s="94"/>
      <c r="AV42" s="188"/>
      <c r="AW42" s="189"/>
      <c r="AX42" s="190"/>
      <c r="AY42" s="95"/>
      <c r="AZ42" s="94"/>
      <c r="BA42" s="96"/>
      <c r="BB42" s="94"/>
      <c r="BC42" s="94"/>
      <c r="BD42" s="94"/>
      <c r="BE42" s="94"/>
      <c r="BF42" s="94"/>
      <c r="BG42" s="94"/>
      <c r="BH42" s="96"/>
    </row>
    <row r="43" spans="1:60" ht="24.75" customHeight="1" thickBot="1" x14ac:dyDescent="0.35">
      <c r="A43" s="664"/>
      <c r="B43" s="665"/>
      <c r="C43" s="680" t="s">
        <v>103</v>
      </c>
      <c r="D43" s="681"/>
      <c r="E43" s="681"/>
      <c r="F43" s="682"/>
      <c r="G43" s="668">
        <f>SUM(G3:G18)</f>
        <v>0</v>
      </c>
      <c r="H43" s="669"/>
      <c r="I43" s="670"/>
      <c r="J43" s="336">
        <f>SUM($P$3:$P$18)</f>
        <v>0</v>
      </c>
      <c r="K43" s="97"/>
      <c r="L43" s="98"/>
      <c r="M43" s="98"/>
      <c r="N43" s="97"/>
      <c r="O43" s="97"/>
      <c r="P43" s="97"/>
      <c r="Q43" s="337">
        <f>IF(R43=0,0,J43/R43)</f>
        <v>0</v>
      </c>
      <c r="R43" s="338">
        <f>R39+R40+R41</f>
        <v>0</v>
      </c>
      <c r="S43" s="335"/>
      <c r="T43" s="93"/>
      <c r="U43" s="93"/>
      <c r="V43" s="93"/>
      <c r="W43" s="93"/>
      <c r="X43" s="339">
        <f>SUM(X39:X41)</f>
        <v>0</v>
      </c>
      <c r="Y43" s="339">
        <f>SUM(Y39:Y41)</f>
        <v>0</v>
      </c>
      <c r="Z43" s="312"/>
      <c r="AA43" s="339">
        <f>IF(J43&gt;500,125000*$AJ$38,J43*250*$AJ$38)</f>
        <v>0</v>
      </c>
      <c r="AB43" s="603" t="s">
        <v>737</v>
      </c>
      <c r="AC43" s="604"/>
      <c r="AD43" s="605"/>
      <c r="AE43" s="579">
        <f>SUM(AE39:AI41)</f>
        <v>0</v>
      </c>
      <c r="AF43" s="580"/>
      <c r="AG43" s="580"/>
      <c r="AH43" s="580"/>
      <c r="AI43" s="581"/>
      <c r="AJ43" s="582">
        <f ca="1">IF(BH43&gt;0,AE43/BH43,0)</f>
        <v>0</v>
      </c>
      <c r="AK43" s="583"/>
      <c r="AL43" s="80"/>
      <c r="AM43" s="340"/>
      <c r="AN43" s="341"/>
      <c r="AO43" s="342"/>
      <c r="AP43" s="340"/>
      <c r="AQ43" s="341"/>
      <c r="AR43" s="342"/>
      <c r="AS43" s="341"/>
      <c r="AT43" s="341"/>
      <c r="AU43" s="342"/>
      <c r="AV43" s="99">
        <f t="shared" ref="AV43:BA43" ca="1" si="60">(SUM(AV3:AV38))</f>
        <v>0</v>
      </c>
      <c r="AW43" s="100">
        <f t="shared" si="60"/>
        <v>0</v>
      </c>
      <c r="AX43" s="101">
        <f t="shared" si="60"/>
        <v>0</v>
      </c>
      <c r="AY43" s="99">
        <f t="shared" ca="1" si="60"/>
        <v>0</v>
      </c>
      <c r="AZ43" s="100">
        <f t="shared" si="60"/>
        <v>0</v>
      </c>
      <c r="BA43" s="100">
        <f t="shared" si="60"/>
        <v>0</v>
      </c>
      <c r="BB43" s="102"/>
      <c r="BC43" s="102"/>
      <c r="BD43" s="103"/>
      <c r="BE43" s="102"/>
      <c r="BF43" s="102"/>
      <c r="BG43" s="103"/>
      <c r="BH43" s="184">
        <f ca="1">SUM(BH39:BH41)</f>
        <v>0</v>
      </c>
    </row>
    <row r="44" spans="1:60" ht="12" customHeight="1" thickBot="1" x14ac:dyDescent="0.35">
      <c r="A44" s="664"/>
      <c r="B44" s="665"/>
      <c r="C44" s="491"/>
      <c r="D44" s="492"/>
      <c r="E44" s="492"/>
      <c r="F44" s="492"/>
      <c r="G44" s="343"/>
      <c r="H44" s="343"/>
      <c r="I44" s="343"/>
      <c r="J44" s="343"/>
      <c r="K44" s="104"/>
      <c r="L44" s="105"/>
      <c r="M44" s="105"/>
      <c r="N44" s="104"/>
      <c r="O44" s="104"/>
      <c r="P44" s="104"/>
      <c r="Q44" s="344"/>
      <c r="R44" s="334"/>
      <c r="S44" s="490"/>
      <c r="T44" s="93"/>
      <c r="U44" s="93"/>
      <c r="V44" s="93"/>
      <c r="W44" s="93"/>
      <c r="X44" s="345"/>
      <c r="Y44" s="346"/>
      <c r="Z44" s="312"/>
      <c r="AA44" s="346"/>
      <c r="AB44" s="312"/>
      <c r="AC44" s="312"/>
      <c r="AD44" s="312"/>
      <c r="AE44" s="307"/>
      <c r="AF44" s="307"/>
      <c r="AG44" s="307"/>
      <c r="AH44" s="307"/>
      <c r="AI44" s="307"/>
      <c r="AJ44" s="106"/>
      <c r="AK44" s="107"/>
      <c r="AL44" s="80"/>
      <c r="AM44" s="340"/>
      <c r="AN44" s="341"/>
      <c r="AO44" s="342"/>
      <c r="AP44" s="340"/>
      <c r="AQ44" s="341"/>
      <c r="AR44" s="342"/>
      <c r="AS44" s="341"/>
      <c r="AT44" s="341"/>
      <c r="AU44" s="342"/>
      <c r="AV44" s="305"/>
      <c r="AW44" s="306"/>
      <c r="AX44" s="306"/>
      <c r="AY44" s="108"/>
      <c r="AZ44" s="108"/>
      <c r="BA44" s="109"/>
      <c r="BB44" s="89"/>
      <c r="BC44" s="89"/>
      <c r="BD44" s="90"/>
      <c r="BE44" s="89"/>
      <c r="BF44" s="89"/>
      <c r="BG44" s="90"/>
      <c r="BH44" s="347"/>
    </row>
    <row r="45" spans="1:60" ht="21" customHeight="1" x14ac:dyDescent="0.3">
      <c r="A45" s="664"/>
      <c r="B45" s="665"/>
      <c r="C45" s="693" t="s">
        <v>742</v>
      </c>
      <c r="D45" s="694"/>
      <c r="E45" s="694"/>
      <c r="F45" s="695"/>
      <c r="G45" s="718">
        <v>11400</v>
      </c>
      <c r="H45" s="719"/>
      <c r="I45" s="719"/>
      <c r="J45" s="697" t="str">
        <f>LOOKUP(G45,LijstWM!A:A,LijstWM!B:B)</f>
        <v>Woonhaven Antwerpen</v>
      </c>
      <c r="K45" s="697"/>
      <c r="L45" s="697"/>
      <c r="M45" s="697"/>
      <c r="N45" s="697"/>
      <c r="O45" s="697"/>
      <c r="P45" s="697"/>
      <c r="Q45" s="697"/>
      <c r="R45" s="697"/>
      <c r="S45" s="697"/>
      <c r="T45" s="697"/>
      <c r="U45" s="697"/>
      <c r="V45" s="697"/>
      <c r="W45" s="697"/>
      <c r="X45" s="697"/>
      <c r="Y45" s="698"/>
      <c r="Z45" s="606" t="s">
        <v>104</v>
      </c>
      <c r="AA45" s="606"/>
      <c r="AB45" s="606"/>
      <c r="AC45" s="606"/>
      <c r="AD45" s="607"/>
      <c r="AE45" s="533" t="s">
        <v>105</v>
      </c>
      <c r="AF45" s="534"/>
      <c r="AG45" s="534"/>
      <c r="AH45" s="534"/>
      <c r="AI45" s="534"/>
      <c r="AJ45" s="532">
        <f>IF(G39&gt;0,AE39/G39,0)</f>
        <v>0</v>
      </c>
      <c r="AK45" s="532"/>
      <c r="AL45" s="80"/>
      <c r="AM45" s="340"/>
      <c r="AN45" s="341"/>
      <c r="AO45" s="342"/>
      <c r="AP45" s="340"/>
      <c r="AQ45" s="341"/>
      <c r="AR45" s="342"/>
      <c r="AS45" s="341"/>
      <c r="AT45" s="341"/>
      <c r="AU45" s="342"/>
      <c r="AV45" s="305"/>
      <c r="AW45" s="306"/>
      <c r="AX45" s="306"/>
      <c r="AY45" s="110">
        <f>AE39</f>
        <v>0</v>
      </c>
      <c r="AZ45" s="110">
        <f>AE40</f>
        <v>0</v>
      </c>
      <c r="BA45" s="111">
        <f>AE41</f>
        <v>0</v>
      </c>
      <c r="BB45" s="102"/>
      <c r="BC45" s="102"/>
      <c r="BD45" s="103"/>
      <c r="BE45" s="102"/>
      <c r="BF45" s="102"/>
      <c r="BG45" s="103"/>
      <c r="BH45" s="707" t="s">
        <v>106</v>
      </c>
    </row>
    <row r="46" spans="1:60" ht="21" customHeight="1" thickBot="1" x14ac:dyDescent="0.35">
      <c r="A46" s="664"/>
      <c r="B46" s="665"/>
      <c r="C46" s="635" t="s">
        <v>107</v>
      </c>
      <c r="D46" s="601"/>
      <c r="E46" s="601"/>
      <c r="F46" s="602"/>
      <c r="G46" s="686" t="s">
        <v>108</v>
      </c>
      <c r="H46" s="687"/>
      <c r="I46" s="687"/>
      <c r="J46" s="687"/>
      <c r="K46" s="687"/>
      <c r="L46" s="687"/>
      <c r="M46" s="687"/>
      <c r="N46" s="687"/>
      <c r="O46" s="687"/>
      <c r="P46" s="687"/>
      <c r="Q46" s="687"/>
      <c r="R46" s="687"/>
      <c r="S46" s="687"/>
      <c r="T46" s="687"/>
      <c r="U46" s="687"/>
      <c r="V46" s="687"/>
      <c r="W46" s="687"/>
      <c r="X46" s="687"/>
      <c r="Y46" s="688"/>
      <c r="Z46" s="723" t="s">
        <v>109</v>
      </c>
      <c r="AA46" s="724"/>
      <c r="AB46" s="724"/>
      <c r="AC46" s="724"/>
      <c r="AD46" s="725"/>
      <c r="AE46" s="715" t="s">
        <v>110</v>
      </c>
      <c r="AF46" s="716"/>
      <c r="AG46" s="716"/>
      <c r="AH46" s="716"/>
      <c r="AI46" s="716"/>
      <c r="AJ46" s="721">
        <f ca="1">AV47*AJ39</f>
        <v>0</v>
      </c>
      <c r="AK46" s="721"/>
      <c r="AL46" s="80"/>
      <c r="AM46" s="340"/>
      <c r="AN46" s="341"/>
      <c r="AO46" s="342"/>
      <c r="AP46" s="340"/>
      <c r="AQ46" s="341"/>
      <c r="AR46" s="342"/>
      <c r="AS46" s="341"/>
      <c r="AT46" s="341"/>
      <c r="AU46" s="342"/>
      <c r="AV46" s="711" t="s">
        <v>111</v>
      </c>
      <c r="AW46" s="712"/>
      <c r="AX46" s="712"/>
      <c r="AY46" s="112" t="e">
        <f ca="1">AY45/AY43</f>
        <v>#DIV/0!</v>
      </c>
      <c r="AZ46" s="112" t="e">
        <f>AZ45/AZ43</f>
        <v>#DIV/0!</v>
      </c>
      <c r="BA46" s="113" t="e">
        <f>BA45/BA43</f>
        <v>#DIV/0!</v>
      </c>
      <c r="BB46" s="102"/>
      <c r="BC46" s="102"/>
      <c r="BD46" s="103"/>
      <c r="BE46" s="102"/>
      <c r="BF46" s="102"/>
      <c r="BG46" s="103"/>
      <c r="BH46" s="708"/>
    </row>
    <row r="47" spans="1:60" ht="21" customHeight="1" thickBot="1" x14ac:dyDescent="0.35">
      <c r="A47" s="664"/>
      <c r="B47" s="665"/>
      <c r="C47" s="635" t="s">
        <v>112</v>
      </c>
      <c r="D47" s="601"/>
      <c r="E47" s="601"/>
      <c r="F47" s="602"/>
      <c r="G47" s="639" t="s">
        <v>113</v>
      </c>
      <c r="H47" s="640"/>
      <c r="I47" s="640"/>
      <c r="J47" s="640"/>
      <c r="K47" s="640"/>
      <c r="L47" s="640"/>
      <c r="M47" s="640"/>
      <c r="N47" s="640"/>
      <c r="O47" s="640"/>
      <c r="P47" s="640"/>
      <c r="Q47" s="640"/>
      <c r="R47" s="640"/>
      <c r="S47" s="640"/>
      <c r="T47" s="640"/>
      <c r="U47" s="640"/>
      <c r="V47" s="640"/>
      <c r="W47" s="640"/>
      <c r="X47" s="640"/>
      <c r="Y47" s="641"/>
      <c r="Z47" s="723"/>
      <c r="AA47" s="724"/>
      <c r="AB47" s="724"/>
      <c r="AC47" s="724"/>
      <c r="AD47" s="725"/>
      <c r="AE47" s="715" t="s">
        <v>114</v>
      </c>
      <c r="AF47" s="716"/>
      <c r="AG47" s="716"/>
      <c r="AH47" s="716"/>
      <c r="AI47" s="716"/>
      <c r="AJ47" s="710">
        <f>IF(G40&gt;0,AE40/G40,0)</f>
        <v>0</v>
      </c>
      <c r="AK47" s="710"/>
      <c r="AL47" s="80"/>
      <c r="AM47" s="340"/>
      <c r="AN47" s="341"/>
      <c r="AO47" s="342"/>
      <c r="AP47" s="340"/>
      <c r="AQ47" s="341"/>
      <c r="AR47" s="342"/>
      <c r="AS47" s="341"/>
      <c r="AT47" s="341"/>
      <c r="AU47" s="342"/>
      <c r="AV47" s="99">
        <f>IF(AP38&gt;0,AV43/AP38,0)</f>
        <v>0</v>
      </c>
      <c r="AW47" s="100">
        <f>IF(AQ38&gt;0,AW43/AQ38,0)</f>
        <v>0</v>
      </c>
      <c r="AX47" s="101">
        <f>IF(AR38&gt;0,AX43/AR38,0)</f>
        <v>0</v>
      </c>
      <c r="AY47" s="114">
        <f>IF(AM38&gt;0,AY45/AM38,0)</f>
        <v>0</v>
      </c>
      <c r="AZ47" s="114">
        <f>IF(AN38&gt;0,AZ45/AN38,0)</f>
        <v>0</v>
      </c>
      <c r="BA47" s="114">
        <f>IF(AO38&gt;0,BA45/AO38,0)</f>
        <v>0</v>
      </c>
      <c r="BB47" s="102"/>
      <c r="BC47" s="102"/>
      <c r="BD47" s="103"/>
      <c r="BE47" s="102"/>
      <c r="BF47" s="102"/>
      <c r="BG47" s="103"/>
      <c r="BH47" s="708"/>
    </row>
    <row r="48" spans="1:60" ht="21" customHeight="1" thickBot="1" x14ac:dyDescent="0.35">
      <c r="A48" s="666"/>
      <c r="B48" s="667"/>
      <c r="C48" s="636" t="s">
        <v>115</v>
      </c>
      <c r="D48" s="637"/>
      <c r="E48" s="637"/>
      <c r="F48" s="638"/>
      <c r="G48" s="642" t="s">
        <v>116</v>
      </c>
      <c r="H48" s="643"/>
      <c r="I48" s="643"/>
      <c r="J48" s="643"/>
      <c r="K48" s="643"/>
      <c r="L48" s="643"/>
      <c r="M48" s="643"/>
      <c r="N48" s="643"/>
      <c r="O48" s="643"/>
      <c r="P48" s="643"/>
      <c r="Q48" s="643"/>
      <c r="R48" s="643"/>
      <c r="S48" s="643"/>
      <c r="T48" s="643"/>
      <c r="U48" s="643"/>
      <c r="V48" s="643"/>
      <c r="W48" s="643"/>
      <c r="X48" s="643"/>
      <c r="Y48" s="644"/>
      <c r="Z48" s="726"/>
      <c r="AA48" s="727"/>
      <c r="AB48" s="727"/>
      <c r="AC48" s="727"/>
      <c r="AD48" s="728"/>
      <c r="AE48" s="713" t="s">
        <v>117</v>
      </c>
      <c r="AF48" s="714"/>
      <c r="AG48" s="714"/>
      <c r="AH48" s="714"/>
      <c r="AI48" s="714"/>
      <c r="AJ48" s="535">
        <f>AW47*AJ40</f>
        <v>0</v>
      </c>
      <c r="AK48" s="535"/>
      <c r="AL48" s="115"/>
      <c r="AM48" s="350"/>
      <c r="AN48" s="351"/>
      <c r="AO48" s="352"/>
      <c r="AP48" s="350"/>
      <c r="AQ48" s="351"/>
      <c r="AR48" s="352"/>
      <c r="AS48" s="351"/>
      <c r="AT48" s="351"/>
      <c r="AU48" s="352"/>
      <c r="AV48" s="348"/>
      <c r="AW48" s="349"/>
      <c r="AX48" s="349"/>
      <c r="AY48" s="116"/>
      <c r="AZ48" s="116"/>
      <c r="BA48" s="117"/>
      <c r="BB48" s="118"/>
      <c r="BC48" s="118"/>
      <c r="BD48" s="119"/>
      <c r="BE48" s="118"/>
      <c r="BF48" s="118"/>
      <c r="BG48" s="119"/>
      <c r="BH48" s="709"/>
    </row>
    <row r="49" spans="1:61" s="78" customFormat="1" ht="17.399999999999999" customHeight="1" x14ac:dyDescent="0.3">
      <c r="A49" s="608" t="str">
        <f>Y60</f>
        <v>Naam inschrijver</v>
      </c>
      <c r="B49" s="609"/>
      <c r="C49" s="590" t="str">
        <f>IF(C39="Nieuwbouw","Berekening maximum verkoopprijs bouwgrond CBO HUUR","Berekening maximum verkoopprijs grond + gebouw CBO HUUR")</f>
        <v>Berekening maximum verkoopprijs grond + gebouw CBO HUUR</v>
      </c>
      <c r="D49" s="591"/>
      <c r="E49" s="591"/>
      <c r="F49" s="591"/>
      <c r="G49" s="591"/>
      <c r="H49" s="591"/>
      <c r="I49" s="591"/>
      <c r="J49" s="591"/>
      <c r="K49" s="591"/>
      <c r="L49" s="591"/>
      <c r="M49" s="591"/>
      <c r="N49" s="591"/>
      <c r="O49" s="591"/>
      <c r="P49" s="591"/>
      <c r="Q49" s="591"/>
      <c r="R49" s="591"/>
      <c r="S49" s="152"/>
      <c r="T49" s="584" t="str">
        <f>IF(C39="Nieuwbouw","Berekening maximum verkoopprijs bouwgrond CBO KOOP","Berekening maximum verkoopprijs grond + gebouw CBO KOOP")</f>
        <v>Berekening maximum verkoopprijs grond + gebouw CBO KOOP</v>
      </c>
      <c r="U49" s="585"/>
      <c r="V49" s="585"/>
      <c r="W49" s="585"/>
      <c r="X49" s="585"/>
      <c r="Y49" s="585"/>
      <c r="Z49" s="585"/>
      <c r="AA49" s="585"/>
      <c r="AB49" s="586"/>
      <c r="AC49" s="571" t="s">
        <v>118</v>
      </c>
      <c r="AD49" s="572"/>
      <c r="AE49" s="572"/>
      <c r="AF49" s="572"/>
      <c r="AG49" s="572"/>
      <c r="AH49" s="572"/>
      <c r="AI49" s="572"/>
      <c r="AJ49" s="572"/>
      <c r="AK49" s="572"/>
      <c r="AL49" s="572"/>
      <c r="AM49" s="572"/>
      <c r="AN49" s="572"/>
      <c r="AO49" s="572"/>
      <c r="AP49" s="572"/>
      <c r="AQ49" s="572"/>
      <c r="AR49" s="572"/>
      <c r="AS49" s="572"/>
      <c r="AT49" s="572"/>
      <c r="AU49" s="572"/>
      <c r="AV49" s="572"/>
      <c r="AW49" s="572"/>
      <c r="AX49" s="572"/>
      <c r="AY49" s="572"/>
      <c r="AZ49" s="572"/>
      <c r="BA49" s="572"/>
      <c r="BB49" s="572"/>
      <c r="BC49" s="572"/>
      <c r="BD49" s="572"/>
      <c r="BE49" s="572"/>
      <c r="BF49" s="572"/>
      <c r="BG49" s="572"/>
      <c r="BH49" s="573"/>
    </row>
    <row r="50" spans="1:61" s="78" customFormat="1" ht="18" customHeight="1" x14ac:dyDescent="0.3">
      <c r="A50" s="610"/>
      <c r="B50" s="611"/>
      <c r="C50" s="592"/>
      <c r="D50" s="593"/>
      <c r="E50" s="593"/>
      <c r="F50" s="593"/>
      <c r="G50" s="593"/>
      <c r="H50" s="593"/>
      <c r="I50" s="593"/>
      <c r="J50" s="593"/>
      <c r="K50" s="593"/>
      <c r="L50" s="593"/>
      <c r="M50" s="593"/>
      <c r="N50" s="593"/>
      <c r="O50" s="593"/>
      <c r="P50" s="593"/>
      <c r="Q50" s="593"/>
      <c r="R50" s="593"/>
      <c r="S50" s="154"/>
      <c r="T50" s="587"/>
      <c r="U50" s="588"/>
      <c r="V50" s="588"/>
      <c r="W50" s="588"/>
      <c r="X50" s="588"/>
      <c r="Y50" s="588"/>
      <c r="Z50" s="588"/>
      <c r="AA50" s="588"/>
      <c r="AB50" s="589"/>
      <c r="AC50" s="594" t="s">
        <v>119</v>
      </c>
      <c r="AD50" s="595"/>
      <c r="AE50" s="595"/>
      <c r="AF50" s="595"/>
      <c r="AG50" s="595"/>
      <c r="AH50" s="595"/>
      <c r="AI50" s="595"/>
      <c r="AJ50" s="595"/>
      <c r="AK50" s="595"/>
      <c r="AL50" s="595"/>
      <c r="AM50" s="595"/>
      <c r="AN50" s="595"/>
      <c r="AO50" s="595"/>
      <c r="AP50" s="595"/>
      <c r="AQ50" s="595"/>
      <c r="AR50" s="595"/>
      <c r="AS50" s="595"/>
      <c r="AT50" s="595"/>
      <c r="AU50" s="595"/>
      <c r="AV50" s="595"/>
      <c r="AW50" s="595"/>
      <c r="AX50" s="595"/>
      <c r="AY50" s="595"/>
      <c r="AZ50" s="595"/>
      <c r="BA50" s="595"/>
      <c r="BB50" s="595"/>
      <c r="BC50" s="595"/>
      <c r="BD50" s="595"/>
      <c r="BE50" s="595"/>
      <c r="BF50" s="595"/>
      <c r="BG50" s="595"/>
      <c r="BH50" s="596"/>
    </row>
    <row r="51" spans="1:61" s="78" customFormat="1" ht="18" customHeight="1" x14ac:dyDescent="0.3">
      <c r="A51" s="610"/>
      <c r="B51" s="611"/>
      <c r="C51" s="547" t="s">
        <v>688</v>
      </c>
      <c r="D51" s="547"/>
      <c r="E51" s="547"/>
      <c r="F51" s="144"/>
      <c r="G51" s="617" t="s">
        <v>92</v>
      </c>
      <c r="H51" s="617"/>
      <c r="I51" s="617" t="s">
        <v>120</v>
      </c>
      <c r="J51" s="617"/>
      <c r="K51" s="144"/>
      <c r="L51" s="144"/>
      <c r="M51" s="144"/>
      <c r="N51" s="144"/>
      <c r="O51" s="144"/>
      <c r="P51" s="144"/>
      <c r="Q51" s="617" t="s">
        <v>121</v>
      </c>
      <c r="R51" s="617"/>
      <c r="S51" s="154"/>
      <c r="T51" s="700" t="s">
        <v>695</v>
      </c>
      <c r="U51" s="701"/>
      <c r="V51" s="701"/>
      <c r="W51" s="701"/>
      <c r="X51" s="701"/>
      <c r="Y51" s="142"/>
      <c r="Z51" s="142"/>
      <c r="AA51" s="565">
        <v>0</v>
      </c>
      <c r="AB51" s="566"/>
      <c r="AC51" s="161"/>
      <c r="AD51" s="141"/>
      <c r="AE51" s="142"/>
      <c r="AF51" s="142"/>
      <c r="AG51" s="597" t="s">
        <v>122</v>
      </c>
      <c r="AH51" s="597"/>
      <c r="AI51" s="597"/>
      <c r="AJ51" s="597"/>
      <c r="AK51" s="141" t="s">
        <v>123</v>
      </c>
      <c r="AL51" s="163"/>
      <c r="AM51" s="163"/>
      <c r="AN51" s="163"/>
      <c r="AO51" s="163"/>
      <c r="AP51" s="163"/>
      <c r="AQ51" s="163"/>
      <c r="AR51" s="163"/>
      <c r="AS51" s="163"/>
      <c r="AT51" s="163"/>
      <c r="AU51" s="163"/>
      <c r="AV51" s="163"/>
      <c r="AW51" s="163"/>
      <c r="AX51" s="163"/>
      <c r="AY51" s="163"/>
      <c r="AZ51" s="163"/>
      <c r="BA51" s="163"/>
      <c r="BB51" s="120"/>
      <c r="BC51" s="120"/>
      <c r="BD51" s="120"/>
      <c r="BE51" s="163"/>
      <c r="BF51" s="163"/>
      <c r="BG51" s="163"/>
      <c r="BH51" s="168" t="s">
        <v>124</v>
      </c>
    </row>
    <row r="52" spans="1:61" s="78" customFormat="1" ht="18" customHeight="1" x14ac:dyDescent="0.3">
      <c r="A52" s="610"/>
      <c r="B52" s="611"/>
      <c r="C52" s="543" t="s">
        <v>125</v>
      </c>
      <c r="D52" s="543"/>
      <c r="E52" s="543"/>
      <c r="F52" s="144"/>
      <c r="G52" s="699">
        <v>0</v>
      </c>
      <c r="H52" s="699"/>
      <c r="I52" s="625">
        <v>33900</v>
      </c>
      <c r="J52" s="625"/>
      <c r="K52" s="625"/>
      <c r="L52" s="145"/>
      <c r="M52" s="144"/>
      <c r="N52" s="144"/>
      <c r="O52" s="144"/>
      <c r="P52" s="144"/>
      <c r="Q52" s="625">
        <f>G52*I52</f>
        <v>0</v>
      </c>
      <c r="R52" s="625"/>
      <c r="S52" s="692"/>
      <c r="T52" s="174"/>
      <c r="U52" s="354"/>
      <c r="V52" s="354"/>
      <c r="W52" s="354"/>
      <c r="X52" s="138"/>
      <c r="Y52" s="142"/>
      <c r="Z52" s="142"/>
      <c r="AA52" s="142"/>
      <c r="AB52" s="160"/>
      <c r="AC52" s="598" t="s">
        <v>689</v>
      </c>
      <c r="AD52" s="575"/>
      <c r="AE52" s="575"/>
      <c r="AF52" s="575"/>
      <c r="AG52" s="575"/>
      <c r="AH52" s="570">
        <f ca="1">AH53+AH54</f>
        <v>0</v>
      </c>
      <c r="AI52" s="570"/>
      <c r="AJ52" s="570"/>
      <c r="AK52" s="574">
        <f ca="1">IF(AH52=0,0,BH52/AH52)</f>
        <v>0</v>
      </c>
      <c r="AL52" s="574"/>
      <c r="AM52" s="166"/>
      <c r="AN52" s="166"/>
      <c r="AO52" s="166"/>
      <c r="AP52" s="166"/>
      <c r="AQ52" s="166"/>
      <c r="AR52" s="166"/>
      <c r="AS52" s="166"/>
      <c r="AT52" s="166"/>
      <c r="AU52" s="166"/>
      <c r="AV52" s="166"/>
      <c r="AW52" s="166"/>
      <c r="AX52" s="166"/>
      <c r="AY52" s="166"/>
      <c r="AZ52" s="166"/>
      <c r="BA52" s="166"/>
      <c r="BB52" s="120"/>
      <c r="BC52" s="120"/>
      <c r="BD52" s="120"/>
      <c r="BE52" s="166"/>
      <c r="BF52" s="166"/>
      <c r="BG52" s="166"/>
      <c r="BH52" s="167">
        <f>BH53+BH54</f>
        <v>0</v>
      </c>
    </row>
    <row r="53" spans="1:61" s="78" customFormat="1" ht="18" customHeight="1" x14ac:dyDescent="0.3">
      <c r="A53" s="610"/>
      <c r="B53" s="611"/>
      <c r="C53" s="543" t="s">
        <v>126</v>
      </c>
      <c r="D53" s="543"/>
      <c r="E53" s="543"/>
      <c r="F53" s="144"/>
      <c r="G53" s="624">
        <v>0</v>
      </c>
      <c r="H53" s="624"/>
      <c r="I53" s="625">
        <v>28300</v>
      </c>
      <c r="J53" s="625"/>
      <c r="K53" s="625"/>
      <c r="L53" s="145"/>
      <c r="M53" s="144"/>
      <c r="N53" s="144"/>
      <c r="O53" s="144"/>
      <c r="P53" s="144"/>
      <c r="Q53" s="625">
        <f>G53*I53</f>
        <v>0</v>
      </c>
      <c r="R53" s="625"/>
      <c r="S53" s="692"/>
      <c r="T53" s="700" t="s">
        <v>127</v>
      </c>
      <c r="U53" s="701"/>
      <c r="V53" s="701"/>
      <c r="W53" s="701"/>
      <c r="X53" s="701"/>
      <c r="Y53" s="181">
        <v>1</v>
      </c>
      <c r="Z53" s="142"/>
      <c r="AA53" s="570">
        <f>AA51*Y53</f>
        <v>0</v>
      </c>
      <c r="AB53" s="618"/>
      <c r="AC53" s="576" t="s">
        <v>128</v>
      </c>
      <c r="AD53" s="522"/>
      <c r="AE53" s="522"/>
      <c r="AF53" s="522"/>
      <c r="AG53" s="522"/>
      <c r="AH53" s="575">
        <f ca="1">BH39</f>
        <v>0</v>
      </c>
      <c r="AI53" s="575"/>
      <c r="AJ53" s="575"/>
      <c r="AK53" s="164" t="s">
        <v>129</v>
      </c>
      <c r="AL53" s="162"/>
      <c r="AM53" s="162"/>
      <c r="AN53" s="162"/>
      <c r="AO53" s="162"/>
      <c r="AP53" s="162"/>
      <c r="AQ53" s="162"/>
      <c r="AR53" s="162"/>
      <c r="AS53" s="162"/>
      <c r="AT53" s="162"/>
      <c r="AU53" s="162"/>
      <c r="AV53" s="162"/>
      <c r="AW53" s="162"/>
      <c r="AX53" s="162"/>
      <c r="AY53" s="162"/>
      <c r="AZ53" s="162"/>
      <c r="BA53" s="162"/>
      <c r="BB53" s="120"/>
      <c r="BC53" s="120"/>
      <c r="BD53" s="120"/>
      <c r="BE53" s="162"/>
      <c r="BF53" s="162"/>
      <c r="BG53" s="162"/>
      <c r="BH53" s="159">
        <f>AE39</f>
        <v>0</v>
      </c>
    </row>
    <row r="54" spans="1:61" s="78" customFormat="1" ht="18" customHeight="1" x14ac:dyDescent="0.3">
      <c r="A54" s="610"/>
      <c r="B54" s="611"/>
      <c r="C54" s="543" t="s">
        <v>130</v>
      </c>
      <c r="D54" s="543"/>
      <c r="E54" s="543"/>
      <c r="F54" s="144"/>
      <c r="G54" s="717">
        <v>0</v>
      </c>
      <c r="H54" s="717"/>
      <c r="I54" s="575">
        <v>11500</v>
      </c>
      <c r="J54" s="575"/>
      <c r="K54" s="575"/>
      <c r="L54" s="145"/>
      <c r="M54" s="144"/>
      <c r="N54" s="144"/>
      <c r="O54" s="144"/>
      <c r="P54" s="144"/>
      <c r="Q54" s="625">
        <f>G54*I54</f>
        <v>0</v>
      </c>
      <c r="R54" s="625"/>
      <c r="S54" s="692"/>
      <c r="T54" s="174"/>
      <c r="U54" s="354"/>
      <c r="V54" s="354"/>
      <c r="W54" s="354"/>
      <c r="X54" s="588" t="str">
        <f>IF(C39="Nieuwbouw","Maximum verkoopprijs grondaandeel CBO KOOP","Maximum verkoopprijs gebouw met grond CBO Koop")</f>
        <v>Maximum verkoopprijs gebouw met grond CBO Koop</v>
      </c>
      <c r="Y54" s="588"/>
      <c r="Z54" s="142"/>
      <c r="AA54" s="627">
        <f>AA53</f>
        <v>0</v>
      </c>
      <c r="AB54" s="628"/>
      <c r="AC54" s="598" t="s">
        <v>131</v>
      </c>
      <c r="AD54" s="575"/>
      <c r="AE54" s="575"/>
      <c r="AF54" s="575"/>
      <c r="AG54" s="575"/>
      <c r="AH54" s="575">
        <f>BH40</f>
        <v>0</v>
      </c>
      <c r="AI54" s="575"/>
      <c r="AJ54" s="575"/>
      <c r="AK54" s="164" t="s">
        <v>132</v>
      </c>
      <c r="AL54" s="162"/>
      <c r="AM54" s="162"/>
      <c r="AN54" s="162"/>
      <c r="AO54" s="162"/>
      <c r="AP54" s="162"/>
      <c r="AQ54" s="162"/>
      <c r="AR54" s="162"/>
      <c r="AS54" s="162"/>
      <c r="AT54" s="162"/>
      <c r="AU54" s="162"/>
      <c r="AV54" s="162"/>
      <c r="AW54" s="162"/>
      <c r="AX54" s="162"/>
      <c r="AY54" s="162"/>
      <c r="AZ54" s="162"/>
      <c r="BA54" s="162"/>
      <c r="BB54" s="120"/>
      <c r="BC54" s="120"/>
      <c r="BD54" s="120"/>
      <c r="BE54" s="162"/>
      <c r="BF54" s="162"/>
      <c r="BG54" s="162"/>
      <c r="BH54" s="159">
        <f>AE40</f>
        <v>0</v>
      </c>
    </row>
    <row r="55" spans="1:61" s="78" customFormat="1" ht="18" customHeight="1" x14ac:dyDescent="0.3">
      <c r="A55" s="610"/>
      <c r="B55" s="611"/>
      <c r="C55" s="543" t="s">
        <v>133</v>
      </c>
      <c r="D55" s="543"/>
      <c r="E55" s="543"/>
      <c r="F55" s="144"/>
      <c r="G55" s="720">
        <v>0</v>
      </c>
      <c r="H55" s="720"/>
      <c r="I55" s="619">
        <v>11500</v>
      </c>
      <c r="J55" s="619"/>
      <c r="K55" s="619"/>
      <c r="L55" s="145"/>
      <c r="M55" s="144"/>
      <c r="N55" s="144"/>
      <c r="O55" s="144"/>
      <c r="P55" s="144"/>
      <c r="Q55" s="625">
        <f>G55*I55</f>
        <v>0</v>
      </c>
      <c r="R55" s="625"/>
      <c r="S55" s="692"/>
      <c r="T55" s="174"/>
      <c r="U55" s="354"/>
      <c r="V55" s="354"/>
      <c r="W55" s="354"/>
      <c r="X55" s="588"/>
      <c r="Y55" s="588"/>
      <c r="Z55" s="182"/>
      <c r="AA55" s="627"/>
      <c r="AB55" s="628"/>
      <c r="AC55" s="576" t="s">
        <v>134</v>
      </c>
      <c r="AD55" s="522"/>
      <c r="AE55" s="522"/>
      <c r="AF55" s="522"/>
      <c r="AG55" s="522"/>
      <c r="AH55" s="570">
        <f ca="1">AH52*0.05</f>
        <v>0</v>
      </c>
      <c r="AI55" s="570"/>
      <c r="AJ55" s="570"/>
      <c r="AK55" s="141" t="s">
        <v>135</v>
      </c>
      <c r="AL55" s="162"/>
      <c r="AM55" s="162"/>
      <c r="AN55" s="162"/>
      <c r="AO55" s="162"/>
      <c r="AP55" s="162"/>
      <c r="AQ55" s="162"/>
      <c r="AR55" s="162"/>
      <c r="AS55" s="162"/>
      <c r="AT55" s="162"/>
      <c r="AU55" s="162"/>
      <c r="AV55" s="162"/>
      <c r="AW55" s="162"/>
      <c r="AX55" s="162"/>
      <c r="AY55" s="162"/>
      <c r="AZ55" s="162"/>
      <c r="BA55" s="162"/>
      <c r="BB55" s="120"/>
      <c r="BC55" s="120"/>
      <c r="BD55" s="120"/>
      <c r="BE55" s="162"/>
      <c r="BF55" s="162"/>
      <c r="BG55" s="162"/>
      <c r="BH55" s="183">
        <f>BH52*0.05</f>
        <v>0</v>
      </c>
    </row>
    <row r="56" spans="1:61" s="78" customFormat="1" ht="19.95" customHeight="1" x14ac:dyDescent="0.3">
      <c r="A56" s="610"/>
      <c r="B56" s="611"/>
      <c r="C56" s="567" t="s">
        <v>136</v>
      </c>
      <c r="D56" s="567"/>
      <c r="E56" s="567"/>
      <c r="F56" s="171"/>
      <c r="G56" s="617"/>
      <c r="H56" s="617"/>
      <c r="I56" s="617"/>
      <c r="J56" s="617"/>
      <c r="K56" s="170"/>
      <c r="L56" s="144"/>
      <c r="M56" s="144"/>
      <c r="N56" s="144"/>
      <c r="O56" s="144"/>
      <c r="P56" s="144"/>
      <c r="Q56" s="629">
        <f>SUM(Q52:T55)</f>
        <v>0</v>
      </c>
      <c r="R56" s="629"/>
      <c r="S56" s="155"/>
      <c r="T56" s="174"/>
      <c r="U56" s="354"/>
      <c r="V56" s="354"/>
      <c r="W56" s="354"/>
      <c r="X56" s="588"/>
      <c r="Y56" s="588"/>
      <c r="Z56" s="182"/>
      <c r="AA56" s="627"/>
      <c r="AB56" s="628"/>
      <c r="AC56" s="576" t="s">
        <v>690</v>
      </c>
      <c r="AD56" s="522"/>
      <c r="AE56" s="522"/>
      <c r="AF56" s="522"/>
      <c r="AG56" s="522"/>
      <c r="AH56" s="570">
        <f ca="1">Q66</f>
        <v>0</v>
      </c>
      <c r="AI56" s="570"/>
      <c r="AJ56" s="570"/>
      <c r="AK56" s="176">
        <f ca="1">IF(AH56&gt;0,BH56/AH56,0)</f>
        <v>0</v>
      </c>
      <c r="AL56" s="162"/>
      <c r="AM56" s="162"/>
      <c r="AN56" s="162"/>
      <c r="AO56" s="162"/>
      <c r="AP56" s="162"/>
      <c r="AQ56" s="162"/>
      <c r="AR56" s="162"/>
      <c r="AS56" s="162"/>
      <c r="AT56" s="162"/>
      <c r="AU56" s="162"/>
      <c r="AV56" s="162"/>
      <c r="AW56" s="162"/>
      <c r="AX56" s="162"/>
      <c r="AY56" s="162"/>
      <c r="AZ56" s="162"/>
      <c r="BA56" s="162"/>
      <c r="BB56" s="120"/>
      <c r="BC56" s="120"/>
      <c r="BD56" s="120"/>
      <c r="BE56" s="162"/>
      <c r="BF56" s="162"/>
      <c r="BG56" s="162"/>
      <c r="BH56" s="180">
        <f ca="1">AH56</f>
        <v>0</v>
      </c>
    </row>
    <row r="57" spans="1:61" s="78" customFormat="1" ht="18" customHeight="1" thickBot="1" x14ac:dyDescent="0.35">
      <c r="A57" s="610"/>
      <c r="B57" s="611"/>
      <c r="C57" s="630" t="s">
        <v>752</v>
      </c>
      <c r="D57" s="630"/>
      <c r="E57" s="630"/>
      <c r="F57" s="146"/>
      <c r="G57" s="631" t="str">
        <f>$Z$46</f>
        <v>HUIZEGEM</v>
      </c>
      <c r="H57" s="631"/>
      <c r="I57" s="631"/>
      <c r="J57" s="631"/>
      <c r="K57" s="147"/>
      <c r="L57" s="148"/>
      <c r="M57" s="148"/>
      <c r="N57" s="148"/>
      <c r="O57" s="148"/>
      <c r="P57" s="148"/>
      <c r="Q57" s="691">
        <f>LOOKUP($G$57,LijstGemeenten!C:C,LijstGemeenten!G:G)</f>
        <v>1</v>
      </c>
      <c r="R57" s="691"/>
      <c r="S57" s="156"/>
      <c r="T57" s="174"/>
      <c r="U57" s="354"/>
      <c r="V57" s="354"/>
      <c r="W57" s="354"/>
      <c r="X57" s="597" t="s">
        <v>137</v>
      </c>
      <c r="Y57" s="597"/>
      <c r="Z57" s="175"/>
      <c r="AA57" s="568">
        <f>IF(G40=0,0,AA54/G40)</f>
        <v>0</v>
      </c>
      <c r="AB57" s="569"/>
      <c r="AC57" s="576" t="s">
        <v>138</v>
      </c>
      <c r="AD57" s="522"/>
      <c r="AE57" s="522"/>
      <c r="AF57" s="522"/>
      <c r="AG57" s="522"/>
      <c r="AH57" s="570">
        <f>AA54</f>
        <v>0</v>
      </c>
      <c r="AI57" s="570"/>
      <c r="AJ57" s="570"/>
      <c r="AK57" s="176">
        <f>IF(AH57=0,0,BH57/AH57)</f>
        <v>0</v>
      </c>
      <c r="AL57" s="162"/>
      <c r="AM57" s="162"/>
      <c r="AN57" s="162"/>
      <c r="AO57" s="162"/>
      <c r="AP57" s="162"/>
      <c r="AQ57" s="162"/>
      <c r="AR57" s="162"/>
      <c r="AS57" s="162"/>
      <c r="AT57" s="162"/>
      <c r="AU57" s="162"/>
      <c r="AV57" s="162"/>
      <c r="AW57" s="162"/>
      <c r="AX57" s="162"/>
      <c r="AY57" s="162"/>
      <c r="AZ57" s="162"/>
      <c r="BA57" s="162"/>
      <c r="BB57" s="120"/>
      <c r="BC57" s="120"/>
      <c r="BD57" s="120"/>
      <c r="BE57" s="162"/>
      <c r="BF57" s="162"/>
      <c r="BG57" s="162"/>
      <c r="BH57" s="180">
        <v>0</v>
      </c>
    </row>
    <row r="58" spans="1:61" s="78" customFormat="1" ht="23.4" customHeight="1" x14ac:dyDescent="0.3">
      <c r="A58" s="610"/>
      <c r="B58" s="611"/>
      <c r="C58" s="149"/>
      <c r="D58" s="149"/>
      <c r="E58" s="149"/>
      <c r="F58" s="172"/>
      <c r="G58" s="626" t="s">
        <v>139</v>
      </c>
      <c r="H58" s="626"/>
      <c r="I58" s="626"/>
      <c r="J58" s="626"/>
      <c r="K58" s="177" t="s">
        <v>140</v>
      </c>
      <c r="L58" s="178"/>
      <c r="M58" s="178"/>
      <c r="N58" s="178"/>
      <c r="O58" s="178"/>
      <c r="P58" s="178"/>
      <c r="Q58" s="515">
        <f>Q56*Q57</f>
        <v>0</v>
      </c>
      <c r="R58" s="515"/>
      <c r="S58" s="154"/>
      <c r="T58" s="516"/>
      <c r="U58" s="517"/>
      <c r="V58" s="517"/>
      <c r="W58" s="517"/>
      <c r="X58" s="517"/>
      <c r="Y58" s="517"/>
      <c r="Z58" s="517"/>
      <c r="AA58" s="517"/>
      <c r="AB58" s="518"/>
      <c r="AC58" s="556" t="s">
        <v>141</v>
      </c>
      <c r="AD58" s="557"/>
      <c r="AE58" s="557"/>
      <c r="AF58" s="557"/>
      <c r="AG58" s="557"/>
      <c r="AH58" s="557"/>
      <c r="AI58" s="557"/>
      <c r="AJ58" s="557"/>
      <c r="AK58" s="558"/>
      <c r="BB58" s="120"/>
      <c r="BC58" s="120"/>
      <c r="BD58" s="120"/>
      <c r="BH58" s="554">
        <f ca="1">SUM(BH53:BH57)</f>
        <v>0</v>
      </c>
    </row>
    <row r="59" spans="1:61" s="139" customFormat="1" ht="18" customHeight="1" thickBot="1" x14ac:dyDescent="0.35">
      <c r="A59" s="610"/>
      <c r="B59" s="611"/>
      <c r="C59" s="185" t="s">
        <v>701</v>
      </c>
      <c r="D59" s="172"/>
      <c r="E59" s="172"/>
      <c r="F59" s="172"/>
      <c r="G59" s="536">
        <v>1</v>
      </c>
      <c r="H59" s="536"/>
      <c r="I59" s="173"/>
      <c r="J59" s="173"/>
      <c r="K59" s="150"/>
      <c r="L59" s="151"/>
      <c r="M59" s="151"/>
      <c r="N59" s="151"/>
      <c r="O59" s="151"/>
      <c r="P59" s="151"/>
      <c r="Q59" s="515">
        <f>Q58*G59</f>
        <v>0</v>
      </c>
      <c r="R59" s="515"/>
      <c r="S59" s="153"/>
      <c r="T59" s="519"/>
      <c r="U59" s="520"/>
      <c r="V59" s="520"/>
      <c r="W59" s="520"/>
      <c r="X59" s="520"/>
      <c r="Y59" s="520"/>
      <c r="Z59" s="520"/>
      <c r="AA59" s="520"/>
      <c r="AB59" s="521"/>
      <c r="AC59" s="559"/>
      <c r="AD59" s="560"/>
      <c r="AE59" s="560"/>
      <c r="AF59" s="560"/>
      <c r="AG59" s="560"/>
      <c r="AH59" s="560"/>
      <c r="AI59" s="560"/>
      <c r="AJ59" s="560"/>
      <c r="AK59" s="561"/>
      <c r="AL59" s="169"/>
      <c r="AM59" s="169"/>
      <c r="AN59" s="169"/>
      <c r="AO59" s="169"/>
      <c r="AP59" s="169"/>
      <c r="AQ59" s="169"/>
      <c r="AR59" s="169"/>
      <c r="AS59" s="169"/>
      <c r="AT59" s="169"/>
      <c r="AU59" s="169"/>
      <c r="AV59" s="169"/>
      <c r="AW59" s="169"/>
      <c r="AX59" s="169"/>
      <c r="AY59" s="169"/>
      <c r="AZ59" s="169"/>
      <c r="BA59" s="169"/>
      <c r="BB59" s="120"/>
      <c r="BC59" s="120"/>
      <c r="BD59" s="120"/>
      <c r="BE59" s="169"/>
      <c r="BF59" s="169"/>
      <c r="BG59" s="169"/>
      <c r="BH59" s="555"/>
      <c r="BI59" s="78"/>
    </row>
    <row r="60" spans="1:61" s="78" customFormat="1" ht="18" customHeight="1" x14ac:dyDescent="0.3">
      <c r="A60" s="610"/>
      <c r="B60" s="611"/>
      <c r="C60" s="542"/>
      <c r="D60" s="543"/>
      <c r="E60" s="543"/>
      <c r="F60" s="543"/>
      <c r="G60" s="543"/>
      <c r="H60" s="543"/>
      <c r="I60" s="543"/>
      <c r="J60" s="543"/>
      <c r="K60" s="144"/>
      <c r="L60" s="144"/>
      <c r="M60" s="144"/>
      <c r="N60" s="144"/>
      <c r="O60" s="144"/>
      <c r="P60" s="144"/>
      <c r="Q60" s="620"/>
      <c r="R60" s="620"/>
      <c r="S60" s="154"/>
      <c r="T60" s="614"/>
      <c r="U60" s="355"/>
      <c r="V60" s="355"/>
      <c r="W60" s="355"/>
      <c r="X60" s="529" t="s">
        <v>142</v>
      </c>
      <c r="Y60" s="530" t="s">
        <v>739</v>
      </c>
      <c r="Z60" s="530"/>
      <c r="AA60" s="530"/>
      <c r="AB60" s="530"/>
      <c r="AC60" s="551" t="s">
        <v>743</v>
      </c>
      <c r="AD60" s="551"/>
      <c r="AE60" s="551"/>
      <c r="AF60" s="553" t="s">
        <v>143</v>
      </c>
      <c r="AG60" s="553"/>
      <c r="AH60" s="553"/>
      <c r="AI60" s="553"/>
      <c r="AJ60" s="553"/>
      <c r="AK60" s="551" t="s">
        <v>144</v>
      </c>
      <c r="AL60" s="551"/>
      <c r="AM60" s="165"/>
      <c r="AN60" s="165"/>
      <c r="AO60" s="165"/>
      <c r="AP60" s="165"/>
      <c r="AQ60" s="165"/>
      <c r="AR60" s="165"/>
      <c r="AS60" s="165"/>
      <c r="AT60" s="165"/>
      <c r="AU60" s="165"/>
      <c r="AV60" s="165"/>
      <c r="AW60" s="165"/>
      <c r="AX60" s="165"/>
      <c r="AY60" s="165"/>
      <c r="AZ60" s="165"/>
      <c r="BA60" s="165"/>
      <c r="BB60" s="120"/>
      <c r="BC60" s="120"/>
      <c r="BD60" s="120"/>
      <c r="BE60" s="165"/>
      <c r="BF60" s="165"/>
      <c r="BG60" s="165"/>
      <c r="BH60" s="562"/>
    </row>
    <row r="61" spans="1:61" s="78" customFormat="1" ht="18" customHeight="1" x14ac:dyDescent="0.3">
      <c r="A61" s="610"/>
      <c r="B61" s="611"/>
      <c r="C61" s="548" t="str">
        <f>IF(C39="Nieuwbouw","","   3. Maximum gebouwwaarde (plafondprijs FS3 nieuwbouw - renovatiekosten)")</f>
        <v xml:space="preserve">   3. Maximum gebouwwaarde (plafondprijs FS3 nieuwbouw - renovatiekosten)</v>
      </c>
      <c r="D61" s="549"/>
      <c r="E61" s="549"/>
      <c r="F61" s="549"/>
      <c r="G61" s="549"/>
      <c r="H61" s="549"/>
      <c r="I61" s="549"/>
      <c r="J61" s="549"/>
      <c r="K61" s="150"/>
      <c r="L61" s="151"/>
      <c r="M61" s="151"/>
      <c r="N61" s="151"/>
      <c r="O61" s="151"/>
      <c r="P61" s="151"/>
      <c r="Q61" s="515">
        <f ca="1">IF(C39="Nieuwbouw","",$BH$43-$AE$43)</f>
        <v>0</v>
      </c>
      <c r="R61" s="515"/>
      <c r="S61" s="154"/>
      <c r="T61" s="615"/>
      <c r="U61" s="355"/>
      <c r="V61" s="355"/>
      <c r="W61" s="355"/>
      <c r="X61" s="529"/>
      <c r="Y61" s="531"/>
      <c r="Z61" s="531"/>
      <c r="AA61" s="531"/>
      <c r="AB61" s="531"/>
      <c r="AC61" s="552"/>
      <c r="AD61" s="552"/>
      <c r="AE61" s="552"/>
      <c r="AF61" s="513"/>
      <c r="AG61" s="513"/>
      <c r="AH61" s="513"/>
      <c r="AI61" s="513"/>
      <c r="AJ61" s="513"/>
      <c r="AK61" s="552"/>
      <c r="AL61" s="552"/>
      <c r="AM61" s="165"/>
      <c r="AN61" s="165"/>
      <c r="AO61" s="165"/>
      <c r="AP61" s="165"/>
      <c r="AQ61" s="165"/>
      <c r="AR61" s="165"/>
      <c r="AS61" s="165"/>
      <c r="AT61" s="165"/>
      <c r="AU61" s="165"/>
      <c r="AV61" s="165"/>
      <c r="AW61" s="165"/>
      <c r="AX61" s="165"/>
      <c r="AY61" s="165"/>
      <c r="AZ61" s="165"/>
      <c r="BA61" s="165"/>
      <c r="BB61" s="120"/>
      <c r="BC61" s="120"/>
      <c r="BD61" s="120"/>
      <c r="BE61" s="165"/>
      <c r="BF61" s="165"/>
      <c r="BG61" s="165"/>
      <c r="BH61" s="563"/>
    </row>
    <row r="62" spans="1:61" s="78" customFormat="1" ht="18" customHeight="1" x14ac:dyDescent="0.3">
      <c r="A62" s="610"/>
      <c r="B62" s="611"/>
      <c r="C62" s="548" t="str">
        <f>IF(C39="Nieuwbouw","","   4. Plafondprijs te renoveren constructie met grond")</f>
        <v xml:space="preserve">   4. Plafondprijs te renoveren constructie met grond</v>
      </c>
      <c r="D62" s="549"/>
      <c r="E62" s="549"/>
      <c r="F62" s="549"/>
      <c r="G62" s="549"/>
      <c r="H62" s="549"/>
      <c r="I62" s="549"/>
      <c r="J62" s="493"/>
      <c r="K62" s="144"/>
      <c r="L62" s="144"/>
      <c r="M62" s="144"/>
      <c r="N62" s="144"/>
      <c r="O62" s="144"/>
      <c r="P62" s="144"/>
      <c r="Q62" s="515">
        <f ca="1">IF(C39="Nieuwbouw","",Q59+Q61)</f>
        <v>0</v>
      </c>
      <c r="R62" s="515"/>
      <c r="S62" s="154"/>
      <c r="T62" s="615"/>
      <c r="U62" s="355"/>
      <c r="V62" s="355"/>
      <c r="W62" s="355"/>
      <c r="X62" s="529"/>
      <c r="Y62" s="531"/>
      <c r="Z62" s="531"/>
      <c r="AA62" s="531"/>
      <c r="AB62" s="531"/>
      <c r="AC62" s="552"/>
      <c r="AD62" s="552"/>
      <c r="AE62" s="552"/>
      <c r="AF62" s="513"/>
      <c r="AG62" s="513"/>
      <c r="AH62" s="513"/>
      <c r="AI62" s="513"/>
      <c r="AJ62" s="513"/>
      <c r="AK62" s="552"/>
      <c r="AL62" s="552"/>
      <c r="AM62" s="165"/>
      <c r="AN62" s="165"/>
      <c r="AO62" s="165"/>
      <c r="AP62" s="165"/>
      <c r="AQ62" s="165"/>
      <c r="AR62" s="165"/>
      <c r="AS62" s="165"/>
      <c r="AT62" s="165"/>
      <c r="AU62" s="165"/>
      <c r="AV62" s="165"/>
      <c r="AW62" s="165"/>
      <c r="AX62" s="165"/>
      <c r="AY62" s="165"/>
      <c r="AZ62" s="165"/>
      <c r="BA62" s="165"/>
      <c r="BB62" s="120"/>
      <c r="BC62" s="120"/>
      <c r="BD62" s="120"/>
      <c r="BE62" s="165"/>
      <c r="BF62" s="165"/>
      <c r="BG62" s="165"/>
      <c r="BH62" s="563"/>
    </row>
    <row r="63" spans="1:61" s="139" customFormat="1" ht="18" customHeight="1" x14ac:dyDescent="0.3">
      <c r="A63" s="610"/>
      <c r="B63" s="611"/>
      <c r="C63" s="546" t="str">
        <f>IF(C39="nieuwbouw","   3. Schattingsprijs bouwgrond","   5. Schattingsprijs te renoveren constructie met grond")</f>
        <v xml:space="preserve">   5. Schattingsprijs te renoveren constructie met grond</v>
      </c>
      <c r="D63" s="547"/>
      <c r="E63" s="547"/>
      <c r="F63" s="547"/>
      <c r="G63" s="547"/>
      <c r="H63" s="547"/>
      <c r="I63" s="547"/>
      <c r="J63" s="547"/>
      <c r="K63" s="143"/>
      <c r="L63" s="143"/>
      <c r="M63" s="143"/>
      <c r="N63" s="143"/>
      <c r="O63" s="143"/>
      <c r="P63" s="143"/>
      <c r="Q63" s="565">
        <v>0</v>
      </c>
      <c r="R63" s="565"/>
      <c r="S63" s="192"/>
      <c r="T63" s="615"/>
      <c r="U63" s="355"/>
      <c r="V63" s="355"/>
      <c r="W63" s="355"/>
      <c r="X63" s="529"/>
      <c r="Y63" s="531"/>
      <c r="Z63" s="531"/>
      <c r="AA63" s="531"/>
      <c r="AB63" s="531"/>
      <c r="AC63" s="552"/>
      <c r="AD63" s="552"/>
      <c r="AE63" s="552"/>
      <c r="AF63" s="513"/>
      <c r="AG63" s="513"/>
      <c r="AH63" s="513"/>
      <c r="AI63" s="513"/>
      <c r="AJ63" s="513"/>
      <c r="AK63" s="552"/>
      <c r="AL63" s="552"/>
      <c r="AM63" s="165"/>
      <c r="AN63" s="165"/>
      <c r="AO63" s="165"/>
      <c r="AP63" s="165"/>
      <c r="AQ63" s="165"/>
      <c r="AR63" s="165"/>
      <c r="AS63" s="165"/>
      <c r="AT63" s="165"/>
      <c r="AU63" s="165"/>
      <c r="AV63" s="165"/>
      <c r="AW63" s="165"/>
      <c r="AX63" s="165"/>
      <c r="AY63" s="165"/>
      <c r="AZ63" s="165"/>
      <c r="BA63" s="165"/>
      <c r="BB63" s="120"/>
      <c r="BC63" s="120"/>
      <c r="BD63" s="120"/>
      <c r="BE63" s="165"/>
      <c r="BF63" s="165"/>
      <c r="BG63" s="165"/>
      <c r="BH63" s="563"/>
      <c r="BI63" s="78"/>
    </row>
    <row r="64" spans="1:61" s="139" customFormat="1" ht="18" customHeight="1" x14ac:dyDescent="0.3">
      <c r="A64" s="610"/>
      <c r="B64" s="611"/>
      <c r="C64" s="191"/>
      <c r="D64" s="191"/>
      <c r="E64" s="479"/>
      <c r="F64" s="479"/>
      <c r="G64" s="479"/>
      <c r="H64" s="479"/>
      <c r="I64" s="479"/>
      <c r="J64" s="479"/>
      <c r="K64" s="479"/>
      <c r="L64" s="479"/>
      <c r="M64" s="479"/>
      <c r="N64" s="479"/>
      <c r="O64" s="479"/>
      <c r="P64" s="479"/>
      <c r="Q64" s="538"/>
      <c r="R64" s="539"/>
      <c r="S64" s="153"/>
      <c r="T64" s="615"/>
      <c r="U64" s="355"/>
      <c r="V64" s="355"/>
      <c r="W64" s="355"/>
      <c r="X64" s="529" t="s">
        <v>145</v>
      </c>
      <c r="Y64" s="528" t="str">
        <f>G46</f>
        <v>Bouwen van xx woningen - ... in …</v>
      </c>
      <c r="Z64" s="528"/>
      <c r="AA64" s="528"/>
      <c r="AB64" s="528"/>
      <c r="AC64" s="522" t="s">
        <v>146</v>
      </c>
      <c r="AD64" s="522"/>
      <c r="AE64" s="522"/>
      <c r="AF64" s="513"/>
      <c r="AG64" s="513"/>
      <c r="AH64" s="513"/>
      <c r="AI64" s="513"/>
      <c r="AJ64" s="513"/>
      <c r="AK64" s="513"/>
      <c r="AL64" s="513"/>
      <c r="AM64" s="513"/>
      <c r="AN64" s="513"/>
      <c r="AO64" s="513"/>
      <c r="AP64" s="513"/>
      <c r="AQ64" s="513"/>
      <c r="AR64" s="513"/>
      <c r="AS64" s="513"/>
      <c r="AT64" s="513"/>
      <c r="AU64" s="513"/>
      <c r="AV64" s="513"/>
      <c r="AW64" s="513"/>
      <c r="AX64" s="513"/>
      <c r="AY64" s="513"/>
      <c r="AZ64" s="513"/>
      <c r="BA64" s="513"/>
      <c r="BB64" s="513"/>
      <c r="BC64" s="513"/>
      <c r="BD64" s="513"/>
      <c r="BE64" s="513"/>
      <c r="BF64" s="513"/>
      <c r="BG64" s="513"/>
      <c r="BH64" s="550"/>
      <c r="BI64" s="78"/>
    </row>
    <row r="65" spans="1:61" s="78" customFormat="1" ht="18" customHeight="1" x14ac:dyDescent="0.3">
      <c r="A65" s="610"/>
      <c r="B65" s="611"/>
      <c r="C65" s="547"/>
      <c r="D65" s="547"/>
      <c r="E65" s="537" t="s">
        <v>741</v>
      </c>
      <c r="F65" s="537"/>
      <c r="G65" s="537"/>
      <c r="H65" s="537"/>
      <c r="I65" s="537"/>
      <c r="J65" s="537"/>
      <c r="K65" s="537"/>
      <c r="L65" s="537"/>
      <c r="M65" s="537"/>
      <c r="N65" s="537"/>
      <c r="O65" s="537"/>
      <c r="P65" s="537"/>
      <c r="Q65" s="537"/>
      <c r="R65" s="537"/>
      <c r="S65" s="154"/>
      <c r="T65" s="615"/>
      <c r="U65" s="355"/>
      <c r="V65" s="355"/>
      <c r="W65" s="355"/>
      <c r="X65" s="529"/>
      <c r="Y65" s="528"/>
      <c r="Z65" s="528"/>
      <c r="AA65" s="528"/>
      <c r="AB65" s="528"/>
      <c r="AC65" s="522"/>
      <c r="AD65" s="522"/>
      <c r="AE65" s="522"/>
      <c r="AF65" s="513"/>
      <c r="AG65" s="513"/>
      <c r="AH65" s="513"/>
      <c r="AI65" s="513"/>
      <c r="AJ65" s="513"/>
      <c r="AK65" s="513"/>
      <c r="AL65" s="513"/>
      <c r="AM65" s="513"/>
      <c r="AN65" s="513"/>
      <c r="AO65" s="513"/>
      <c r="AP65" s="513"/>
      <c r="AQ65" s="513"/>
      <c r="AR65" s="513"/>
      <c r="AS65" s="513"/>
      <c r="AT65" s="513"/>
      <c r="AU65" s="513"/>
      <c r="AV65" s="513"/>
      <c r="AW65" s="513"/>
      <c r="AX65" s="513"/>
      <c r="AY65" s="513"/>
      <c r="AZ65" s="513"/>
      <c r="BA65" s="513"/>
      <c r="BB65" s="513"/>
      <c r="BC65" s="513"/>
      <c r="BD65" s="513"/>
      <c r="BE65" s="513"/>
      <c r="BF65" s="513"/>
      <c r="BG65" s="513"/>
      <c r="BH65" s="550"/>
    </row>
    <row r="66" spans="1:61" s="139" customFormat="1" ht="18" customHeight="1" x14ac:dyDescent="0.3">
      <c r="A66" s="610"/>
      <c r="B66" s="611"/>
      <c r="C66" s="544"/>
      <c r="D66" s="544"/>
      <c r="E66" s="544"/>
      <c r="F66" s="545" t="s">
        <v>700</v>
      </c>
      <c r="G66" s="545"/>
      <c r="H66" s="545"/>
      <c r="I66" s="545"/>
      <c r="J66" s="545"/>
      <c r="K66" s="143"/>
      <c r="L66" s="143"/>
      <c r="M66" s="143"/>
      <c r="N66" s="143"/>
      <c r="O66" s="143"/>
      <c r="P66" s="143"/>
      <c r="Q66" s="621">
        <f ca="1">IF(C39="nieuwbouw",SMALL(Q59:R63,1),SMALL(Q62:R63,1))</f>
        <v>0</v>
      </c>
      <c r="R66" s="621"/>
      <c r="S66" s="153"/>
      <c r="T66" s="615"/>
      <c r="U66" s="355"/>
      <c r="V66" s="355"/>
      <c r="W66" s="355"/>
      <c r="X66" s="529"/>
      <c r="Y66" s="528"/>
      <c r="Z66" s="528"/>
      <c r="AA66" s="528"/>
      <c r="AB66" s="528"/>
      <c r="AC66" s="522"/>
      <c r="AD66" s="522"/>
      <c r="AE66" s="522"/>
      <c r="AF66" s="513"/>
      <c r="AG66" s="513"/>
      <c r="AH66" s="513"/>
      <c r="AI66" s="513"/>
      <c r="AJ66" s="513"/>
      <c r="AK66" s="513"/>
      <c r="AL66" s="513"/>
      <c r="AM66" s="513"/>
      <c r="AN66" s="513"/>
      <c r="AO66" s="513"/>
      <c r="AP66" s="513"/>
      <c r="AQ66" s="513"/>
      <c r="AR66" s="513"/>
      <c r="AS66" s="513"/>
      <c r="AT66" s="513"/>
      <c r="AU66" s="513"/>
      <c r="AV66" s="513"/>
      <c r="AW66" s="513"/>
      <c r="AX66" s="513"/>
      <c r="AY66" s="513"/>
      <c r="AZ66" s="513"/>
      <c r="BA66" s="513"/>
      <c r="BB66" s="513"/>
      <c r="BC66" s="513"/>
      <c r="BD66" s="513"/>
      <c r="BE66" s="513"/>
      <c r="BF66" s="513"/>
      <c r="BG66" s="513"/>
      <c r="BH66" s="550"/>
      <c r="BI66" s="78"/>
    </row>
    <row r="67" spans="1:61" s="139" customFormat="1" ht="18" customHeight="1" x14ac:dyDescent="0.3">
      <c r="A67" s="610"/>
      <c r="B67" s="611"/>
      <c r="C67" s="547"/>
      <c r="D67" s="547"/>
      <c r="E67" s="547"/>
      <c r="F67" s="545" t="str">
        <f>IF(C39="Nieuwbouw","bouwgrond CBO Huur","grond + gebouw CBO Huur")</f>
        <v>grond + gebouw CBO Huur</v>
      </c>
      <c r="G67" s="545"/>
      <c r="H67" s="545"/>
      <c r="I67" s="545"/>
      <c r="J67" s="545"/>
      <c r="K67" s="179"/>
      <c r="L67" s="179"/>
      <c r="M67" s="179"/>
      <c r="N67" s="179"/>
      <c r="O67" s="179"/>
      <c r="P67" s="179"/>
      <c r="Q67" s="621"/>
      <c r="R67" s="621"/>
      <c r="S67" s="153"/>
      <c r="T67" s="615"/>
      <c r="U67" s="355"/>
      <c r="V67" s="355"/>
      <c r="W67" s="355"/>
      <c r="X67" s="529"/>
      <c r="Y67" s="528"/>
      <c r="Z67" s="528"/>
      <c r="AA67" s="528"/>
      <c r="AB67" s="528"/>
      <c r="AC67" s="522"/>
      <c r="AD67" s="522"/>
      <c r="AE67" s="522"/>
      <c r="AF67" s="513"/>
      <c r="AG67" s="513"/>
      <c r="AH67" s="513"/>
      <c r="AI67" s="513"/>
      <c r="AJ67" s="513"/>
      <c r="AK67" s="513"/>
      <c r="AL67" s="513"/>
      <c r="AM67" s="513"/>
      <c r="AN67" s="513"/>
      <c r="AO67" s="513"/>
      <c r="AP67" s="513"/>
      <c r="AQ67" s="513"/>
      <c r="AR67" s="513"/>
      <c r="AS67" s="513"/>
      <c r="AT67" s="513"/>
      <c r="AU67" s="513"/>
      <c r="AV67" s="513"/>
      <c r="AW67" s="513"/>
      <c r="AX67" s="513"/>
      <c r="AY67" s="513"/>
      <c r="AZ67" s="513"/>
      <c r="BA67" s="513"/>
      <c r="BB67" s="513"/>
      <c r="BC67" s="513"/>
      <c r="BD67" s="513"/>
      <c r="BE67" s="513"/>
      <c r="BF67" s="513"/>
      <c r="BG67" s="513"/>
      <c r="BH67" s="550"/>
      <c r="BI67" s="78"/>
    </row>
    <row r="68" spans="1:61" s="139" customFormat="1" ht="18" customHeight="1" x14ac:dyDescent="0.3">
      <c r="A68" s="610"/>
      <c r="B68" s="611"/>
      <c r="C68" s="143"/>
      <c r="D68" s="540" t="str">
        <f>IF(C39="Nieuwbouw","Grondaandeel / woning","Aandeel verwerving grond + gebouw / woning")</f>
        <v>Aandeel verwerving grond + gebouw / woning</v>
      </c>
      <c r="E68" s="540"/>
      <c r="F68" s="540"/>
      <c r="G68" s="540"/>
      <c r="H68" s="540"/>
      <c r="I68" s="540"/>
      <c r="J68" s="540"/>
      <c r="K68" s="179"/>
      <c r="L68" s="179"/>
      <c r="M68" s="179"/>
      <c r="N68" s="179"/>
      <c r="O68" s="179"/>
      <c r="P68" s="179"/>
      <c r="Q68" s="622">
        <f>IF(G52=0,0,Q66/G52)</f>
        <v>0</v>
      </c>
      <c r="R68" s="622"/>
      <c r="S68" s="153"/>
      <c r="T68" s="615"/>
      <c r="U68" s="355"/>
      <c r="V68" s="355"/>
      <c r="W68" s="355"/>
      <c r="X68" s="529" t="s">
        <v>147</v>
      </c>
      <c r="Y68" s="512" t="str">
        <f>G47</f>
        <v>2020/0001/01</v>
      </c>
      <c r="Z68" s="513"/>
      <c r="AA68" s="513"/>
      <c r="AB68" s="513"/>
      <c r="AC68" s="522" t="s">
        <v>148</v>
      </c>
      <c r="AD68" s="522"/>
      <c r="AE68" s="522"/>
      <c r="AF68" s="524"/>
      <c r="AG68" s="524"/>
      <c r="AH68" s="524"/>
      <c r="AI68" s="524"/>
      <c r="AJ68" s="524"/>
      <c r="AK68" s="524"/>
      <c r="AL68" s="524"/>
      <c r="AM68" s="524"/>
      <c r="AN68" s="524"/>
      <c r="AO68" s="524"/>
      <c r="AP68" s="524"/>
      <c r="AQ68" s="524"/>
      <c r="AR68" s="524"/>
      <c r="AS68" s="524"/>
      <c r="AT68" s="524"/>
      <c r="AU68" s="524"/>
      <c r="AV68" s="524"/>
      <c r="AW68" s="524"/>
      <c r="AX68" s="524"/>
      <c r="AY68" s="524"/>
      <c r="AZ68" s="524"/>
      <c r="BA68" s="524"/>
      <c r="BB68" s="524"/>
      <c r="BC68" s="524"/>
      <c r="BD68" s="524"/>
      <c r="BE68" s="524"/>
      <c r="BF68" s="524"/>
      <c r="BG68" s="524"/>
      <c r="BH68" s="525"/>
    </row>
    <row r="69" spans="1:61" s="140" customFormat="1" ht="18" customHeight="1" thickBot="1" x14ac:dyDescent="0.35">
      <c r="A69" s="612"/>
      <c r="B69" s="613"/>
      <c r="C69" s="157"/>
      <c r="D69" s="541"/>
      <c r="E69" s="541"/>
      <c r="F69" s="541"/>
      <c r="G69" s="541"/>
      <c r="H69" s="541"/>
      <c r="I69" s="541"/>
      <c r="J69" s="541"/>
      <c r="K69" s="157"/>
      <c r="L69" s="157"/>
      <c r="M69" s="157"/>
      <c r="N69" s="157"/>
      <c r="O69" s="157"/>
      <c r="P69" s="157"/>
      <c r="Q69" s="623"/>
      <c r="R69" s="623"/>
      <c r="S69" s="158"/>
      <c r="T69" s="616"/>
      <c r="U69" s="169"/>
      <c r="V69" s="169"/>
      <c r="W69" s="169"/>
      <c r="X69" s="564"/>
      <c r="Y69" s="514"/>
      <c r="Z69" s="514"/>
      <c r="AA69" s="514"/>
      <c r="AB69" s="514"/>
      <c r="AC69" s="523"/>
      <c r="AD69" s="523"/>
      <c r="AE69" s="523"/>
      <c r="AF69" s="526"/>
      <c r="AG69" s="526"/>
      <c r="AH69" s="526"/>
      <c r="AI69" s="526"/>
      <c r="AJ69" s="526"/>
      <c r="AK69" s="526"/>
      <c r="AL69" s="526"/>
      <c r="AM69" s="526"/>
      <c r="AN69" s="526"/>
      <c r="AO69" s="526"/>
      <c r="AP69" s="526"/>
      <c r="AQ69" s="526"/>
      <c r="AR69" s="526"/>
      <c r="AS69" s="526"/>
      <c r="AT69" s="526"/>
      <c r="AU69" s="526"/>
      <c r="AV69" s="526"/>
      <c r="AW69" s="526"/>
      <c r="AX69" s="526"/>
      <c r="AY69" s="526"/>
      <c r="AZ69" s="526"/>
      <c r="BA69" s="526"/>
      <c r="BB69" s="526"/>
      <c r="BC69" s="526"/>
      <c r="BD69" s="526"/>
      <c r="BE69" s="526"/>
      <c r="BF69" s="526"/>
      <c r="BG69" s="526"/>
      <c r="BH69" s="527"/>
    </row>
    <row r="72" spans="1:61" x14ac:dyDescent="0.3">
      <c r="X72" s="494"/>
    </row>
  </sheetData>
  <mergeCells count="165">
    <mergeCell ref="AC56:AG56"/>
    <mergeCell ref="AH56:AJ56"/>
    <mergeCell ref="C62:I62"/>
    <mergeCell ref="C37:BH37"/>
    <mergeCell ref="BH45:BH48"/>
    <mergeCell ref="AJ47:AK47"/>
    <mergeCell ref="AV46:AX46"/>
    <mergeCell ref="AE48:AI48"/>
    <mergeCell ref="AE47:AI47"/>
    <mergeCell ref="C51:E51"/>
    <mergeCell ref="Q51:R51"/>
    <mergeCell ref="Q52:S52"/>
    <mergeCell ref="I51:J51"/>
    <mergeCell ref="C54:E54"/>
    <mergeCell ref="G54:H54"/>
    <mergeCell ref="G45:I45"/>
    <mergeCell ref="C55:E55"/>
    <mergeCell ref="G55:H55"/>
    <mergeCell ref="AJ46:AK46"/>
    <mergeCell ref="AE42:AI42"/>
    <mergeCell ref="AE46:AI46"/>
    <mergeCell ref="Z46:AD48"/>
    <mergeCell ref="AB39:AD39"/>
    <mergeCell ref="AB40:AD40"/>
    <mergeCell ref="G46:Y46"/>
    <mergeCell ref="G39:I39"/>
    <mergeCell ref="Q57:R57"/>
    <mergeCell ref="X57:Y57"/>
    <mergeCell ref="Q54:S54"/>
    <mergeCell ref="Q55:S55"/>
    <mergeCell ref="Q53:S53"/>
    <mergeCell ref="C45:F45"/>
    <mergeCell ref="G38:I38"/>
    <mergeCell ref="J45:Y45"/>
    <mergeCell ref="C52:E52"/>
    <mergeCell ref="G52:H52"/>
    <mergeCell ref="I52:K52"/>
    <mergeCell ref="G51:H51"/>
    <mergeCell ref="X54:Y56"/>
    <mergeCell ref="T51:X51"/>
    <mergeCell ref="T53:X53"/>
    <mergeCell ref="D39:F39"/>
    <mergeCell ref="D24:F24"/>
    <mergeCell ref="D20:F20"/>
    <mergeCell ref="D27:F27"/>
    <mergeCell ref="D31:F31"/>
    <mergeCell ref="D32:F32"/>
    <mergeCell ref="D28:F28"/>
    <mergeCell ref="D29:F29"/>
    <mergeCell ref="D33:F33"/>
    <mergeCell ref="C43:F43"/>
    <mergeCell ref="D36:F36"/>
    <mergeCell ref="D23:F23"/>
    <mergeCell ref="D25:F25"/>
    <mergeCell ref="D34:F34"/>
    <mergeCell ref="C39:C41"/>
    <mergeCell ref="D40:F40"/>
    <mergeCell ref="D41:F41"/>
    <mergeCell ref="D26:F26"/>
    <mergeCell ref="A1:C1"/>
    <mergeCell ref="D1:AK1"/>
    <mergeCell ref="C47:F47"/>
    <mergeCell ref="C48:F48"/>
    <mergeCell ref="C46:F46"/>
    <mergeCell ref="G47:Y47"/>
    <mergeCell ref="G48:Y48"/>
    <mergeCell ref="G40:I40"/>
    <mergeCell ref="AJ39:AK39"/>
    <mergeCell ref="AJ40:AK40"/>
    <mergeCell ref="AJ41:AK41"/>
    <mergeCell ref="AE39:AI39"/>
    <mergeCell ref="AE40:AI40"/>
    <mergeCell ref="AH38:AI38"/>
    <mergeCell ref="AE38:AG38"/>
    <mergeCell ref="AE41:AI41"/>
    <mergeCell ref="D21:F21"/>
    <mergeCell ref="D22:F22"/>
    <mergeCell ref="A37:B48"/>
    <mergeCell ref="G43:I43"/>
    <mergeCell ref="G41:I41"/>
    <mergeCell ref="D3:J3"/>
    <mergeCell ref="D19:F19"/>
    <mergeCell ref="AB19:AC36"/>
    <mergeCell ref="AB41:AD41"/>
    <mergeCell ref="AB43:AD43"/>
    <mergeCell ref="Z45:AD45"/>
    <mergeCell ref="A49:B69"/>
    <mergeCell ref="T60:T69"/>
    <mergeCell ref="G56:J56"/>
    <mergeCell ref="AA53:AB53"/>
    <mergeCell ref="Q63:R63"/>
    <mergeCell ref="I54:K54"/>
    <mergeCell ref="I55:K55"/>
    <mergeCell ref="Q60:R60"/>
    <mergeCell ref="Q66:R67"/>
    <mergeCell ref="Q68:R69"/>
    <mergeCell ref="C53:E53"/>
    <mergeCell ref="G53:H53"/>
    <mergeCell ref="I53:K53"/>
    <mergeCell ref="G60:J60"/>
    <mergeCell ref="G58:J58"/>
    <mergeCell ref="AA54:AB56"/>
    <mergeCell ref="Q56:R56"/>
    <mergeCell ref="C57:E57"/>
    <mergeCell ref="C67:E67"/>
    <mergeCell ref="C65:D65"/>
    <mergeCell ref="G57:J57"/>
    <mergeCell ref="AA51:AB51"/>
    <mergeCell ref="C56:E56"/>
    <mergeCell ref="AA57:AB57"/>
    <mergeCell ref="AH55:AJ55"/>
    <mergeCell ref="AC49:BH49"/>
    <mergeCell ref="AK52:AL52"/>
    <mergeCell ref="AH54:AJ54"/>
    <mergeCell ref="AC57:AG57"/>
    <mergeCell ref="D30:F30"/>
    <mergeCell ref="D35:F35"/>
    <mergeCell ref="AE43:AI43"/>
    <mergeCell ref="AJ43:AK43"/>
    <mergeCell ref="T49:AB50"/>
    <mergeCell ref="C49:R50"/>
    <mergeCell ref="AC50:BH50"/>
    <mergeCell ref="AH57:AJ57"/>
    <mergeCell ref="AG51:AJ51"/>
    <mergeCell ref="AC52:AG52"/>
    <mergeCell ref="AC53:AG53"/>
    <mergeCell ref="AC54:AG54"/>
    <mergeCell ref="AC55:AG55"/>
    <mergeCell ref="AH52:AJ52"/>
    <mergeCell ref="AH53:AJ53"/>
    <mergeCell ref="AJ38:AK38"/>
    <mergeCell ref="AJ45:AK45"/>
    <mergeCell ref="AE45:AI45"/>
    <mergeCell ref="AJ48:AK48"/>
    <mergeCell ref="G59:H59"/>
    <mergeCell ref="E65:R65"/>
    <mergeCell ref="Q64:R64"/>
    <mergeCell ref="D68:J69"/>
    <mergeCell ref="Q61:R61"/>
    <mergeCell ref="Q62:R62"/>
    <mergeCell ref="C60:F60"/>
    <mergeCell ref="C66:E66"/>
    <mergeCell ref="F66:J66"/>
    <mergeCell ref="F67:J67"/>
    <mergeCell ref="C63:J63"/>
    <mergeCell ref="C61:J61"/>
    <mergeCell ref="AF64:BH67"/>
    <mergeCell ref="AC60:AE63"/>
    <mergeCell ref="AF60:AJ63"/>
    <mergeCell ref="BH58:BH59"/>
    <mergeCell ref="AC58:AK59"/>
    <mergeCell ref="AK60:AL63"/>
    <mergeCell ref="BH60:BH63"/>
    <mergeCell ref="Q58:R58"/>
    <mergeCell ref="X68:X69"/>
    <mergeCell ref="Y68:AB69"/>
    <mergeCell ref="Q59:R59"/>
    <mergeCell ref="T58:AB59"/>
    <mergeCell ref="AC68:AE69"/>
    <mergeCell ref="AF68:BH69"/>
    <mergeCell ref="Y64:AB67"/>
    <mergeCell ref="AC64:AE67"/>
    <mergeCell ref="X64:X67"/>
    <mergeCell ref="X60:X63"/>
    <mergeCell ref="Y60:AB63"/>
  </mergeCells>
  <conditionalFormatting sqref="Q39:Q41 Q43">
    <cfRule type="cellIs" dxfId="8" priority="16" stopIfTrue="1" operator="lessThanOrEqual">
      <formula>1</formula>
    </cfRule>
  </conditionalFormatting>
  <conditionalFormatting sqref="Q39:Q43">
    <cfRule type="cellIs" dxfId="7" priority="19" stopIfTrue="1" operator="greaterThan">
      <formula>1</formula>
    </cfRule>
  </conditionalFormatting>
  <conditionalFormatting sqref="AE43:AI43">
    <cfRule type="expression" dxfId="6" priority="3" stopIfTrue="1">
      <formula>$AE$39&gt;$AL$39</formula>
    </cfRule>
  </conditionalFormatting>
  <conditionalFormatting sqref="AJ39:AJ41">
    <cfRule type="cellIs" dxfId="5" priority="17" stopIfTrue="1" operator="lessThanOrEqual">
      <formula>1</formula>
    </cfRule>
    <cfRule type="cellIs" dxfId="4" priority="18" stopIfTrue="1" operator="greaterThan">
      <formula>1</formula>
    </cfRule>
  </conditionalFormatting>
  <conditionalFormatting sqref="AJ43:AK43">
    <cfRule type="cellIs" dxfId="3" priority="1" stopIfTrue="1" operator="lessThan">
      <formula>1</formula>
    </cfRule>
    <cfRule type="cellIs" dxfId="2" priority="2" stopIfTrue="1" operator="greaterThan">
      <formula>1</formula>
    </cfRule>
  </conditionalFormatting>
  <conditionalFormatting sqref="AK52">
    <cfRule type="cellIs" dxfId="1" priority="4" stopIfTrue="1" operator="lessThanOrEqual">
      <formula>1</formula>
    </cfRule>
    <cfRule type="cellIs" dxfId="0" priority="5" stopIfTrue="1" operator="greaterThan">
      <formula>1</formula>
    </cfRule>
  </conditionalFormatting>
  <dataValidations count="18">
    <dataValidation type="list" allowBlank="1" showInputMessage="1" showErrorMessage="1" sqref="BB48:BG48 AY39:BA41 BB983086:BD983086 BB65582:BD65582 BB131118:BD131118 BB196654:BD196654 BB262190:BD262190 BB327726:BD327726 BB393262:BD393262 BB458798:BD458798 BB524334:BD524334 BB589870:BD589870 BB655406:BD655406 BB720942:BD720942 BB786478:BD786478 BB852014:BD852014 BB917550:BD917550" xr:uid="{00000000-0002-0000-0000-000000000000}">
      <formula1>Stadium</formula1>
    </dataValidation>
    <dataValidation type="list" allowBlank="1" showInputMessage="1" showErrorMessage="1" sqref="G57:J57 Z46:AD48" xr:uid="{00000000-0002-0000-0000-000001000000}">
      <formula1>Gemeenten</formula1>
    </dataValidation>
    <dataValidation type="list" allowBlank="1" showInputMessage="1" showErrorMessage="1" sqref="AF19:AF36 AF4:AF17" xr:uid="{00000000-0002-0000-0000-000002000000}">
      <formula1>Invulbouw</formula1>
    </dataValidation>
    <dataValidation type="list" allowBlank="1" showInputMessage="1" showErrorMessage="1" sqref="AD19:AD36 AD4:AD17" xr:uid="{00000000-0002-0000-0000-000003000000}">
      <formula1>Basis</formula1>
    </dataValidation>
    <dataValidation type="list" allowBlank="1" showInputMessage="1" showErrorMessage="1" sqref="B4:B17 B19:B36" xr:uid="{00000000-0002-0000-0000-000004000000}">
      <formula1>Huur</formula1>
    </dataValidation>
    <dataValidation type="whole" allowBlank="1" showInputMessage="1" showErrorMessage="1" sqref="Y19 Y26" xr:uid="{00000000-0002-0000-0000-000005000000}">
      <formula1>2</formula1>
      <formula2>30</formula2>
    </dataValidation>
    <dataValidation type="list" allowBlank="1" showInputMessage="1" showErrorMessage="1" sqref="A19:A36 A4:A17" xr:uid="{00000000-0002-0000-0000-000006000000}">
      <formula1>SoortWerk</formula1>
    </dataValidation>
    <dataValidation type="list" allowBlank="1" showInputMessage="1" showErrorMessage="1" sqref="D4:D17" xr:uid="{00000000-0002-0000-0000-000007000000}">
      <formula1>Woningtypes</formula1>
    </dataValidation>
    <dataValidation type="list" allowBlank="1" showInputMessage="1" showErrorMessage="1" sqref="AH4:AH17" xr:uid="{00000000-0002-0000-0000-000008000000}">
      <formula1>oppcf</formula1>
    </dataValidation>
    <dataValidation type="list" allowBlank="1" showInputMessage="1" showErrorMessage="1" sqref="AB4:AB17" xr:uid="{00000000-0002-0000-0000-000009000000}">
      <formula1>Auto</formula1>
    </dataValidation>
    <dataValidation type="list" allowBlank="1" showInputMessage="1" showErrorMessage="1" sqref="H4:H17" xr:uid="{00000000-0002-0000-0000-00000A000000}">
      <formula1>Lagen</formula1>
    </dataValidation>
    <dataValidation type="list" allowBlank="1" showInputMessage="1" showErrorMessage="1" sqref="AG4:AG17" xr:uid="{00000000-0002-0000-0000-00000B000000}">
      <formula1>MV</formula1>
    </dataValidation>
    <dataValidation type="whole" allowBlank="1" showInputMessage="1" showErrorMessage="1" sqref="Y27:Y28" xr:uid="{00000000-0002-0000-0000-00000C000000}">
      <formula1>0</formula1>
      <formula2>300</formula2>
    </dataValidation>
    <dataValidation type="list" allowBlank="1" showInputMessage="1" showErrorMessage="1" sqref="AE19:AE36" xr:uid="{00000000-0002-0000-0000-00000D000000}">
      <formula1>centrum</formula1>
    </dataValidation>
    <dataValidation type="list" allowBlank="1" showInputMessage="1" showErrorMessage="1" sqref="D19:F36" xr:uid="{00000000-0002-0000-0000-00000E000000}">
      <formula1>Gebouwtypes</formula1>
    </dataValidation>
    <dataValidation type="list" allowBlank="1" showInputMessage="1" showErrorMessage="1" sqref="C39:C41" xr:uid="{0A6C0EC0-ECFF-4B2C-A3D4-FD425982D98E}">
      <formula1>CBO</formula1>
    </dataValidation>
    <dataValidation type="list" allowBlank="1" showInputMessage="1" showErrorMessage="1" sqref="J45:Y45" xr:uid="{4A1A015B-8E53-4613-BA0F-054862CB431F}">
      <formula1>WM_Naam</formula1>
    </dataValidation>
    <dataValidation type="list" allowBlank="1" showInputMessage="1" showErrorMessage="1" sqref="G45:I45" xr:uid="{08046153-86F0-4A84-A312-A546EC463892}">
      <formula1>WM_nr</formula1>
    </dataValidation>
  </dataValidations>
  <printOptions horizontalCentered="1"/>
  <pageMargins left="0.19685039370078741" right="0.19685039370078741" top="0.39370078740157483" bottom="0.39370078740157483" header="0.19685039370078741" footer="0.19685039370078741"/>
  <pageSetup paperSize="8" scale="62" orientation="landscape" r:id="rId1"/>
  <headerFooter>
    <oddHeader>&amp;CVoorbeeld Simulatietabel FS3 versie 2022</oddHeader>
    <oddFooter>&amp;L&amp;"Arial,Standaard"&amp;8&amp;D - &amp;F&amp;C&amp;"Arial,Standaard"&amp;7De VMSW is niet verantwoordelijk voor fouten in of foutief gebruik van dit document&amp;R&amp;"Arial,Standaard"&amp;8Opmaak SHM</oddFooter>
  </headerFooter>
  <ignoredErrors>
    <ignoredError sqref="AE3 L3 N3:P3 AC3 A37 AA19:AB19 AA34 AA21:AA22 AI14:AI17 AK52 AJ19:AJ22 AA24 AA23 AJ24 AJ26:AJ34 AA33 AA32 AA31 AA30 AA29 AA25 AJ36 AA36 AA35 AA43 AA28 AA26:AA27 AA20 AE19:AE22 AE23:AU23 AE24 AE26:AE34 AE25:AU25 AE36 AE35:AU35 AD19:AD36 BH39 AY14:BA17 AC14:AD17 BH14:BH17 M4:N4 M11:N17 Q4 BH4 AY4:BA4 AC4:AD4 AI4 BE5:BH7 AA3:AA4 X8:AA10 X5:AJ7 Y12:AA14 Q5:T17 Y16:AA17 W11:AA11 W5:W10 W15:AA15 W12:W14 W16:W17 AV19:AX36 BE23:BH23 BE25:BH25 BE35:BH35 AY35:BA35 AY25:BA25 AY23:BA23 AL5:BA7 BB4:BD17 BB38:BD38 X39:X41 AJ9 AE43" unlockedFormula="1"/>
    <ignoredError sqref="D38:F38 AH4 X38:Y38 AC38:AD38 AJ42:AK42 AM46:BA46 AM38:BA45 AE48:AK48 AE45:AK45 AE46:AK46 AJ39:AK39 AE47:AK47 AE42 AJ40:AK40 AE41:AK41 G43:Q43 G41:T41 G40:T40 G39:T39 AM47:BA48 Y39:Y41 G38:T38 AF38:AG38 AA40 AA41 AA39 BE46:BH48 BE45:BG45 BE18:BH22 AK19:AU22 AF19:AI22 AF24:AI24 AK24:AU24 BE24:BH24 AF26:AI34 AK26:AU34 BE26:BH34 AF36:AI36 AK36:AU36 BE36:BH36 AA44:AK44 AI38:AK38 AE4 BE40:BH44 BE39:BG39 AJ14:AX17 BE14:BG17 O11:P17 K11:L17 AE17:AH17 AE14:AE16 AH14:AH16 AB14:AB17 R43:T43 C18:T18 D42:T42 D44:E44 X18:BA18 X42:Y44 K4:L4 O4:P4 R4:S4 BE4:BG4 AJ4:AX4 Z4 AK5:AK7 BE8:BH13 AC11:BA13 AB11 X16:X17 X12:X14 AB8:BA8 AY36:BA36 AY26:BA34 AY24:BA24 AY19:BA22 AB10:BA10 AB9:AI9 AK9:BA9 BE38:BG38 G44:P44 R44:T44" evalError="1" unlockedFormula="1"/>
    <ignoredError sqref="AA42 AA38:AB38 X48:Y48 AF42:AI42 AL44:AL48 AL38:AL42 AA45:AD45 AH52:AJ52 AH55:AJ55 AI54:AJ54 AI53:AJ53 H48:T48 Z38 AB12:AB13 AL43" evalError="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4"/>
  <sheetViews>
    <sheetView topLeftCell="A28" workbookViewId="0">
      <selection activeCell="N23" sqref="N23"/>
    </sheetView>
  </sheetViews>
  <sheetFormatPr defaultRowHeight="14.4" x14ac:dyDescent="0.3"/>
  <cols>
    <col min="1" max="1" width="58.6640625" customWidth="1"/>
    <col min="2" max="2" width="25.6640625" customWidth="1"/>
    <col min="3" max="3" width="31.44140625" customWidth="1"/>
  </cols>
  <sheetData>
    <row r="1" spans="1:3" ht="21" x14ac:dyDescent="0.3">
      <c r="A1" s="223" t="s">
        <v>149</v>
      </c>
      <c r="B1" s="224"/>
      <c r="C1" s="225"/>
    </row>
    <row r="2" spans="1:3" ht="15" thickBot="1" x14ac:dyDescent="0.35">
      <c r="A2" s="226" t="s">
        <v>150</v>
      </c>
      <c r="B2" s="227"/>
      <c r="C2" s="228"/>
    </row>
    <row r="3" spans="1:3" x14ac:dyDescent="0.3">
      <c r="A3" s="729" t="s">
        <v>151</v>
      </c>
      <c r="B3" s="229" t="s">
        <v>152</v>
      </c>
      <c r="C3" s="230" t="s">
        <v>153</v>
      </c>
    </row>
    <row r="4" spans="1:3" x14ac:dyDescent="0.3">
      <c r="A4" s="730"/>
      <c r="B4" s="231" t="s">
        <v>154</v>
      </c>
      <c r="C4" s="232" t="s">
        <v>153</v>
      </c>
    </row>
    <row r="5" spans="1:3" x14ac:dyDescent="0.3">
      <c r="A5" s="730" t="s">
        <v>155</v>
      </c>
      <c r="B5" s="231" t="s">
        <v>156</v>
      </c>
      <c r="C5" s="232" t="s">
        <v>153</v>
      </c>
    </row>
    <row r="6" spans="1:3" ht="15" thickBot="1" x14ac:dyDescent="0.35">
      <c r="A6" s="731"/>
      <c r="B6" s="233" t="s">
        <v>157</v>
      </c>
      <c r="C6" s="234" t="s">
        <v>153</v>
      </c>
    </row>
    <row r="7" spans="1:3" ht="15" thickBot="1" x14ac:dyDescent="0.35">
      <c r="A7" s="226" t="s">
        <v>158</v>
      </c>
      <c r="B7" s="235"/>
      <c r="C7" s="228"/>
    </row>
    <row r="8" spans="1:3" x14ac:dyDescent="0.3">
      <c r="A8" s="236" t="s">
        <v>159</v>
      </c>
      <c r="B8" s="237">
        <v>-60</v>
      </c>
      <c r="C8" s="238" t="s">
        <v>153</v>
      </c>
    </row>
    <row r="9" spans="1:3" x14ac:dyDescent="0.3">
      <c r="A9" s="239" t="s">
        <v>160</v>
      </c>
      <c r="B9" s="240">
        <v>-12</v>
      </c>
      <c r="C9" s="241" t="s">
        <v>153</v>
      </c>
    </row>
    <row r="10" spans="1:3" x14ac:dyDescent="0.3">
      <c r="A10" s="239" t="s">
        <v>161</v>
      </c>
      <c r="B10" s="240">
        <v>-25</v>
      </c>
      <c r="C10" s="241" t="s">
        <v>153</v>
      </c>
    </row>
    <row r="11" spans="1:3" x14ac:dyDescent="0.3">
      <c r="A11" s="239" t="s">
        <v>162</v>
      </c>
      <c r="B11" s="240">
        <v>-35</v>
      </c>
      <c r="C11" s="241" t="s">
        <v>153</v>
      </c>
    </row>
    <row r="12" spans="1:3" x14ac:dyDescent="0.3">
      <c r="A12" s="239" t="s">
        <v>163</v>
      </c>
      <c r="B12" s="240">
        <v>-25</v>
      </c>
      <c r="C12" s="241" t="s">
        <v>153</v>
      </c>
    </row>
    <row r="13" spans="1:3" ht="15" thickBot="1" x14ac:dyDescent="0.35">
      <c r="A13" s="242" t="s">
        <v>164</v>
      </c>
      <c r="B13" s="243">
        <v>-40</v>
      </c>
      <c r="C13" s="244" t="s">
        <v>153</v>
      </c>
    </row>
    <row r="14" spans="1:3" ht="15" thickBot="1" x14ac:dyDescent="0.35">
      <c r="A14" s="226" t="s">
        <v>165</v>
      </c>
      <c r="B14" s="227"/>
      <c r="C14" s="228"/>
    </row>
    <row r="15" spans="1:3" x14ac:dyDescent="0.3">
      <c r="A15" s="245" t="s">
        <v>166</v>
      </c>
      <c r="B15" s="237">
        <v>16000</v>
      </c>
      <c r="C15" s="238" t="s">
        <v>167</v>
      </c>
    </row>
    <row r="16" spans="1:3" x14ac:dyDescent="0.3">
      <c r="A16" s="246" t="s">
        <v>168</v>
      </c>
      <c r="B16" s="240">
        <v>8000</v>
      </c>
      <c r="C16" s="241" t="s">
        <v>167</v>
      </c>
    </row>
    <row r="17" spans="1:3" x14ac:dyDescent="0.3">
      <c r="A17" s="246" t="s">
        <v>169</v>
      </c>
      <c r="B17" s="240">
        <v>2700</v>
      </c>
      <c r="C17" s="241" t="s">
        <v>167</v>
      </c>
    </row>
    <row r="18" spans="1:3" x14ac:dyDescent="0.3">
      <c r="A18" s="246" t="s">
        <v>170</v>
      </c>
      <c r="B18" s="240">
        <v>26000</v>
      </c>
      <c r="C18" s="241" t="s">
        <v>167</v>
      </c>
    </row>
    <row r="19" spans="1:3" ht="15" thickBot="1" x14ac:dyDescent="0.35">
      <c r="A19" s="247" t="s">
        <v>171</v>
      </c>
      <c r="B19" s="243">
        <v>25000</v>
      </c>
      <c r="C19" s="248">
        <v>6250</v>
      </c>
    </row>
    <row r="20" spans="1:3" ht="21" customHeight="1" x14ac:dyDescent="0.3">
      <c r="A20" s="246" t="s">
        <v>172</v>
      </c>
      <c r="B20" s="240">
        <v>810</v>
      </c>
      <c r="C20" s="241" t="s">
        <v>153</v>
      </c>
    </row>
    <row r="21" spans="1:3" ht="36" customHeight="1" x14ac:dyDescent="0.3">
      <c r="A21" s="246" t="s">
        <v>173</v>
      </c>
      <c r="B21" s="240">
        <v>620</v>
      </c>
      <c r="C21" s="241" t="s">
        <v>153</v>
      </c>
    </row>
    <row r="22" spans="1:3" ht="15" thickBot="1" x14ac:dyDescent="0.35">
      <c r="A22" s="249" t="s">
        <v>174</v>
      </c>
      <c r="B22" s="227"/>
      <c r="C22" s="228"/>
    </row>
    <row r="23" spans="1:3" ht="28.8" x14ac:dyDescent="0.3">
      <c r="A23" s="245" t="s">
        <v>175</v>
      </c>
      <c r="B23" s="237">
        <v>1250</v>
      </c>
      <c r="C23" s="238" t="s">
        <v>153</v>
      </c>
    </row>
    <row r="24" spans="1:3" ht="15" thickBot="1" x14ac:dyDescent="0.35">
      <c r="A24" s="247" t="s">
        <v>176</v>
      </c>
      <c r="B24" s="243">
        <v>1100</v>
      </c>
      <c r="C24" s="244" t="s">
        <v>177</v>
      </c>
    </row>
    <row r="25" spans="1:3" ht="15" thickBot="1" x14ac:dyDescent="0.35">
      <c r="A25" s="249" t="s">
        <v>178</v>
      </c>
      <c r="B25" s="227"/>
      <c r="C25" s="228"/>
    </row>
    <row r="26" spans="1:3" ht="29.4" thickBot="1" x14ac:dyDescent="0.35">
      <c r="A26" s="250" t="s">
        <v>179</v>
      </c>
      <c r="B26" s="251">
        <v>6250</v>
      </c>
      <c r="C26" s="252" t="s">
        <v>180</v>
      </c>
    </row>
    <row r="27" spans="1:3" ht="15" thickBot="1" x14ac:dyDescent="0.35">
      <c r="A27" s="226" t="s">
        <v>181</v>
      </c>
      <c r="B27" s="227"/>
      <c r="C27" s="228"/>
    </row>
    <row r="28" spans="1:3" x14ac:dyDescent="0.3">
      <c r="A28" s="732" t="s">
        <v>182</v>
      </c>
      <c r="B28" s="237">
        <v>3700</v>
      </c>
      <c r="C28" s="238" t="s">
        <v>183</v>
      </c>
    </row>
    <row r="29" spans="1:3" x14ac:dyDescent="0.3">
      <c r="A29" s="733"/>
      <c r="B29" s="240">
        <v>4900</v>
      </c>
      <c r="C29" s="241" t="s">
        <v>184</v>
      </c>
    </row>
    <row r="30" spans="1:3" x14ac:dyDescent="0.3">
      <c r="A30" s="246" t="s">
        <v>62</v>
      </c>
      <c r="B30" s="240">
        <v>1600</v>
      </c>
      <c r="C30" s="241" t="s">
        <v>185</v>
      </c>
    </row>
    <row r="31" spans="1:3" x14ac:dyDescent="0.3">
      <c r="A31" s="246" t="s">
        <v>186</v>
      </c>
      <c r="B31" s="240">
        <v>4250</v>
      </c>
      <c r="C31" s="241" t="s">
        <v>183</v>
      </c>
    </row>
    <row r="32" spans="1:3" x14ac:dyDescent="0.3">
      <c r="A32" s="246" t="s">
        <v>186</v>
      </c>
      <c r="B32" s="240">
        <v>6400</v>
      </c>
      <c r="C32" s="241" t="s">
        <v>184</v>
      </c>
    </row>
    <row r="33" spans="1:3" x14ac:dyDescent="0.3">
      <c r="A33" s="733" t="s">
        <v>187</v>
      </c>
      <c r="B33" s="240">
        <v>2700</v>
      </c>
      <c r="C33" s="241" t="s">
        <v>183</v>
      </c>
    </row>
    <row r="34" spans="1:3" x14ac:dyDescent="0.3">
      <c r="A34" s="733"/>
      <c r="B34" s="240">
        <v>3200</v>
      </c>
      <c r="C34" s="241" t="s">
        <v>184</v>
      </c>
    </row>
    <row r="35" spans="1:3" ht="15" customHeight="1" x14ac:dyDescent="0.3">
      <c r="A35" s="733" t="s">
        <v>188</v>
      </c>
      <c r="B35" s="240">
        <v>3200</v>
      </c>
      <c r="C35" s="241" t="s">
        <v>183</v>
      </c>
    </row>
    <row r="36" spans="1:3" x14ac:dyDescent="0.3">
      <c r="A36" s="733"/>
      <c r="B36" s="240">
        <v>4800</v>
      </c>
      <c r="C36" s="241" t="s">
        <v>184</v>
      </c>
    </row>
    <row r="37" spans="1:3" x14ac:dyDescent="0.3">
      <c r="A37" s="246" t="s">
        <v>189</v>
      </c>
      <c r="B37" s="240">
        <v>1500</v>
      </c>
      <c r="C37" s="241" t="s">
        <v>190</v>
      </c>
    </row>
    <row r="38" spans="1:3" x14ac:dyDescent="0.3">
      <c r="A38" s="246" t="s">
        <v>191</v>
      </c>
      <c r="B38" s="240">
        <v>3200</v>
      </c>
      <c r="C38" s="241" t="s">
        <v>183</v>
      </c>
    </row>
    <row r="39" spans="1:3" x14ac:dyDescent="0.3">
      <c r="A39" s="246" t="s">
        <v>192</v>
      </c>
      <c r="B39" s="240">
        <v>5000</v>
      </c>
      <c r="C39" s="241" t="s">
        <v>184</v>
      </c>
    </row>
    <row r="40" spans="1:3" ht="43.2" x14ac:dyDescent="0.3">
      <c r="A40" s="253" t="s">
        <v>193</v>
      </c>
      <c r="B40" s="254">
        <v>2500</v>
      </c>
      <c r="C40" s="232" t="s">
        <v>194</v>
      </c>
    </row>
    <row r="41" spans="1:3" ht="15" thickBot="1" x14ac:dyDescent="0.35">
      <c r="A41" s="255" t="s">
        <v>195</v>
      </c>
      <c r="B41" s="256">
        <v>875</v>
      </c>
      <c r="C41" s="234" t="s">
        <v>196</v>
      </c>
    </row>
    <row r="42" spans="1:3" ht="15" thickBot="1" x14ac:dyDescent="0.35">
      <c r="A42" s="226" t="s">
        <v>197</v>
      </c>
      <c r="B42" s="227"/>
      <c r="C42" s="228"/>
    </row>
    <row r="43" spans="1:3" x14ac:dyDescent="0.3">
      <c r="A43" s="245" t="s">
        <v>198</v>
      </c>
      <c r="B43" s="237" t="s">
        <v>199</v>
      </c>
      <c r="C43" s="238"/>
    </row>
    <row r="44" spans="1:3" x14ac:dyDescent="0.3">
      <c r="A44" s="246" t="s">
        <v>200</v>
      </c>
      <c r="B44" s="240" t="s">
        <v>199</v>
      </c>
      <c r="C44" s="241"/>
    </row>
    <row r="45" spans="1:3" x14ac:dyDescent="0.3">
      <c r="A45" s="246" t="s">
        <v>201</v>
      </c>
      <c r="B45" s="240" t="s">
        <v>199</v>
      </c>
      <c r="C45" s="241"/>
    </row>
    <row r="46" spans="1:3" x14ac:dyDescent="0.3">
      <c r="A46" s="246" t="s">
        <v>202</v>
      </c>
      <c r="B46" s="240" t="s">
        <v>199</v>
      </c>
      <c r="C46" s="241"/>
    </row>
    <row r="47" spans="1:3" ht="30" customHeight="1" thickBot="1" x14ac:dyDescent="0.35">
      <c r="A47" s="247" t="s">
        <v>203</v>
      </c>
      <c r="B47" s="243" t="s">
        <v>199</v>
      </c>
      <c r="C47" s="244"/>
    </row>
    <row r="48" spans="1:3" ht="15" thickBot="1" x14ac:dyDescent="0.35">
      <c r="A48" s="226" t="s">
        <v>204</v>
      </c>
      <c r="B48" s="227"/>
      <c r="C48" s="228"/>
    </row>
    <row r="49" spans="1:3" x14ac:dyDescent="0.3">
      <c r="A49" s="245" t="s">
        <v>205</v>
      </c>
      <c r="B49" s="237">
        <v>250</v>
      </c>
      <c r="C49" s="238" t="s">
        <v>153</v>
      </c>
    </row>
    <row r="50" spans="1:3" ht="15" thickBot="1" x14ac:dyDescent="0.35">
      <c r="A50" s="247" t="s">
        <v>206</v>
      </c>
      <c r="B50" s="243">
        <v>125000</v>
      </c>
      <c r="C50" s="244" t="s">
        <v>207</v>
      </c>
    </row>
    <row r="51" spans="1:3" ht="15" thickBot="1" x14ac:dyDescent="0.35">
      <c r="A51" s="226" t="s">
        <v>208</v>
      </c>
      <c r="B51" s="227"/>
      <c r="C51" s="228"/>
    </row>
    <row r="52" spans="1:3" x14ac:dyDescent="0.3">
      <c r="A52" s="236" t="s">
        <v>209</v>
      </c>
      <c r="B52" s="237"/>
      <c r="C52" s="257"/>
    </row>
    <row r="53" spans="1:3" x14ac:dyDescent="0.3">
      <c r="A53" s="258" t="s">
        <v>210</v>
      </c>
      <c r="B53" s="240">
        <v>5000</v>
      </c>
      <c r="C53" s="241" t="s">
        <v>167</v>
      </c>
    </row>
    <row r="54" spans="1:3" ht="15" thickBot="1" x14ac:dyDescent="0.35">
      <c r="A54" s="259" t="s">
        <v>211</v>
      </c>
      <c r="B54" s="243">
        <v>2500</v>
      </c>
      <c r="C54" s="244" t="s">
        <v>167</v>
      </c>
    </row>
  </sheetData>
  <mergeCells count="5">
    <mergeCell ref="A3:A4"/>
    <mergeCell ref="A5:A6"/>
    <mergeCell ref="A28:A29"/>
    <mergeCell ref="A33:A34"/>
    <mergeCell ref="A35:A36"/>
  </mergeCells>
  <pageMargins left="0.23622047244094491" right="0.23622047244094491" top="0.74803149606299213" bottom="0.74803149606299213"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34"/>
  <sheetViews>
    <sheetView workbookViewId="0">
      <pane xSplit="1" topLeftCell="B1" activePane="topRight" state="frozen"/>
      <selection pane="topRight" activeCell="A2" sqref="A2"/>
    </sheetView>
  </sheetViews>
  <sheetFormatPr defaultColWidth="24.44140625" defaultRowHeight="14.4" x14ac:dyDescent="0.3"/>
  <cols>
    <col min="1" max="1" width="16.44140625" customWidth="1"/>
    <col min="2" max="2" width="20.88671875" customWidth="1"/>
  </cols>
  <sheetData>
    <row r="1" spans="1:2" ht="15" thickBot="1" x14ac:dyDescent="0.35">
      <c r="A1" s="220" t="s">
        <v>683</v>
      </c>
      <c r="B1" s="353" t="s">
        <v>684</v>
      </c>
    </row>
    <row r="2" spans="1:2" x14ac:dyDescent="0.3">
      <c r="A2" s="221">
        <v>0</v>
      </c>
      <c r="B2" s="384">
        <v>0</v>
      </c>
    </row>
    <row r="3" spans="1:2" x14ac:dyDescent="0.3">
      <c r="A3" s="221">
        <v>30</v>
      </c>
      <c r="B3" s="384">
        <v>2115</v>
      </c>
    </row>
    <row r="4" spans="1:2" x14ac:dyDescent="0.3">
      <c r="A4" s="221">
        <v>31</v>
      </c>
      <c r="B4" s="384">
        <v>2103</v>
      </c>
    </row>
    <row r="5" spans="1:2" x14ac:dyDescent="0.3">
      <c r="A5" s="221">
        <v>32</v>
      </c>
      <c r="B5" s="384">
        <v>2089</v>
      </c>
    </row>
    <row r="6" spans="1:2" x14ac:dyDescent="0.3">
      <c r="A6" s="221">
        <v>33</v>
      </c>
      <c r="B6" s="384">
        <v>2075</v>
      </c>
    </row>
    <row r="7" spans="1:2" x14ac:dyDescent="0.3">
      <c r="A7" s="221">
        <v>34</v>
      </c>
      <c r="B7" s="384">
        <v>2062</v>
      </c>
    </row>
    <row r="8" spans="1:2" x14ac:dyDescent="0.3">
      <c r="A8" s="221">
        <v>35</v>
      </c>
      <c r="B8" s="384">
        <v>2051</v>
      </c>
    </row>
    <row r="9" spans="1:2" x14ac:dyDescent="0.3">
      <c r="A9" s="221">
        <v>36</v>
      </c>
      <c r="B9" s="384">
        <v>2037</v>
      </c>
    </row>
    <row r="10" spans="1:2" x14ac:dyDescent="0.3">
      <c r="A10" s="221">
        <v>37</v>
      </c>
      <c r="B10" s="384">
        <v>2025</v>
      </c>
    </row>
    <row r="11" spans="1:2" x14ac:dyDescent="0.3">
      <c r="A11" s="221">
        <v>38</v>
      </c>
      <c r="B11" s="384">
        <v>2011</v>
      </c>
    </row>
    <row r="12" spans="1:2" x14ac:dyDescent="0.3">
      <c r="A12" s="221">
        <v>39</v>
      </c>
      <c r="B12" s="384">
        <v>2000</v>
      </c>
    </row>
    <row r="13" spans="1:2" x14ac:dyDescent="0.3">
      <c r="A13" s="221">
        <v>40</v>
      </c>
      <c r="B13" s="384">
        <v>1986</v>
      </c>
    </row>
    <row r="14" spans="1:2" x14ac:dyDescent="0.3">
      <c r="A14" s="221">
        <v>41</v>
      </c>
      <c r="B14" s="384">
        <v>1975</v>
      </c>
    </row>
    <row r="15" spans="1:2" x14ac:dyDescent="0.3">
      <c r="A15" s="221">
        <v>42</v>
      </c>
      <c r="B15" s="384">
        <v>1961</v>
      </c>
    </row>
    <row r="16" spans="1:2" x14ac:dyDescent="0.3">
      <c r="A16" s="221">
        <v>43</v>
      </c>
      <c r="B16" s="384">
        <v>1950</v>
      </c>
    </row>
    <row r="17" spans="1:2" x14ac:dyDescent="0.3">
      <c r="A17" s="221">
        <v>44</v>
      </c>
      <c r="B17" s="384">
        <v>1938</v>
      </c>
    </row>
    <row r="18" spans="1:2" x14ac:dyDescent="0.3">
      <c r="A18" s="221">
        <v>45</v>
      </c>
      <c r="B18" s="384">
        <v>1926</v>
      </c>
    </row>
    <row r="19" spans="1:2" x14ac:dyDescent="0.3">
      <c r="A19" s="221">
        <v>46</v>
      </c>
      <c r="B19" s="384">
        <v>1913</v>
      </c>
    </row>
    <row r="20" spans="1:2" x14ac:dyDescent="0.3">
      <c r="A20" s="221">
        <v>47</v>
      </c>
      <c r="B20" s="384">
        <v>1901</v>
      </c>
    </row>
    <row r="21" spans="1:2" x14ac:dyDescent="0.3">
      <c r="A21" s="221">
        <v>48</v>
      </c>
      <c r="B21" s="384">
        <v>1890</v>
      </c>
    </row>
    <row r="22" spans="1:2" x14ac:dyDescent="0.3">
      <c r="A22" s="221">
        <v>49</v>
      </c>
      <c r="B22" s="384">
        <v>1879</v>
      </c>
    </row>
    <row r="23" spans="1:2" x14ac:dyDescent="0.3">
      <c r="A23" s="221">
        <v>50</v>
      </c>
      <c r="B23" s="384">
        <v>1867</v>
      </c>
    </row>
    <row r="24" spans="1:2" x14ac:dyDescent="0.3">
      <c r="A24" s="221">
        <v>51</v>
      </c>
      <c r="B24" s="384">
        <v>1855</v>
      </c>
    </row>
    <row r="25" spans="1:2" x14ac:dyDescent="0.3">
      <c r="A25" s="221">
        <v>52</v>
      </c>
      <c r="B25" s="384">
        <v>1844</v>
      </c>
    </row>
    <row r="26" spans="1:2" x14ac:dyDescent="0.3">
      <c r="A26" s="221">
        <v>53</v>
      </c>
      <c r="B26" s="384">
        <v>1833</v>
      </c>
    </row>
    <row r="27" spans="1:2" x14ac:dyDescent="0.3">
      <c r="A27" s="221">
        <v>54</v>
      </c>
      <c r="B27" s="384">
        <v>1822</v>
      </c>
    </row>
    <row r="28" spans="1:2" x14ac:dyDescent="0.3">
      <c r="A28" s="221">
        <v>55</v>
      </c>
      <c r="B28" s="384">
        <v>1812</v>
      </c>
    </row>
    <row r="29" spans="1:2" x14ac:dyDescent="0.3">
      <c r="A29" s="221">
        <v>56</v>
      </c>
      <c r="B29" s="384">
        <v>1800</v>
      </c>
    </row>
    <row r="30" spans="1:2" x14ac:dyDescent="0.3">
      <c r="A30" s="221">
        <v>57</v>
      </c>
      <c r="B30" s="384">
        <v>1790</v>
      </c>
    </row>
    <row r="31" spans="1:2" x14ac:dyDescent="0.3">
      <c r="A31" s="221">
        <v>58</v>
      </c>
      <c r="B31" s="384">
        <v>1778</v>
      </c>
    </row>
    <row r="32" spans="1:2" x14ac:dyDescent="0.3">
      <c r="A32" s="221">
        <v>59</v>
      </c>
      <c r="B32" s="384">
        <v>1769</v>
      </c>
    </row>
    <row r="33" spans="1:2" x14ac:dyDescent="0.3">
      <c r="A33" s="221">
        <v>60</v>
      </c>
      <c r="B33" s="384">
        <v>1757</v>
      </c>
    </row>
    <row r="34" spans="1:2" x14ac:dyDescent="0.3">
      <c r="A34" s="221">
        <v>61</v>
      </c>
      <c r="B34" s="384">
        <v>1747</v>
      </c>
    </row>
    <row r="35" spans="1:2" x14ac:dyDescent="0.3">
      <c r="A35" s="221">
        <v>62</v>
      </c>
      <c r="B35" s="384">
        <v>1736</v>
      </c>
    </row>
    <row r="36" spans="1:2" x14ac:dyDescent="0.3">
      <c r="A36" s="221">
        <v>63</v>
      </c>
      <c r="B36" s="384">
        <v>1727</v>
      </c>
    </row>
    <row r="37" spans="1:2" x14ac:dyDescent="0.3">
      <c r="A37" s="221">
        <v>64</v>
      </c>
      <c r="B37" s="384">
        <v>1716</v>
      </c>
    </row>
    <row r="38" spans="1:2" x14ac:dyDescent="0.3">
      <c r="A38" s="221">
        <v>65</v>
      </c>
      <c r="B38" s="384">
        <v>1708</v>
      </c>
    </row>
    <row r="39" spans="1:2" x14ac:dyDescent="0.3">
      <c r="A39" s="221">
        <v>66</v>
      </c>
      <c r="B39" s="384">
        <v>1696</v>
      </c>
    </row>
    <row r="40" spans="1:2" x14ac:dyDescent="0.3">
      <c r="A40" s="221">
        <v>67</v>
      </c>
      <c r="B40" s="384">
        <v>1688</v>
      </c>
    </row>
    <row r="41" spans="1:2" x14ac:dyDescent="0.3">
      <c r="A41" s="221">
        <v>68</v>
      </c>
      <c r="B41" s="384">
        <v>1677</v>
      </c>
    </row>
    <row r="42" spans="1:2" x14ac:dyDescent="0.3">
      <c r="A42" s="221">
        <v>69</v>
      </c>
      <c r="B42" s="384">
        <v>1668</v>
      </c>
    </row>
    <row r="43" spans="1:2" x14ac:dyDescent="0.3">
      <c r="A43" s="221">
        <v>70</v>
      </c>
      <c r="B43" s="384">
        <v>1658</v>
      </c>
    </row>
    <row r="44" spans="1:2" x14ac:dyDescent="0.3">
      <c r="A44" s="221">
        <v>71</v>
      </c>
      <c r="B44" s="384">
        <v>1649</v>
      </c>
    </row>
    <row r="45" spans="1:2" x14ac:dyDescent="0.3">
      <c r="A45" s="221">
        <v>72</v>
      </c>
      <c r="B45" s="384">
        <v>1639</v>
      </c>
    </row>
    <row r="46" spans="1:2" x14ac:dyDescent="0.3">
      <c r="A46" s="221">
        <v>73</v>
      </c>
      <c r="B46" s="384">
        <v>1631</v>
      </c>
    </row>
    <row r="47" spans="1:2" x14ac:dyDescent="0.3">
      <c r="A47" s="221">
        <v>74</v>
      </c>
      <c r="B47" s="384">
        <v>1621</v>
      </c>
    </row>
    <row r="48" spans="1:2" x14ac:dyDescent="0.3">
      <c r="A48" s="221">
        <v>75</v>
      </c>
      <c r="B48" s="384">
        <v>1613</v>
      </c>
    </row>
    <row r="49" spans="1:2" x14ac:dyDescent="0.3">
      <c r="A49" s="221">
        <v>76</v>
      </c>
      <c r="B49" s="384">
        <v>1603</v>
      </c>
    </row>
    <row r="50" spans="1:2" x14ac:dyDescent="0.3">
      <c r="A50" s="221">
        <v>77</v>
      </c>
      <c r="B50" s="384">
        <v>1595</v>
      </c>
    </row>
    <row r="51" spans="1:2" x14ac:dyDescent="0.3">
      <c r="A51" s="221">
        <v>78</v>
      </c>
      <c r="B51" s="384">
        <v>1586</v>
      </c>
    </row>
    <row r="52" spans="1:2" x14ac:dyDescent="0.3">
      <c r="A52" s="221">
        <v>79</v>
      </c>
      <c r="B52" s="384">
        <v>1577</v>
      </c>
    </row>
    <row r="53" spans="1:2" x14ac:dyDescent="0.3">
      <c r="A53" s="221">
        <v>80</v>
      </c>
      <c r="B53" s="384">
        <v>1568</v>
      </c>
    </row>
    <row r="54" spans="1:2" x14ac:dyDescent="0.3">
      <c r="A54" s="221">
        <v>81</v>
      </c>
      <c r="B54" s="384">
        <v>1561</v>
      </c>
    </row>
    <row r="55" spans="1:2" x14ac:dyDescent="0.3">
      <c r="A55" s="221">
        <v>82</v>
      </c>
      <c r="B55" s="384">
        <v>1552</v>
      </c>
    </row>
    <row r="56" spans="1:2" x14ac:dyDescent="0.3">
      <c r="A56" s="221">
        <v>83</v>
      </c>
      <c r="B56" s="384">
        <v>1544</v>
      </c>
    </row>
    <row r="57" spans="1:2" x14ac:dyDescent="0.3">
      <c r="A57" s="221">
        <v>84</v>
      </c>
      <c r="B57" s="384">
        <v>1535</v>
      </c>
    </row>
    <row r="58" spans="1:2" x14ac:dyDescent="0.3">
      <c r="A58" s="221">
        <v>85</v>
      </c>
      <c r="B58" s="384">
        <v>1529</v>
      </c>
    </row>
    <row r="59" spans="1:2" x14ac:dyDescent="0.3">
      <c r="A59" s="221">
        <v>86</v>
      </c>
      <c r="B59" s="384">
        <v>1520</v>
      </c>
    </row>
    <row r="60" spans="1:2" x14ac:dyDescent="0.3">
      <c r="A60" s="221">
        <v>87</v>
      </c>
      <c r="B60" s="384">
        <v>1512</v>
      </c>
    </row>
    <row r="61" spans="1:2" x14ac:dyDescent="0.3">
      <c r="A61" s="221">
        <v>88</v>
      </c>
      <c r="B61" s="384">
        <v>1504</v>
      </c>
    </row>
    <row r="62" spans="1:2" x14ac:dyDescent="0.3">
      <c r="A62" s="221">
        <v>89</v>
      </c>
      <c r="B62" s="384">
        <v>1498</v>
      </c>
    </row>
    <row r="63" spans="1:2" x14ac:dyDescent="0.3">
      <c r="A63" s="221">
        <v>90</v>
      </c>
      <c r="B63" s="384">
        <v>1489</v>
      </c>
    </row>
    <row r="64" spans="1:2" x14ac:dyDescent="0.3">
      <c r="A64" s="221">
        <v>91</v>
      </c>
      <c r="B64" s="384">
        <v>1483</v>
      </c>
    </row>
    <row r="65" spans="1:2" x14ac:dyDescent="0.3">
      <c r="A65" s="221">
        <v>92</v>
      </c>
      <c r="B65" s="384">
        <v>1474</v>
      </c>
    </row>
    <row r="66" spans="1:2" x14ac:dyDescent="0.3">
      <c r="A66" s="221">
        <v>93</v>
      </c>
      <c r="B66" s="384">
        <v>1468</v>
      </c>
    </row>
    <row r="67" spans="1:2" x14ac:dyDescent="0.3">
      <c r="A67" s="221">
        <v>94</v>
      </c>
      <c r="B67" s="384">
        <v>1460</v>
      </c>
    </row>
    <row r="68" spans="1:2" x14ac:dyDescent="0.3">
      <c r="A68" s="221">
        <v>95</v>
      </c>
      <c r="B68" s="384">
        <v>1454</v>
      </c>
    </row>
    <row r="69" spans="1:2" x14ac:dyDescent="0.3">
      <c r="A69" s="221">
        <v>96</v>
      </c>
      <c r="B69" s="384">
        <v>1445</v>
      </c>
    </row>
    <row r="70" spans="1:2" x14ac:dyDescent="0.3">
      <c r="A70" s="221">
        <v>97</v>
      </c>
      <c r="B70" s="384">
        <v>1439</v>
      </c>
    </row>
    <row r="71" spans="1:2" x14ac:dyDescent="0.3">
      <c r="A71" s="221">
        <v>98</v>
      </c>
      <c r="B71" s="384">
        <v>1433</v>
      </c>
    </row>
    <row r="72" spans="1:2" x14ac:dyDescent="0.3">
      <c r="A72" s="221">
        <v>99</v>
      </c>
      <c r="B72" s="384">
        <v>1427</v>
      </c>
    </row>
    <row r="73" spans="1:2" x14ac:dyDescent="0.3">
      <c r="A73" s="221">
        <v>100</v>
      </c>
      <c r="B73" s="384">
        <v>1419</v>
      </c>
    </row>
    <row r="74" spans="1:2" x14ac:dyDescent="0.3">
      <c r="A74" s="221">
        <v>101</v>
      </c>
      <c r="B74" s="384">
        <v>1413</v>
      </c>
    </row>
    <row r="75" spans="1:2" x14ac:dyDescent="0.3">
      <c r="A75" s="221">
        <v>102</v>
      </c>
      <c r="B75" s="384">
        <v>1407</v>
      </c>
    </row>
    <row r="76" spans="1:2" x14ac:dyDescent="0.3">
      <c r="A76" s="221">
        <v>103</v>
      </c>
      <c r="B76" s="384">
        <v>1401</v>
      </c>
    </row>
    <row r="77" spans="1:2" x14ac:dyDescent="0.3">
      <c r="A77" s="221">
        <v>104</v>
      </c>
      <c r="B77" s="384">
        <v>1394</v>
      </c>
    </row>
    <row r="78" spans="1:2" x14ac:dyDescent="0.3">
      <c r="A78" s="221">
        <v>105</v>
      </c>
      <c r="B78" s="384">
        <v>1389</v>
      </c>
    </row>
    <row r="79" spans="1:2" x14ac:dyDescent="0.3">
      <c r="A79" s="221">
        <v>106</v>
      </c>
      <c r="B79" s="384">
        <v>1382</v>
      </c>
    </row>
    <row r="80" spans="1:2" x14ac:dyDescent="0.3">
      <c r="A80" s="221">
        <v>107</v>
      </c>
      <c r="B80" s="384">
        <v>1377</v>
      </c>
    </row>
    <row r="81" spans="1:2" x14ac:dyDescent="0.3">
      <c r="A81" s="221">
        <v>108</v>
      </c>
      <c r="B81" s="384">
        <v>1371</v>
      </c>
    </row>
    <row r="82" spans="1:2" x14ac:dyDescent="0.3">
      <c r="A82" s="221">
        <v>109</v>
      </c>
      <c r="B82" s="384">
        <v>1366</v>
      </c>
    </row>
    <row r="83" spans="1:2" x14ac:dyDescent="0.3">
      <c r="A83" s="221">
        <v>110</v>
      </c>
      <c r="B83" s="384">
        <v>1360</v>
      </c>
    </row>
    <row r="84" spans="1:2" x14ac:dyDescent="0.3">
      <c r="A84" s="221">
        <v>111</v>
      </c>
      <c r="B84" s="384">
        <v>1355</v>
      </c>
    </row>
    <row r="85" spans="1:2" x14ac:dyDescent="0.3">
      <c r="A85" s="221">
        <v>112</v>
      </c>
      <c r="B85" s="384">
        <v>1348</v>
      </c>
    </row>
    <row r="86" spans="1:2" x14ac:dyDescent="0.3">
      <c r="A86" s="221">
        <v>113</v>
      </c>
      <c r="B86" s="384">
        <v>1345</v>
      </c>
    </row>
    <row r="87" spans="1:2" x14ac:dyDescent="0.3">
      <c r="A87" s="221">
        <v>114</v>
      </c>
      <c r="B87" s="384">
        <v>1338</v>
      </c>
    </row>
    <row r="88" spans="1:2" x14ac:dyDescent="0.3">
      <c r="A88" s="221">
        <v>115</v>
      </c>
      <c r="B88" s="384">
        <v>1335</v>
      </c>
    </row>
    <row r="89" spans="1:2" x14ac:dyDescent="0.3">
      <c r="A89" s="221">
        <v>116</v>
      </c>
      <c r="B89" s="384">
        <v>1329</v>
      </c>
    </row>
    <row r="90" spans="1:2" x14ac:dyDescent="0.3">
      <c r="A90" s="221">
        <v>117</v>
      </c>
      <c r="B90" s="384">
        <v>1325</v>
      </c>
    </row>
    <row r="91" spans="1:2" x14ac:dyDescent="0.3">
      <c r="A91" s="221">
        <v>118</v>
      </c>
      <c r="B91" s="384">
        <v>1319</v>
      </c>
    </row>
    <row r="92" spans="1:2" x14ac:dyDescent="0.3">
      <c r="A92" s="221">
        <v>119</v>
      </c>
      <c r="B92" s="384">
        <v>1315</v>
      </c>
    </row>
    <row r="93" spans="1:2" x14ac:dyDescent="0.3">
      <c r="A93" s="221">
        <v>120</v>
      </c>
      <c r="B93" s="384">
        <v>1310</v>
      </c>
    </row>
    <row r="94" spans="1:2" x14ac:dyDescent="0.3">
      <c r="A94" s="221">
        <v>121</v>
      </c>
      <c r="B94" s="384">
        <v>1306</v>
      </c>
    </row>
    <row r="95" spans="1:2" x14ac:dyDescent="0.3">
      <c r="A95" s="221">
        <v>122</v>
      </c>
      <c r="B95" s="384">
        <v>1301</v>
      </c>
    </row>
    <row r="96" spans="1:2" x14ac:dyDescent="0.3">
      <c r="A96" s="221">
        <v>123</v>
      </c>
      <c r="B96" s="384">
        <v>1297</v>
      </c>
    </row>
    <row r="97" spans="1:2" x14ac:dyDescent="0.3">
      <c r="A97" s="221">
        <v>124</v>
      </c>
      <c r="B97" s="384">
        <v>1293</v>
      </c>
    </row>
    <row r="98" spans="1:2" x14ac:dyDescent="0.3">
      <c r="A98" s="221">
        <v>125</v>
      </c>
      <c r="B98" s="384">
        <v>1290</v>
      </c>
    </row>
    <row r="99" spans="1:2" x14ac:dyDescent="0.3">
      <c r="A99" s="221">
        <v>126</v>
      </c>
      <c r="B99" s="384">
        <v>1285</v>
      </c>
    </row>
    <row r="100" spans="1:2" x14ac:dyDescent="0.3">
      <c r="A100" s="221">
        <v>127</v>
      </c>
      <c r="B100" s="384">
        <v>1281</v>
      </c>
    </row>
    <row r="101" spans="1:2" x14ac:dyDescent="0.3">
      <c r="A101" s="221">
        <v>128</v>
      </c>
      <c r="B101" s="384">
        <v>1278</v>
      </c>
    </row>
    <row r="102" spans="1:2" x14ac:dyDescent="0.3">
      <c r="A102" s="221">
        <v>129</v>
      </c>
      <c r="B102" s="384">
        <v>1274</v>
      </c>
    </row>
    <row r="103" spans="1:2" x14ac:dyDescent="0.3">
      <c r="A103" s="221">
        <v>130</v>
      </c>
      <c r="B103" s="384">
        <v>1270</v>
      </c>
    </row>
    <row r="104" spans="1:2" x14ac:dyDescent="0.3">
      <c r="A104" s="221">
        <v>131</v>
      </c>
      <c r="B104" s="384">
        <v>1268</v>
      </c>
    </row>
    <row r="105" spans="1:2" x14ac:dyDescent="0.3">
      <c r="A105" s="221">
        <v>132</v>
      </c>
      <c r="B105" s="384">
        <v>1264</v>
      </c>
    </row>
    <row r="106" spans="1:2" x14ac:dyDescent="0.3">
      <c r="A106" s="221">
        <v>133</v>
      </c>
      <c r="B106" s="384">
        <v>1260</v>
      </c>
    </row>
    <row r="107" spans="1:2" x14ac:dyDescent="0.3">
      <c r="A107" s="221">
        <v>134</v>
      </c>
      <c r="B107" s="384">
        <v>1256</v>
      </c>
    </row>
    <row r="108" spans="1:2" x14ac:dyDescent="0.3">
      <c r="A108" s="221">
        <v>135</v>
      </c>
      <c r="B108" s="384">
        <v>1255</v>
      </c>
    </row>
    <row r="109" spans="1:2" x14ac:dyDescent="0.3">
      <c r="A109" s="221">
        <v>136</v>
      </c>
      <c r="B109" s="384">
        <v>1251</v>
      </c>
    </row>
    <row r="110" spans="1:2" x14ac:dyDescent="0.3">
      <c r="A110" s="221">
        <v>137</v>
      </c>
      <c r="B110" s="384">
        <v>1249</v>
      </c>
    </row>
    <row r="111" spans="1:2" x14ac:dyDescent="0.3">
      <c r="A111" s="221">
        <v>138</v>
      </c>
      <c r="B111" s="384">
        <v>1245</v>
      </c>
    </row>
    <row r="112" spans="1:2" x14ac:dyDescent="0.3">
      <c r="A112" s="221">
        <v>139</v>
      </c>
      <c r="B112" s="384">
        <v>1244</v>
      </c>
    </row>
    <row r="113" spans="1:2" x14ac:dyDescent="0.3">
      <c r="A113" s="221">
        <v>140</v>
      </c>
      <c r="B113" s="384">
        <v>1240</v>
      </c>
    </row>
    <row r="114" spans="1:2" x14ac:dyDescent="0.3">
      <c r="A114" s="221">
        <v>141</v>
      </c>
      <c r="B114" s="384">
        <v>1239</v>
      </c>
    </row>
    <row r="115" spans="1:2" x14ac:dyDescent="0.3">
      <c r="A115" s="221">
        <v>142</v>
      </c>
      <c r="B115" s="384">
        <v>1235</v>
      </c>
    </row>
    <row r="116" spans="1:2" x14ac:dyDescent="0.3">
      <c r="A116" s="221">
        <v>143</v>
      </c>
      <c r="B116" s="384">
        <v>1234</v>
      </c>
    </row>
    <row r="117" spans="1:2" x14ac:dyDescent="0.3">
      <c r="A117" s="221">
        <v>144</v>
      </c>
      <c r="B117" s="384">
        <v>1232</v>
      </c>
    </row>
    <row r="118" spans="1:2" x14ac:dyDescent="0.3">
      <c r="A118" s="221">
        <v>145</v>
      </c>
      <c r="B118" s="384">
        <v>1230</v>
      </c>
    </row>
    <row r="119" spans="1:2" x14ac:dyDescent="0.3">
      <c r="A119" s="221">
        <v>146</v>
      </c>
      <c r="B119" s="384">
        <v>1227</v>
      </c>
    </row>
    <row r="120" spans="1:2" x14ac:dyDescent="0.3">
      <c r="A120" s="221">
        <v>147</v>
      </c>
      <c r="B120" s="384">
        <v>1225</v>
      </c>
    </row>
    <row r="121" spans="1:2" x14ac:dyDescent="0.3">
      <c r="A121" s="221">
        <v>148</v>
      </c>
      <c r="B121" s="384">
        <v>1224</v>
      </c>
    </row>
    <row r="122" spans="1:2" x14ac:dyDescent="0.3">
      <c r="A122" s="221">
        <v>149</v>
      </c>
      <c r="B122" s="384">
        <v>1223</v>
      </c>
    </row>
    <row r="123" spans="1:2" x14ac:dyDescent="0.3">
      <c r="A123" s="221">
        <v>150</v>
      </c>
      <c r="B123" s="384">
        <v>1220</v>
      </c>
    </row>
    <row r="124" spans="1:2" x14ac:dyDescent="0.3">
      <c r="A124" s="221">
        <f>A123+1</f>
        <v>151</v>
      </c>
      <c r="B124" s="384">
        <v>1220</v>
      </c>
    </row>
    <row r="125" spans="1:2" x14ac:dyDescent="0.3">
      <c r="A125" s="221">
        <f t="shared" ref="A125:A133" si="0">A124+1</f>
        <v>152</v>
      </c>
      <c r="B125" s="384">
        <v>1220</v>
      </c>
    </row>
    <row r="126" spans="1:2" x14ac:dyDescent="0.3">
      <c r="A126" s="221">
        <f t="shared" si="0"/>
        <v>153</v>
      </c>
      <c r="B126" s="384">
        <v>1220</v>
      </c>
    </row>
    <row r="127" spans="1:2" x14ac:dyDescent="0.3">
      <c r="A127" s="221">
        <f t="shared" si="0"/>
        <v>154</v>
      </c>
      <c r="B127" s="384">
        <v>1220</v>
      </c>
    </row>
    <row r="128" spans="1:2" x14ac:dyDescent="0.3">
      <c r="A128" s="221">
        <f t="shared" si="0"/>
        <v>155</v>
      </c>
      <c r="B128" s="384">
        <v>1220</v>
      </c>
    </row>
    <row r="129" spans="1:2" x14ac:dyDescent="0.3">
      <c r="A129" s="221">
        <f t="shared" si="0"/>
        <v>156</v>
      </c>
      <c r="B129" s="384">
        <v>1220</v>
      </c>
    </row>
    <row r="130" spans="1:2" x14ac:dyDescent="0.3">
      <c r="A130" s="221">
        <f t="shared" si="0"/>
        <v>157</v>
      </c>
      <c r="B130" s="384">
        <v>1220</v>
      </c>
    </row>
    <row r="131" spans="1:2" x14ac:dyDescent="0.3">
      <c r="A131" s="221">
        <f t="shared" si="0"/>
        <v>158</v>
      </c>
      <c r="B131" s="384">
        <v>1220</v>
      </c>
    </row>
    <row r="132" spans="1:2" x14ac:dyDescent="0.3">
      <c r="A132" s="221">
        <f t="shared" si="0"/>
        <v>159</v>
      </c>
      <c r="B132" s="384">
        <v>1220</v>
      </c>
    </row>
    <row r="133" spans="1:2" ht="15" thickBot="1" x14ac:dyDescent="0.35">
      <c r="A133" s="222">
        <f t="shared" si="0"/>
        <v>160</v>
      </c>
      <c r="B133" s="384">
        <v>1220</v>
      </c>
    </row>
    <row r="134" spans="1:2" ht="15" thickBot="1" x14ac:dyDescent="0.35">
      <c r="A134" s="222">
        <f t="shared" ref="A134" si="1">A133+1</f>
        <v>161</v>
      </c>
      <c r="B134" s="384">
        <v>1220</v>
      </c>
    </row>
  </sheetData>
  <autoFilter ref="A1:B134" xr:uid="{00000000-0001-0000-0200-000000000000}"/>
  <printOptions horizontalCentered="1"/>
  <pageMargins left="0.15748031496062992" right="0.15748031496062992" top="0.47244094488188981" bottom="0.23622047244094491" header="0.19685039370078741" footer="0.31496062992125984"/>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9"/>
  <sheetViews>
    <sheetView workbookViewId="0">
      <selection sqref="A1:XFD1048576"/>
    </sheetView>
  </sheetViews>
  <sheetFormatPr defaultColWidth="9.109375" defaultRowHeight="14.4" x14ac:dyDescent="0.3"/>
  <cols>
    <col min="1" max="1" width="16.44140625" style="3" customWidth="1"/>
    <col min="2" max="2" width="75.6640625" style="3" customWidth="1"/>
    <col min="3" max="256" width="9.109375" style="3"/>
    <col min="257" max="257" width="16.44140625" style="3" customWidth="1"/>
    <col min="258" max="258" width="75.6640625" style="3" customWidth="1"/>
    <col min="259" max="512" width="9.109375" style="3"/>
    <col min="513" max="513" width="16.44140625" style="3" customWidth="1"/>
    <col min="514" max="514" width="75.6640625" style="3" customWidth="1"/>
    <col min="515" max="768" width="9.109375" style="3"/>
    <col min="769" max="769" width="16.44140625" style="3" customWidth="1"/>
    <col min="770" max="770" width="75.6640625" style="3" customWidth="1"/>
    <col min="771" max="1024" width="9.109375" style="3"/>
    <col min="1025" max="1025" width="16.44140625" style="3" customWidth="1"/>
    <col min="1026" max="1026" width="75.6640625" style="3" customWidth="1"/>
    <col min="1027" max="1280" width="9.109375" style="3"/>
    <col min="1281" max="1281" width="16.44140625" style="3" customWidth="1"/>
    <col min="1282" max="1282" width="75.6640625" style="3" customWidth="1"/>
    <col min="1283" max="1536" width="9.109375" style="3"/>
    <col min="1537" max="1537" width="16.44140625" style="3" customWidth="1"/>
    <col min="1538" max="1538" width="75.6640625" style="3" customWidth="1"/>
    <col min="1539" max="1792" width="9.109375" style="3"/>
    <col min="1793" max="1793" width="16.44140625" style="3" customWidth="1"/>
    <col min="1794" max="1794" width="75.6640625" style="3" customWidth="1"/>
    <col min="1795" max="2048" width="9.109375" style="3"/>
    <col min="2049" max="2049" width="16.44140625" style="3" customWidth="1"/>
    <col min="2050" max="2050" width="75.6640625" style="3" customWidth="1"/>
    <col min="2051" max="2304" width="9.109375" style="3"/>
    <col min="2305" max="2305" width="16.44140625" style="3" customWidth="1"/>
    <col min="2306" max="2306" width="75.6640625" style="3" customWidth="1"/>
    <col min="2307" max="2560" width="9.109375" style="3"/>
    <col min="2561" max="2561" width="16.44140625" style="3" customWidth="1"/>
    <col min="2562" max="2562" width="75.6640625" style="3" customWidth="1"/>
    <col min="2563" max="2816" width="9.109375" style="3"/>
    <col min="2817" max="2817" width="16.44140625" style="3" customWidth="1"/>
    <col min="2818" max="2818" width="75.6640625" style="3" customWidth="1"/>
    <col min="2819" max="3072" width="9.109375" style="3"/>
    <col min="3073" max="3073" width="16.44140625" style="3" customWidth="1"/>
    <col min="3074" max="3074" width="75.6640625" style="3" customWidth="1"/>
    <col min="3075" max="3328" width="9.109375" style="3"/>
    <col min="3329" max="3329" width="16.44140625" style="3" customWidth="1"/>
    <col min="3330" max="3330" width="75.6640625" style="3" customWidth="1"/>
    <col min="3331" max="3584" width="9.109375" style="3"/>
    <col min="3585" max="3585" width="16.44140625" style="3" customWidth="1"/>
    <col min="3586" max="3586" width="75.6640625" style="3" customWidth="1"/>
    <col min="3587" max="3840" width="9.109375" style="3"/>
    <col min="3841" max="3841" width="16.44140625" style="3" customWidth="1"/>
    <col min="3842" max="3842" width="75.6640625" style="3" customWidth="1"/>
    <col min="3843" max="4096" width="9.109375" style="3"/>
    <col min="4097" max="4097" width="16.44140625" style="3" customWidth="1"/>
    <col min="4098" max="4098" width="75.6640625" style="3" customWidth="1"/>
    <col min="4099" max="4352" width="9.109375" style="3"/>
    <col min="4353" max="4353" width="16.44140625" style="3" customWidth="1"/>
    <col min="4354" max="4354" width="75.6640625" style="3" customWidth="1"/>
    <col min="4355" max="4608" width="9.109375" style="3"/>
    <col min="4609" max="4609" width="16.44140625" style="3" customWidth="1"/>
    <col min="4610" max="4610" width="75.6640625" style="3" customWidth="1"/>
    <col min="4611" max="4864" width="9.109375" style="3"/>
    <col min="4865" max="4865" width="16.44140625" style="3" customWidth="1"/>
    <col min="4866" max="4866" width="75.6640625" style="3" customWidth="1"/>
    <col min="4867" max="5120" width="9.109375" style="3"/>
    <col min="5121" max="5121" width="16.44140625" style="3" customWidth="1"/>
    <col min="5122" max="5122" width="75.6640625" style="3" customWidth="1"/>
    <col min="5123" max="5376" width="9.109375" style="3"/>
    <col min="5377" max="5377" width="16.44140625" style="3" customWidth="1"/>
    <col min="5378" max="5378" width="75.6640625" style="3" customWidth="1"/>
    <col min="5379" max="5632" width="9.109375" style="3"/>
    <col min="5633" max="5633" width="16.44140625" style="3" customWidth="1"/>
    <col min="5634" max="5634" width="75.6640625" style="3" customWidth="1"/>
    <col min="5635" max="5888" width="9.109375" style="3"/>
    <col min="5889" max="5889" width="16.44140625" style="3" customWidth="1"/>
    <col min="5890" max="5890" width="75.6640625" style="3" customWidth="1"/>
    <col min="5891" max="6144" width="9.109375" style="3"/>
    <col min="6145" max="6145" width="16.44140625" style="3" customWidth="1"/>
    <col min="6146" max="6146" width="75.6640625" style="3" customWidth="1"/>
    <col min="6147" max="6400" width="9.109375" style="3"/>
    <col min="6401" max="6401" width="16.44140625" style="3" customWidth="1"/>
    <col min="6402" max="6402" width="75.6640625" style="3" customWidth="1"/>
    <col min="6403" max="6656" width="9.109375" style="3"/>
    <col min="6657" max="6657" width="16.44140625" style="3" customWidth="1"/>
    <col min="6658" max="6658" width="75.6640625" style="3" customWidth="1"/>
    <col min="6659" max="6912" width="9.109375" style="3"/>
    <col min="6913" max="6913" width="16.44140625" style="3" customWidth="1"/>
    <col min="6914" max="6914" width="75.6640625" style="3" customWidth="1"/>
    <col min="6915" max="7168" width="9.109375" style="3"/>
    <col min="7169" max="7169" width="16.44140625" style="3" customWidth="1"/>
    <col min="7170" max="7170" width="75.6640625" style="3" customWidth="1"/>
    <col min="7171" max="7424" width="9.109375" style="3"/>
    <col min="7425" max="7425" width="16.44140625" style="3" customWidth="1"/>
    <col min="7426" max="7426" width="75.6640625" style="3" customWidth="1"/>
    <col min="7427" max="7680" width="9.109375" style="3"/>
    <col min="7681" max="7681" width="16.44140625" style="3" customWidth="1"/>
    <col min="7682" max="7682" width="75.6640625" style="3" customWidth="1"/>
    <col min="7683" max="7936" width="9.109375" style="3"/>
    <col min="7937" max="7937" width="16.44140625" style="3" customWidth="1"/>
    <col min="7938" max="7938" width="75.6640625" style="3" customWidth="1"/>
    <col min="7939" max="8192" width="9.109375" style="3"/>
    <col min="8193" max="8193" width="16.44140625" style="3" customWidth="1"/>
    <col min="8194" max="8194" width="75.6640625" style="3" customWidth="1"/>
    <col min="8195" max="8448" width="9.109375" style="3"/>
    <col min="8449" max="8449" width="16.44140625" style="3" customWidth="1"/>
    <col min="8450" max="8450" width="75.6640625" style="3" customWidth="1"/>
    <col min="8451" max="8704" width="9.109375" style="3"/>
    <col min="8705" max="8705" width="16.44140625" style="3" customWidth="1"/>
    <col min="8706" max="8706" width="75.6640625" style="3" customWidth="1"/>
    <col min="8707" max="8960" width="9.109375" style="3"/>
    <col min="8961" max="8961" width="16.44140625" style="3" customWidth="1"/>
    <col min="8962" max="8962" width="75.6640625" style="3" customWidth="1"/>
    <col min="8963" max="9216" width="9.109375" style="3"/>
    <col min="9217" max="9217" width="16.44140625" style="3" customWidth="1"/>
    <col min="9218" max="9218" width="75.6640625" style="3" customWidth="1"/>
    <col min="9219" max="9472" width="9.109375" style="3"/>
    <col min="9473" max="9473" width="16.44140625" style="3" customWidth="1"/>
    <col min="9474" max="9474" width="75.6640625" style="3" customWidth="1"/>
    <col min="9475" max="9728" width="9.109375" style="3"/>
    <col min="9729" max="9729" width="16.44140625" style="3" customWidth="1"/>
    <col min="9730" max="9730" width="75.6640625" style="3" customWidth="1"/>
    <col min="9731" max="9984" width="9.109375" style="3"/>
    <col min="9985" max="9985" width="16.44140625" style="3" customWidth="1"/>
    <col min="9986" max="9986" width="75.6640625" style="3" customWidth="1"/>
    <col min="9987" max="10240" width="9.109375" style="3"/>
    <col min="10241" max="10241" width="16.44140625" style="3" customWidth="1"/>
    <col min="10242" max="10242" width="75.6640625" style="3" customWidth="1"/>
    <col min="10243" max="10496" width="9.109375" style="3"/>
    <col min="10497" max="10497" width="16.44140625" style="3" customWidth="1"/>
    <col min="10498" max="10498" width="75.6640625" style="3" customWidth="1"/>
    <col min="10499" max="10752" width="9.109375" style="3"/>
    <col min="10753" max="10753" width="16.44140625" style="3" customWidth="1"/>
    <col min="10754" max="10754" width="75.6640625" style="3" customWidth="1"/>
    <col min="10755" max="11008" width="9.109375" style="3"/>
    <col min="11009" max="11009" width="16.44140625" style="3" customWidth="1"/>
    <col min="11010" max="11010" width="75.6640625" style="3" customWidth="1"/>
    <col min="11011" max="11264" width="9.109375" style="3"/>
    <col min="11265" max="11265" width="16.44140625" style="3" customWidth="1"/>
    <col min="11266" max="11266" width="75.6640625" style="3" customWidth="1"/>
    <col min="11267" max="11520" width="9.109375" style="3"/>
    <col min="11521" max="11521" width="16.44140625" style="3" customWidth="1"/>
    <col min="11522" max="11522" width="75.6640625" style="3" customWidth="1"/>
    <col min="11523" max="11776" width="9.109375" style="3"/>
    <col min="11777" max="11777" width="16.44140625" style="3" customWidth="1"/>
    <col min="11778" max="11778" width="75.6640625" style="3" customWidth="1"/>
    <col min="11779" max="12032" width="9.109375" style="3"/>
    <col min="12033" max="12033" width="16.44140625" style="3" customWidth="1"/>
    <col min="12034" max="12034" width="75.6640625" style="3" customWidth="1"/>
    <col min="12035" max="12288" width="9.109375" style="3"/>
    <col min="12289" max="12289" width="16.44140625" style="3" customWidth="1"/>
    <col min="12290" max="12290" width="75.6640625" style="3" customWidth="1"/>
    <col min="12291" max="12544" width="9.109375" style="3"/>
    <col min="12545" max="12545" width="16.44140625" style="3" customWidth="1"/>
    <col min="12546" max="12546" width="75.6640625" style="3" customWidth="1"/>
    <col min="12547" max="12800" width="9.109375" style="3"/>
    <col min="12801" max="12801" width="16.44140625" style="3" customWidth="1"/>
    <col min="12802" max="12802" width="75.6640625" style="3" customWidth="1"/>
    <col min="12803" max="13056" width="9.109375" style="3"/>
    <col min="13057" max="13057" width="16.44140625" style="3" customWidth="1"/>
    <col min="13058" max="13058" width="75.6640625" style="3" customWidth="1"/>
    <col min="13059" max="13312" width="9.109375" style="3"/>
    <col min="13313" max="13313" width="16.44140625" style="3" customWidth="1"/>
    <col min="13314" max="13314" width="75.6640625" style="3" customWidth="1"/>
    <col min="13315" max="13568" width="9.109375" style="3"/>
    <col min="13569" max="13569" width="16.44140625" style="3" customWidth="1"/>
    <col min="13570" max="13570" width="75.6640625" style="3" customWidth="1"/>
    <col min="13571" max="13824" width="9.109375" style="3"/>
    <col min="13825" max="13825" width="16.44140625" style="3" customWidth="1"/>
    <col min="13826" max="13826" width="75.6640625" style="3" customWidth="1"/>
    <col min="13827" max="14080" width="9.109375" style="3"/>
    <col min="14081" max="14081" width="16.44140625" style="3" customWidth="1"/>
    <col min="14082" max="14082" width="75.6640625" style="3" customWidth="1"/>
    <col min="14083" max="14336" width="9.109375" style="3"/>
    <col min="14337" max="14337" width="16.44140625" style="3" customWidth="1"/>
    <col min="14338" max="14338" width="75.6640625" style="3" customWidth="1"/>
    <col min="14339" max="14592" width="9.109375" style="3"/>
    <col min="14593" max="14593" width="16.44140625" style="3" customWidth="1"/>
    <col min="14594" max="14594" width="75.6640625" style="3" customWidth="1"/>
    <col min="14595" max="14848" width="9.109375" style="3"/>
    <col min="14849" max="14849" width="16.44140625" style="3" customWidth="1"/>
    <col min="14850" max="14850" width="75.6640625" style="3" customWidth="1"/>
    <col min="14851" max="15104" width="9.109375" style="3"/>
    <col min="15105" max="15105" width="16.44140625" style="3" customWidth="1"/>
    <col min="15106" max="15106" width="75.6640625" style="3" customWidth="1"/>
    <col min="15107" max="15360" width="9.109375" style="3"/>
    <col min="15361" max="15361" width="16.44140625" style="3" customWidth="1"/>
    <col min="15362" max="15362" width="75.6640625" style="3" customWidth="1"/>
    <col min="15363" max="15616" width="9.109375" style="3"/>
    <col min="15617" max="15617" width="16.44140625" style="3" customWidth="1"/>
    <col min="15618" max="15618" width="75.6640625" style="3" customWidth="1"/>
    <col min="15619" max="15872" width="9.109375" style="3"/>
    <col min="15873" max="15873" width="16.44140625" style="3" customWidth="1"/>
    <col min="15874" max="15874" width="75.6640625" style="3" customWidth="1"/>
    <col min="15875" max="16128" width="9.109375" style="3"/>
    <col min="16129" max="16129" width="16.44140625" style="3" customWidth="1"/>
    <col min="16130" max="16130" width="75.6640625" style="3" customWidth="1"/>
    <col min="16131" max="16384" width="9.109375" style="3"/>
  </cols>
  <sheetData>
    <row r="1" spans="1:2" ht="18" x14ac:dyDescent="0.3">
      <c r="A1" s="270" t="s">
        <v>212</v>
      </c>
      <c r="B1" s="270" t="s">
        <v>213</v>
      </c>
    </row>
    <row r="2" spans="1:2" ht="57.6" x14ac:dyDescent="0.3">
      <c r="A2" s="271" t="s">
        <v>214</v>
      </c>
      <c r="B2" s="271" t="s">
        <v>215</v>
      </c>
    </row>
    <row r="3" spans="1:2" ht="18" customHeight="1" x14ac:dyDescent="0.3">
      <c r="A3" s="271" t="s">
        <v>216</v>
      </c>
      <c r="B3" s="271" t="s">
        <v>217</v>
      </c>
    </row>
    <row r="4" spans="1:2" ht="18" customHeight="1" x14ac:dyDescent="0.3">
      <c r="A4" s="271" t="s">
        <v>218</v>
      </c>
      <c r="B4" s="271" t="s">
        <v>219</v>
      </c>
    </row>
    <row r="5" spans="1:2" ht="43.2" x14ac:dyDescent="0.3">
      <c r="A5" s="271" t="s">
        <v>220</v>
      </c>
      <c r="B5" s="271" t="s">
        <v>221</v>
      </c>
    </row>
    <row r="6" spans="1:2" ht="43.2" x14ac:dyDescent="0.3">
      <c r="A6" s="271" t="s">
        <v>222</v>
      </c>
      <c r="B6" s="271" t="s">
        <v>223</v>
      </c>
    </row>
    <row r="7" spans="1:2" ht="28.8" x14ac:dyDescent="0.3">
      <c r="A7" s="271" t="s">
        <v>224</v>
      </c>
      <c r="B7" s="271" t="s">
        <v>225</v>
      </c>
    </row>
    <row r="8" spans="1:2" x14ac:dyDescent="0.3">
      <c r="A8" s="271" t="s">
        <v>79</v>
      </c>
      <c r="B8" s="271" t="s">
        <v>226</v>
      </c>
    </row>
    <row r="9" spans="1:2" x14ac:dyDescent="0.3">
      <c r="A9" s="271" t="s">
        <v>227</v>
      </c>
      <c r="B9" s="271" t="s">
        <v>228</v>
      </c>
    </row>
    <row r="10" spans="1:2" x14ac:dyDescent="0.3">
      <c r="A10" s="271" t="s">
        <v>229</v>
      </c>
      <c r="B10" s="271" t="s">
        <v>230</v>
      </c>
    </row>
    <row r="11" spans="1:2" x14ac:dyDescent="0.3">
      <c r="A11" s="271" t="s">
        <v>231</v>
      </c>
      <c r="B11" s="271" t="s">
        <v>232</v>
      </c>
    </row>
    <row r="12" spans="1:2" x14ac:dyDescent="0.3">
      <c r="A12" s="271" t="s">
        <v>84</v>
      </c>
      <c r="B12" s="271" t="s">
        <v>233</v>
      </c>
    </row>
    <row r="13" spans="1:2" x14ac:dyDescent="0.3">
      <c r="A13" s="271" t="s">
        <v>234</v>
      </c>
      <c r="B13" s="271" t="s">
        <v>235</v>
      </c>
    </row>
    <row r="14" spans="1:2" ht="28.8" x14ac:dyDescent="0.3">
      <c r="A14" s="271" t="s">
        <v>86</v>
      </c>
      <c r="B14" s="271" t="s">
        <v>236</v>
      </c>
    </row>
    <row r="15" spans="1:2" ht="28.8" x14ac:dyDescent="0.3">
      <c r="A15" s="271" t="s">
        <v>237</v>
      </c>
      <c r="B15" s="271" t="s">
        <v>238</v>
      </c>
    </row>
    <row r="16" spans="1:2" x14ac:dyDescent="0.3">
      <c r="A16" s="271" t="s">
        <v>239</v>
      </c>
      <c r="B16" s="271" t="s">
        <v>240</v>
      </c>
    </row>
    <row r="17" spans="1:2" x14ac:dyDescent="0.3">
      <c r="A17" s="271" t="s">
        <v>82</v>
      </c>
      <c r="B17" s="271" t="s">
        <v>241</v>
      </c>
    </row>
    <row r="18" spans="1:2" x14ac:dyDescent="0.3">
      <c r="A18" s="271" t="s">
        <v>242</v>
      </c>
      <c r="B18" s="271" t="s">
        <v>243</v>
      </c>
    </row>
    <row r="19" spans="1:2" x14ac:dyDescent="0.3">
      <c r="A19" s="271" t="s">
        <v>244</v>
      </c>
      <c r="B19" s="271" t="s">
        <v>244</v>
      </c>
    </row>
    <row r="20" spans="1:2" x14ac:dyDescent="0.3">
      <c r="A20" s="271" t="s">
        <v>245</v>
      </c>
      <c r="B20" s="271" t="s">
        <v>246</v>
      </c>
    </row>
    <row r="21" spans="1:2" x14ac:dyDescent="0.3">
      <c r="A21" s="271" t="s">
        <v>247</v>
      </c>
      <c r="B21" s="271" t="s">
        <v>248</v>
      </c>
    </row>
    <row r="22" spans="1:2" x14ac:dyDescent="0.3">
      <c r="A22" s="271" t="s">
        <v>249</v>
      </c>
      <c r="B22" s="271" t="s">
        <v>250</v>
      </c>
    </row>
    <row r="23" spans="1:2" x14ac:dyDescent="0.3">
      <c r="A23" s="271" t="s">
        <v>251</v>
      </c>
      <c r="B23" s="271" t="s">
        <v>252</v>
      </c>
    </row>
    <row r="24" spans="1:2" x14ac:dyDescent="0.3">
      <c r="A24" s="271" t="s">
        <v>253</v>
      </c>
      <c r="B24" s="271" t="s">
        <v>254</v>
      </c>
    </row>
    <row r="25" spans="1:2" x14ac:dyDescent="0.3">
      <c r="A25" s="271" t="s">
        <v>255</v>
      </c>
      <c r="B25" s="271" t="s">
        <v>256</v>
      </c>
    </row>
    <row r="26" spans="1:2" x14ac:dyDescent="0.3">
      <c r="A26" s="271" t="s">
        <v>257</v>
      </c>
      <c r="B26" s="271" t="s">
        <v>258</v>
      </c>
    </row>
    <row r="27" spans="1:2" x14ac:dyDescent="0.3">
      <c r="A27" s="271" t="s">
        <v>60</v>
      </c>
      <c r="B27" s="271" t="s">
        <v>259</v>
      </c>
    </row>
    <row r="28" spans="1:2" x14ac:dyDescent="0.3">
      <c r="A28" s="271" t="s">
        <v>260</v>
      </c>
      <c r="B28" s="271" t="s">
        <v>260</v>
      </c>
    </row>
    <row r="29" spans="1:2" x14ac:dyDescent="0.3">
      <c r="A29" s="271" t="s">
        <v>261</v>
      </c>
      <c r="B29" s="271" t="s">
        <v>262</v>
      </c>
    </row>
    <row r="30" spans="1:2" x14ac:dyDescent="0.3">
      <c r="A30" s="271" t="s">
        <v>263</v>
      </c>
      <c r="B30" s="271" t="s">
        <v>264</v>
      </c>
    </row>
    <row r="31" spans="1:2" x14ac:dyDescent="0.3">
      <c r="A31" s="271" t="s">
        <v>265</v>
      </c>
      <c r="B31" s="271" t="s">
        <v>266</v>
      </c>
    </row>
    <row r="32" spans="1:2" x14ac:dyDescent="0.3">
      <c r="A32" s="271" t="s">
        <v>88</v>
      </c>
      <c r="B32" s="271" t="s">
        <v>267</v>
      </c>
    </row>
    <row r="33" spans="1:2" x14ac:dyDescent="0.3">
      <c r="A33" s="271" t="s">
        <v>268</v>
      </c>
      <c r="B33" s="271" t="s">
        <v>269</v>
      </c>
    </row>
    <row r="34" spans="1:2" x14ac:dyDescent="0.3">
      <c r="A34" s="271" t="s">
        <v>270</v>
      </c>
      <c r="B34" s="271" t="s">
        <v>271</v>
      </c>
    </row>
    <row r="35" spans="1:2" x14ac:dyDescent="0.3">
      <c r="A35" s="271" t="s">
        <v>272</v>
      </c>
      <c r="B35" s="271" t="s">
        <v>273</v>
      </c>
    </row>
    <row r="36" spans="1:2" x14ac:dyDescent="0.3">
      <c r="A36" s="271" t="s">
        <v>274</v>
      </c>
      <c r="B36" s="271" t="s">
        <v>274</v>
      </c>
    </row>
    <row r="37" spans="1:2" x14ac:dyDescent="0.3">
      <c r="A37" s="271" t="s">
        <v>275</v>
      </c>
      <c r="B37" s="271" t="s">
        <v>276</v>
      </c>
    </row>
    <row r="38" spans="1:2" x14ac:dyDescent="0.3">
      <c r="A38" s="271" t="s">
        <v>277</v>
      </c>
      <c r="B38" s="271" t="s">
        <v>278</v>
      </c>
    </row>
    <row r="39" spans="1:2" x14ac:dyDescent="0.3">
      <c r="A39" s="271" t="s">
        <v>279</v>
      </c>
      <c r="B39" s="271" t="s">
        <v>280</v>
      </c>
    </row>
  </sheetData>
  <pageMargins left="0.39370078740157483" right="0.19685039370078741" top="0.39370078740157483" bottom="0.39370078740157483" header="0.19685039370078741"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5E8BD-1EFB-4D53-807D-E3260C8AFD80}">
  <dimension ref="A1:J43"/>
  <sheetViews>
    <sheetView workbookViewId="0">
      <selection activeCell="A8" sqref="A8"/>
    </sheetView>
  </sheetViews>
  <sheetFormatPr defaultRowHeight="14.4" x14ac:dyDescent="0.3"/>
  <cols>
    <col min="1" max="1" width="10.6640625" style="2" customWidth="1"/>
    <col min="2" max="2" width="41.33203125" bestFit="1" customWidth="1"/>
    <col min="3" max="3" width="27.6640625" bestFit="1" customWidth="1"/>
    <col min="4" max="4" width="27.44140625" bestFit="1" customWidth="1"/>
    <col min="5" max="5" width="35.88671875" bestFit="1" customWidth="1"/>
    <col min="6" max="7" width="25.109375" bestFit="1" customWidth="1"/>
    <col min="8" max="8" width="17.5546875" bestFit="1" customWidth="1"/>
    <col min="9" max="9" width="35.44140625" bestFit="1" customWidth="1"/>
    <col min="10" max="10" width="53.6640625" bestFit="1" customWidth="1"/>
    <col min="257" max="257" width="10.6640625" customWidth="1"/>
    <col min="258" max="258" width="41.33203125" bestFit="1" customWidth="1"/>
    <col min="259" max="259" width="27.6640625" bestFit="1" customWidth="1"/>
    <col min="260" max="260" width="27.44140625" bestFit="1" customWidth="1"/>
    <col min="261" max="261" width="35.88671875" bestFit="1" customWidth="1"/>
    <col min="262" max="263" width="25.109375" bestFit="1" customWidth="1"/>
    <col min="264" max="264" width="17.5546875" bestFit="1" customWidth="1"/>
    <col min="265" max="265" width="35.44140625" bestFit="1" customWidth="1"/>
    <col min="266" max="266" width="53.6640625" bestFit="1" customWidth="1"/>
    <col min="513" max="513" width="10.6640625" customWidth="1"/>
    <col min="514" max="514" width="41.33203125" bestFit="1" customWidth="1"/>
    <col min="515" max="515" width="27.6640625" bestFit="1" customWidth="1"/>
    <col min="516" max="516" width="27.44140625" bestFit="1" customWidth="1"/>
    <col min="517" max="517" width="35.88671875" bestFit="1" customWidth="1"/>
    <col min="518" max="519" width="25.109375" bestFit="1" customWidth="1"/>
    <col min="520" max="520" width="17.5546875" bestFit="1" customWidth="1"/>
    <col min="521" max="521" width="35.44140625" bestFit="1" customWidth="1"/>
    <col min="522" max="522" width="53.6640625" bestFit="1" customWidth="1"/>
    <col min="769" max="769" width="10.6640625" customWidth="1"/>
    <col min="770" max="770" width="41.33203125" bestFit="1" customWidth="1"/>
    <col min="771" max="771" width="27.6640625" bestFit="1" customWidth="1"/>
    <col min="772" max="772" width="27.44140625" bestFit="1" customWidth="1"/>
    <col min="773" max="773" width="35.88671875" bestFit="1" customWidth="1"/>
    <col min="774" max="775" width="25.109375" bestFit="1" customWidth="1"/>
    <col min="776" max="776" width="17.5546875" bestFit="1" customWidth="1"/>
    <col min="777" max="777" width="35.44140625" bestFit="1" customWidth="1"/>
    <col min="778" max="778" width="53.6640625" bestFit="1" customWidth="1"/>
    <col min="1025" max="1025" width="10.6640625" customWidth="1"/>
    <col min="1026" max="1026" width="41.33203125" bestFit="1" customWidth="1"/>
    <col min="1027" max="1027" width="27.6640625" bestFit="1" customWidth="1"/>
    <col min="1028" max="1028" width="27.44140625" bestFit="1" customWidth="1"/>
    <col min="1029" max="1029" width="35.88671875" bestFit="1" customWidth="1"/>
    <col min="1030" max="1031" width="25.109375" bestFit="1" customWidth="1"/>
    <col min="1032" max="1032" width="17.5546875" bestFit="1" customWidth="1"/>
    <col min="1033" max="1033" width="35.44140625" bestFit="1" customWidth="1"/>
    <col min="1034" max="1034" width="53.6640625" bestFit="1" customWidth="1"/>
    <col min="1281" max="1281" width="10.6640625" customWidth="1"/>
    <col min="1282" max="1282" width="41.33203125" bestFit="1" customWidth="1"/>
    <col min="1283" max="1283" width="27.6640625" bestFit="1" customWidth="1"/>
    <col min="1284" max="1284" width="27.44140625" bestFit="1" customWidth="1"/>
    <col min="1285" max="1285" width="35.88671875" bestFit="1" customWidth="1"/>
    <col min="1286" max="1287" width="25.109375" bestFit="1" customWidth="1"/>
    <col min="1288" max="1288" width="17.5546875" bestFit="1" customWidth="1"/>
    <col min="1289" max="1289" width="35.44140625" bestFit="1" customWidth="1"/>
    <col min="1290" max="1290" width="53.6640625" bestFit="1" customWidth="1"/>
    <col min="1537" max="1537" width="10.6640625" customWidth="1"/>
    <col min="1538" max="1538" width="41.33203125" bestFit="1" customWidth="1"/>
    <col min="1539" max="1539" width="27.6640625" bestFit="1" customWidth="1"/>
    <col min="1540" max="1540" width="27.44140625" bestFit="1" customWidth="1"/>
    <col min="1541" max="1541" width="35.88671875" bestFit="1" customWidth="1"/>
    <col min="1542" max="1543" width="25.109375" bestFit="1" customWidth="1"/>
    <col min="1544" max="1544" width="17.5546875" bestFit="1" customWidth="1"/>
    <col min="1545" max="1545" width="35.44140625" bestFit="1" customWidth="1"/>
    <col min="1546" max="1546" width="53.6640625" bestFit="1" customWidth="1"/>
    <col min="1793" max="1793" width="10.6640625" customWidth="1"/>
    <col min="1794" max="1794" width="41.33203125" bestFit="1" customWidth="1"/>
    <col min="1795" max="1795" width="27.6640625" bestFit="1" customWidth="1"/>
    <col min="1796" max="1796" width="27.44140625" bestFit="1" customWidth="1"/>
    <col min="1797" max="1797" width="35.88671875" bestFit="1" customWidth="1"/>
    <col min="1798" max="1799" width="25.109375" bestFit="1" customWidth="1"/>
    <col min="1800" max="1800" width="17.5546875" bestFit="1" customWidth="1"/>
    <col min="1801" max="1801" width="35.44140625" bestFit="1" customWidth="1"/>
    <col min="1802" max="1802" width="53.6640625" bestFit="1" customWidth="1"/>
    <col min="2049" max="2049" width="10.6640625" customWidth="1"/>
    <col min="2050" max="2050" width="41.33203125" bestFit="1" customWidth="1"/>
    <col min="2051" max="2051" width="27.6640625" bestFit="1" customWidth="1"/>
    <col min="2052" max="2052" width="27.44140625" bestFit="1" customWidth="1"/>
    <col min="2053" max="2053" width="35.88671875" bestFit="1" customWidth="1"/>
    <col min="2054" max="2055" width="25.109375" bestFit="1" customWidth="1"/>
    <col min="2056" max="2056" width="17.5546875" bestFit="1" customWidth="1"/>
    <col min="2057" max="2057" width="35.44140625" bestFit="1" customWidth="1"/>
    <col min="2058" max="2058" width="53.6640625" bestFit="1" customWidth="1"/>
    <col min="2305" max="2305" width="10.6640625" customWidth="1"/>
    <col min="2306" max="2306" width="41.33203125" bestFit="1" customWidth="1"/>
    <col min="2307" max="2307" width="27.6640625" bestFit="1" customWidth="1"/>
    <col min="2308" max="2308" width="27.44140625" bestFit="1" customWidth="1"/>
    <col min="2309" max="2309" width="35.88671875" bestFit="1" customWidth="1"/>
    <col min="2310" max="2311" width="25.109375" bestFit="1" customWidth="1"/>
    <col min="2312" max="2312" width="17.5546875" bestFit="1" customWidth="1"/>
    <col min="2313" max="2313" width="35.44140625" bestFit="1" customWidth="1"/>
    <col min="2314" max="2314" width="53.6640625" bestFit="1" customWidth="1"/>
    <col min="2561" max="2561" width="10.6640625" customWidth="1"/>
    <col min="2562" max="2562" width="41.33203125" bestFit="1" customWidth="1"/>
    <col min="2563" max="2563" width="27.6640625" bestFit="1" customWidth="1"/>
    <col min="2564" max="2564" width="27.44140625" bestFit="1" customWidth="1"/>
    <col min="2565" max="2565" width="35.88671875" bestFit="1" customWidth="1"/>
    <col min="2566" max="2567" width="25.109375" bestFit="1" customWidth="1"/>
    <col min="2568" max="2568" width="17.5546875" bestFit="1" customWidth="1"/>
    <col min="2569" max="2569" width="35.44140625" bestFit="1" customWidth="1"/>
    <col min="2570" max="2570" width="53.6640625" bestFit="1" customWidth="1"/>
    <col min="2817" max="2817" width="10.6640625" customWidth="1"/>
    <col min="2818" max="2818" width="41.33203125" bestFit="1" customWidth="1"/>
    <col min="2819" max="2819" width="27.6640625" bestFit="1" customWidth="1"/>
    <col min="2820" max="2820" width="27.44140625" bestFit="1" customWidth="1"/>
    <col min="2821" max="2821" width="35.88671875" bestFit="1" customWidth="1"/>
    <col min="2822" max="2823" width="25.109375" bestFit="1" customWidth="1"/>
    <col min="2824" max="2824" width="17.5546875" bestFit="1" customWidth="1"/>
    <col min="2825" max="2825" width="35.44140625" bestFit="1" customWidth="1"/>
    <col min="2826" max="2826" width="53.6640625" bestFit="1" customWidth="1"/>
    <col min="3073" max="3073" width="10.6640625" customWidth="1"/>
    <col min="3074" max="3074" width="41.33203125" bestFit="1" customWidth="1"/>
    <col min="3075" max="3075" width="27.6640625" bestFit="1" customWidth="1"/>
    <col min="3076" max="3076" width="27.44140625" bestFit="1" customWidth="1"/>
    <col min="3077" max="3077" width="35.88671875" bestFit="1" customWidth="1"/>
    <col min="3078" max="3079" width="25.109375" bestFit="1" customWidth="1"/>
    <col min="3080" max="3080" width="17.5546875" bestFit="1" customWidth="1"/>
    <col min="3081" max="3081" width="35.44140625" bestFit="1" customWidth="1"/>
    <col min="3082" max="3082" width="53.6640625" bestFit="1" customWidth="1"/>
    <col min="3329" max="3329" width="10.6640625" customWidth="1"/>
    <col min="3330" max="3330" width="41.33203125" bestFit="1" customWidth="1"/>
    <col min="3331" max="3331" width="27.6640625" bestFit="1" customWidth="1"/>
    <col min="3332" max="3332" width="27.44140625" bestFit="1" customWidth="1"/>
    <col min="3333" max="3333" width="35.88671875" bestFit="1" customWidth="1"/>
    <col min="3334" max="3335" width="25.109375" bestFit="1" customWidth="1"/>
    <col min="3336" max="3336" width="17.5546875" bestFit="1" customWidth="1"/>
    <col min="3337" max="3337" width="35.44140625" bestFit="1" customWidth="1"/>
    <col min="3338" max="3338" width="53.6640625" bestFit="1" customWidth="1"/>
    <col min="3585" max="3585" width="10.6640625" customWidth="1"/>
    <col min="3586" max="3586" width="41.33203125" bestFit="1" customWidth="1"/>
    <col min="3587" max="3587" width="27.6640625" bestFit="1" customWidth="1"/>
    <col min="3588" max="3588" width="27.44140625" bestFit="1" customWidth="1"/>
    <col min="3589" max="3589" width="35.88671875" bestFit="1" customWidth="1"/>
    <col min="3590" max="3591" width="25.109375" bestFit="1" customWidth="1"/>
    <col min="3592" max="3592" width="17.5546875" bestFit="1" customWidth="1"/>
    <col min="3593" max="3593" width="35.44140625" bestFit="1" customWidth="1"/>
    <col min="3594" max="3594" width="53.6640625" bestFit="1" customWidth="1"/>
    <col min="3841" max="3841" width="10.6640625" customWidth="1"/>
    <col min="3842" max="3842" width="41.33203125" bestFit="1" customWidth="1"/>
    <col min="3843" max="3843" width="27.6640625" bestFit="1" customWidth="1"/>
    <col min="3844" max="3844" width="27.44140625" bestFit="1" customWidth="1"/>
    <col min="3845" max="3845" width="35.88671875" bestFit="1" customWidth="1"/>
    <col min="3846" max="3847" width="25.109375" bestFit="1" customWidth="1"/>
    <col min="3848" max="3848" width="17.5546875" bestFit="1" customWidth="1"/>
    <col min="3849" max="3849" width="35.44140625" bestFit="1" customWidth="1"/>
    <col min="3850" max="3850" width="53.6640625" bestFit="1" customWidth="1"/>
    <col min="4097" max="4097" width="10.6640625" customWidth="1"/>
    <col min="4098" max="4098" width="41.33203125" bestFit="1" customWidth="1"/>
    <col min="4099" max="4099" width="27.6640625" bestFit="1" customWidth="1"/>
    <col min="4100" max="4100" width="27.44140625" bestFit="1" customWidth="1"/>
    <col min="4101" max="4101" width="35.88671875" bestFit="1" customWidth="1"/>
    <col min="4102" max="4103" width="25.109375" bestFit="1" customWidth="1"/>
    <col min="4104" max="4104" width="17.5546875" bestFit="1" customWidth="1"/>
    <col min="4105" max="4105" width="35.44140625" bestFit="1" customWidth="1"/>
    <col min="4106" max="4106" width="53.6640625" bestFit="1" customWidth="1"/>
    <col min="4353" max="4353" width="10.6640625" customWidth="1"/>
    <col min="4354" max="4354" width="41.33203125" bestFit="1" customWidth="1"/>
    <col min="4355" max="4355" width="27.6640625" bestFit="1" customWidth="1"/>
    <col min="4356" max="4356" width="27.44140625" bestFit="1" customWidth="1"/>
    <col min="4357" max="4357" width="35.88671875" bestFit="1" customWidth="1"/>
    <col min="4358" max="4359" width="25.109375" bestFit="1" customWidth="1"/>
    <col min="4360" max="4360" width="17.5546875" bestFit="1" customWidth="1"/>
    <col min="4361" max="4361" width="35.44140625" bestFit="1" customWidth="1"/>
    <col min="4362" max="4362" width="53.6640625" bestFit="1" customWidth="1"/>
    <col min="4609" max="4609" width="10.6640625" customWidth="1"/>
    <col min="4610" max="4610" width="41.33203125" bestFit="1" customWidth="1"/>
    <col min="4611" max="4611" width="27.6640625" bestFit="1" customWidth="1"/>
    <col min="4612" max="4612" width="27.44140625" bestFit="1" customWidth="1"/>
    <col min="4613" max="4613" width="35.88671875" bestFit="1" customWidth="1"/>
    <col min="4614" max="4615" width="25.109375" bestFit="1" customWidth="1"/>
    <col min="4616" max="4616" width="17.5546875" bestFit="1" customWidth="1"/>
    <col min="4617" max="4617" width="35.44140625" bestFit="1" customWidth="1"/>
    <col min="4618" max="4618" width="53.6640625" bestFit="1" customWidth="1"/>
    <col min="4865" max="4865" width="10.6640625" customWidth="1"/>
    <col min="4866" max="4866" width="41.33203125" bestFit="1" customWidth="1"/>
    <col min="4867" max="4867" width="27.6640625" bestFit="1" customWidth="1"/>
    <col min="4868" max="4868" width="27.44140625" bestFit="1" customWidth="1"/>
    <col min="4869" max="4869" width="35.88671875" bestFit="1" customWidth="1"/>
    <col min="4870" max="4871" width="25.109375" bestFit="1" customWidth="1"/>
    <col min="4872" max="4872" width="17.5546875" bestFit="1" customWidth="1"/>
    <col min="4873" max="4873" width="35.44140625" bestFit="1" customWidth="1"/>
    <col min="4874" max="4874" width="53.6640625" bestFit="1" customWidth="1"/>
    <col min="5121" max="5121" width="10.6640625" customWidth="1"/>
    <col min="5122" max="5122" width="41.33203125" bestFit="1" customWidth="1"/>
    <col min="5123" max="5123" width="27.6640625" bestFit="1" customWidth="1"/>
    <col min="5124" max="5124" width="27.44140625" bestFit="1" customWidth="1"/>
    <col min="5125" max="5125" width="35.88671875" bestFit="1" customWidth="1"/>
    <col min="5126" max="5127" width="25.109375" bestFit="1" customWidth="1"/>
    <col min="5128" max="5128" width="17.5546875" bestFit="1" customWidth="1"/>
    <col min="5129" max="5129" width="35.44140625" bestFit="1" customWidth="1"/>
    <col min="5130" max="5130" width="53.6640625" bestFit="1" customWidth="1"/>
    <col min="5377" max="5377" width="10.6640625" customWidth="1"/>
    <col min="5378" max="5378" width="41.33203125" bestFit="1" customWidth="1"/>
    <col min="5379" max="5379" width="27.6640625" bestFit="1" customWidth="1"/>
    <col min="5380" max="5380" width="27.44140625" bestFit="1" customWidth="1"/>
    <col min="5381" max="5381" width="35.88671875" bestFit="1" customWidth="1"/>
    <col min="5382" max="5383" width="25.109375" bestFit="1" customWidth="1"/>
    <col min="5384" max="5384" width="17.5546875" bestFit="1" customWidth="1"/>
    <col min="5385" max="5385" width="35.44140625" bestFit="1" customWidth="1"/>
    <col min="5386" max="5386" width="53.6640625" bestFit="1" customWidth="1"/>
    <col min="5633" max="5633" width="10.6640625" customWidth="1"/>
    <col min="5634" max="5634" width="41.33203125" bestFit="1" customWidth="1"/>
    <col min="5635" max="5635" width="27.6640625" bestFit="1" customWidth="1"/>
    <col min="5636" max="5636" width="27.44140625" bestFit="1" customWidth="1"/>
    <col min="5637" max="5637" width="35.88671875" bestFit="1" customWidth="1"/>
    <col min="5638" max="5639" width="25.109375" bestFit="1" customWidth="1"/>
    <col min="5640" max="5640" width="17.5546875" bestFit="1" customWidth="1"/>
    <col min="5641" max="5641" width="35.44140625" bestFit="1" customWidth="1"/>
    <col min="5642" max="5642" width="53.6640625" bestFit="1" customWidth="1"/>
    <col min="5889" max="5889" width="10.6640625" customWidth="1"/>
    <col min="5890" max="5890" width="41.33203125" bestFit="1" customWidth="1"/>
    <col min="5891" max="5891" width="27.6640625" bestFit="1" customWidth="1"/>
    <col min="5892" max="5892" width="27.44140625" bestFit="1" customWidth="1"/>
    <col min="5893" max="5893" width="35.88671875" bestFit="1" customWidth="1"/>
    <col min="5894" max="5895" width="25.109375" bestFit="1" customWidth="1"/>
    <col min="5896" max="5896" width="17.5546875" bestFit="1" customWidth="1"/>
    <col min="5897" max="5897" width="35.44140625" bestFit="1" customWidth="1"/>
    <col min="5898" max="5898" width="53.6640625" bestFit="1" customWidth="1"/>
    <col min="6145" max="6145" width="10.6640625" customWidth="1"/>
    <col min="6146" max="6146" width="41.33203125" bestFit="1" customWidth="1"/>
    <col min="6147" max="6147" width="27.6640625" bestFit="1" customWidth="1"/>
    <col min="6148" max="6148" width="27.44140625" bestFit="1" customWidth="1"/>
    <col min="6149" max="6149" width="35.88671875" bestFit="1" customWidth="1"/>
    <col min="6150" max="6151" width="25.109375" bestFit="1" customWidth="1"/>
    <col min="6152" max="6152" width="17.5546875" bestFit="1" customWidth="1"/>
    <col min="6153" max="6153" width="35.44140625" bestFit="1" customWidth="1"/>
    <col min="6154" max="6154" width="53.6640625" bestFit="1" customWidth="1"/>
    <col min="6401" max="6401" width="10.6640625" customWidth="1"/>
    <col min="6402" max="6402" width="41.33203125" bestFit="1" customWidth="1"/>
    <col min="6403" max="6403" width="27.6640625" bestFit="1" customWidth="1"/>
    <col min="6404" max="6404" width="27.44140625" bestFit="1" customWidth="1"/>
    <col min="6405" max="6405" width="35.88671875" bestFit="1" customWidth="1"/>
    <col min="6406" max="6407" width="25.109375" bestFit="1" customWidth="1"/>
    <col min="6408" max="6408" width="17.5546875" bestFit="1" customWidth="1"/>
    <col min="6409" max="6409" width="35.44140625" bestFit="1" customWidth="1"/>
    <col min="6410" max="6410" width="53.6640625" bestFit="1" customWidth="1"/>
    <col min="6657" max="6657" width="10.6640625" customWidth="1"/>
    <col min="6658" max="6658" width="41.33203125" bestFit="1" customWidth="1"/>
    <col min="6659" max="6659" width="27.6640625" bestFit="1" customWidth="1"/>
    <col min="6660" max="6660" width="27.44140625" bestFit="1" customWidth="1"/>
    <col min="6661" max="6661" width="35.88671875" bestFit="1" customWidth="1"/>
    <col min="6662" max="6663" width="25.109375" bestFit="1" customWidth="1"/>
    <col min="6664" max="6664" width="17.5546875" bestFit="1" customWidth="1"/>
    <col min="6665" max="6665" width="35.44140625" bestFit="1" customWidth="1"/>
    <col min="6666" max="6666" width="53.6640625" bestFit="1" customWidth="1"/>
    <col min="6913" max="6913" width="10.6640625" customWidth="1"/>
    <col min="6914" max="6914" width="41.33203125" bestFit="1" customWidth="1"/>
    <col min="6915" max="6915" width="27.6640625" bestFit="1" customWidth="1"/>
    <col min="6916" max="6916" width="27.44140625" bestFit="1" customWidth="1"/>
    <col min="6917" max="6917" width="35.88671875" bestFit="1" customWidth="1"/>
    <col min="6918" max="6919" width="25.109375" bestFit="1" customWidth="1"/>
    <col min="6920" max="6920" width="17.5546875" bestFit="1" customWidth="1"/>
    <col min="6921" max="6921" width="35.44140625" bestFit="1" customWidth="1"/>
    <col min="6922" max="6922" width="53.6640625" bestFit="1" customWidth="1"/>
    <col min="7169" max="7169" width="10.6640625" customWidth="1"/>
    <col min="7170" max="7170" width="41.33203125" bestFit="1" customWidth="1"/>
    <col min="7171" max="7171" width="27.6640625" bestFit="1" customWidth="1"/>
    <col min="7172" max="7172" width="27.44140625" bestFit="1" customWidth="1"/>
    <col min="7173" max="7173" width="35.88671875" bestFit="1" customWidth="1"/>
    <col min="7174" max="7175" width="25.109375" bestFit="1" customWidth="1"/>
    <col min="7176" max="7176" width="17.5546875" bestFit="1" customWidth="1"/>
    <col min="7177" max="7177" width="35.44140625" bestFit="1" customWidth="1"/>
    <col min="7178" max="7178" width="53.6640625" bestFit="1" customWidth="1"/>
    <col min="7425" max="7425" width="10.6640625" customWidth="1"/>
    <col min="7426" max="7426" width="41.33203125" bestFit="1" customWidth="1"/>
    <col min="7427" max="7427" width="27.6640625" bestFit="1" customWidth="1"/>
    <col min="7428" max="7428" width="27.44140625" bestFit="1" customWidth="1"/>
    <col min="7429" max="7429" width="35.88671875" bestFit="1" customWidth="1"/>
    <col min="7430" max="7431" width="25.109375" bestFit="1" customWidth="1"/>
    <col min="7432" max="7432" width="17.5546875" bestFit="1" customWidth="1"/>
    <col min="7433" max="7433" width="35.44140625" bestFit="1" customWidth="1"/>
    <col min="7434" max="7434" width="53.6640625" bestFit="1" customWidth="1"/>
    <col min="7681" max="7681" width="10.6640625" customWidth="1"/>
    <col min="7682" max="7682" width="41.33203125" bestFit="1" customWidth="1"/>
    <col min="7683" max="7683" width="27.6640625" bestFit="1" customWidth="1"/>
    <col min="7684" max="7684" width="27.44140625" bestFit="1" customWidth="1"/>
    <col min="7685" max="7685" width="35.88671875" bestFit="1" customWidth="1"/>
    <col min="7686" max="7687" width="25.109375" bestFit="1" customWidth="1"/>
    <col min="7688" max="7688" width="17.5546875" bestFit="1" customWidth="1"/>
    <col min="7689" max="7689" width="35.44140625" bestFit="1" customWidth="1"/>
    <col min="7690" max="7690" width="53.6640625" bestFit="1" customWidth="1"/>
    <col min="7937" max="7937" width="10.6640625" customWidth="1"/>
    <col min="7938" max="7938" width="41.33203125" bestFit="1" customWidth="1"/>
    <col min="7939" max="7939" width="27.6640625" bestFit="1" customWidth="1"/>
    <col min="7940" max="7940" width="27.44140625" bestFit="1" customWidth="1"/>
    <col min="7941" max="7941" width="35.88671875" bestFit="1" customWidth="1"/>
    <col min="7942" max="7943" width="25.109375" bestFit="1" customWidth="1"/>
    <col min="7944" max="7944" width="17.5546875" bestFit="1" customWidth="1"/>
    <col min="7945" max="7945" width="35.44140625" bestFit="1" customWidth="1"/>
    <col min="7946" max="7946" width="53.6640625" bestFit="1" customWidth="1"/>
    <col min="8193" max="8193" width="10.6640625" customWidth="1"/>
    <col min="8194" max="8194" width="41.33203125" bestFit="1" customWidth="1"/>
    <col min="8195" max="8195" width="27.6640625" bestFit="1" customWidth="1"/>
    <col min="8196" max="8196" width="27.44140625" bestFit="1" customWidth="1"/>
    <col min="8197" max="8197" width="35.88671875" bestFit="1" customWidth="1"/>
    <col min="8198" max="8199" width="25.109375" bestFit="1" customWidth="1"/>
    <col min="8200" max="8200" width="17.5546875" bestFit="1" customWidth="1"/>
    <col min="8201" max="8201" width="35.44140625" bestFit="1" customWidth="1"/>
    <col min="8202" max="8202" width="53.6640625" bestFit="1" customWidth="1"/>
    <col min="8449" max="8449" width="10.6640625" customWidth="1"/>
    <col min="8450" max="8450" width="41.33203125" bestFit="1" customWidth="1"/>
    <col min="8451" max="8451" width="27.6640625" bestFit="1" customWidth="1"/>
    <col min="8452" max="8452" width="27.44140625" bestFit="1" customWidth="1"/>
    <col min="8453" max="8453" width="35.88671875" bestFit="1" customWidth="1"/>
    <col min="8454" max="8455" width="25.109375" bestFit="1" customWidth="1"/>
    <col min="8456" max="8456" width="17.5546875" bestFit="1" customWidth="1"/>
    <col min="8457" max="8457" width="35.44140625" bestFit="1" customWidth="1"/>
    <col min="8458" max="8458" width="53.6640625" bestFit="1" customWidth="1"/>
    <col min="8705" max="8705" width="10.6640625" customWidth="1"/>
    <col min="8706" max="8706" width="41.33203125" bestFit="1" customWidth="1"/>
    <col min="8707" max="8707" width="27.6640625" bestFit="1" customWidth="1"/>
    <col min="8708" max="8708" width="27.44140625" bestFit="1" customWidth="1"/>
    <col min="8709" max="8709" width="35.88671875" bestFit="1" customWidth="1"/>
    <col min="8710" max="8711" width="25.109375" bestFit="1" customWidth="1"/>
    <col min="8712" max="8712" width="17.5546875" bestFit="1" customWidth="1"/>
    <col min="8713" max="8713" width="35.44140625" bestFit="1" customWidth="1"/>
    <col min="8714" max="8714" width="53.6640625" bestFit="1" customWidth="1"/>
    <col min="8961" max="8961" width="10.6640625" customWidth="1"/>
    <col min="8962" max="8962" width="41.33203125" bestFit="1" customWidth="1"/>
    <col min="8963" max="8963" width="27.6640625" bestFit="1" customWidth="1"/>
    <col min="8964" max="8964" width="27.44140625" bestFit="1" customWidth="1"/>
    <col min="8965" max="8965" width="35.88671875" bestFit="1" customWidth="1"/>
    <col min="8966" max="8967" width="25.109375" bestFit="1" customWidth="1"/>
    <col min="8968" max="8968" width="17.5546875" bestFit="1" customWidth="1"/>
    <col min="8969" max="8969" width="35.44140625" bestFit="1" customWidth="1"/>
    <col min="8970" max="8970" width="53.6640625" bestFit="1" customWidth="1"/>
    <col min="9217" max="9217" width="10.6640625" customWidth="1"/>
    <col min="9218" max="9218" width="41.33203125" bestFit="1" customWidth="1"/>
    <col min="9219" max="9219" width="27.6640625" bestFit="1" customWidth="1"/>
    <col min="9220" max="9220" width="27.44140625" bestFit="1" customWidth="1"/>
    <col min="9221" max="9221" width="35.88671875" bestFit="1" customWidth="1"/>
    <col min="9222" max="9223" width="25.109375" bestFit="1" customWidth="1"/>
    <col min="9224" max="9224" width="17.5546875" bestFit="1" customWidth="1"/>
    <col min="9225" max="9225" width="35.44140625" bestFit="1" customWidth="1"/>
    <col min="9226" max="9226" width="53.6640625" bestFit="1" customWidth="1"/>
    <col min="9473" max="9473" width="10.6640625" customWidth="1"/>
    <col min="9474" max="9474" width="41.33203125" bestFit="1" customWidth="1"/>
    <col min="9475" max="9475" width="27.6640625" bestFit="1" customWidth="1"/>
    <col min="9476" max="9476" width="27.44140625" bestFit="1" customWidth="1"/>
    <col min="9477" max="9477" width="35.88671875" bestFit="1" customWidth="1"/>
    <col min="9478" max="9479" width="25.109375" bestFit="1" customWidth="1"/>
    <col min="9480" max="9480" width="17.5546875" bestFit="1" customWidth="1"/>
    <col min="9481" max="9481" width="35.44140625" bestFit="1" customWidth="1"/>
    <col min="9482" max="9482" width="53.6640625" bestFit="1" customWidth="1"/>
    <col min="9729" max="9729" width="10.6640625" customWidth="1"/>
    <col min="9730" max="9730" width="41.33203125" bestFit="1" customWidth="1"/>
    <col min="9731" max="9731" width="27.6640625" bestFit="1" customWidth="1"/>
    <col min="9732" max="9732" width="27.44140625" bestFit="1" customWidth="1"/>
    <col min="9733" max="9733" width="35.88671875" bestFit="1" customWidth="1"/>
    <col min="9734" max="9735" width="25.109375" bestFit="1" customWidth="1"/>
    <col min="9736" max="9736" width="17.5546875" bestFit="1" customWidth="1"/>
    <col min="9737" max="9737" width="35.44140625" bestFit="1" customWidth="1"/>
    <col min="9738" max="9738" width="53.6640625" bestFit="1" customWidth="1"/>
    <col min="9985" max="9985" width="10.6640625" customWidth="1"/>
    <col min="9986" max="9986" width="41.33203125" bestFit="1" customWidth="1"/>
    <col min="9987" max="9987" width="27.6640625" bestFit="1" customWidth="1"/>
    <col min="9988" max="9988" width="27.44140625" bestFit="1" customWidth="1"/>
    <col min="9989" max="9989" width="35.88671875" bestFit="1" customWidth="1"/>
    <col min="9990" max="9991" width="25.109375" bestFit="1" customWidth="1"/>
    <col min="9992" max="9992" width="17.5546875" bestFit="1" customWidth="1"/>
    <col min="9993" max="9993" width="35.44140625" bestFit="1" customWidth="1"/>
    <col min="9994" max="9994" width="53.6640625" bestFit="1" customWidth="1"/>
    <col min="10241" max="10241" width="10.6640625" customWidth="1"/>
    <col min="10242" max="10242" width="41.33203125" bestFit="1" customWidth="1"/>
    <col min="10243" max="10243" width="27.6640625" bestFit="1" customWidth="1"/>
    <col min="10244" max="10244" width="27.44140625" bestFit="1" customWidth="1"/>
    <col min="10245" max="10245" width="35.88671875" bestFit="1" customWidth="1"/>
    <col min="10246" max="10247" width="25.109375" bestFit="1" customWidth="1"/>
    <col min="10248" max="10248" width="17.5546875" bestFit="1" customWidth="1"/>
    <col min="10249" max="10249" width="35.44140625" bestFit="1" customWidth="1"/>
    <col min="10250" max="10250" width="53.6640625" bestFit="1" customWidth="1"/>
    <col min="10497" max="10497" width="10.6640625" customWidth="1"/>
    <col min="10498" max="10498" width="41.33203125" bestFit="1" customWidth="1"/>
    <col min="10499" max="10499" width="27.6640625" bestFit="1" customWidth="1"/>
    <col min="10500" max="10500" width="27.44140625" bestFit="1" customWidth="1"/>
    <col min="10501" max="10501" width="35.88671875" bestFit="1" customWidth="1"/>
    <col min="10502" max="10503" width="25.109375" bestFit="1" customWidth="1"/>
    <col min="10504" max="10504" width="17.5546875" bestFit="1" customWidth="1"/>
    <col min="10505" max="10505" width="35.44140625" bestFit="1" customWidth="1"/>
    <col min="10506" max="10506" width="53.6640625" bestFit="1" customWidth="1"/>
    <col min="10753" max="10753" width="10.6640625" customWidth="1"/>
    <col min="10754" max="10754" width="41.33203125" bestFit="1" customWidth="1"/>
    <col min="10755" max="10755" width="27.6640625" bestFit="1" customWidth="1"/>
    <col min="10756" max="10756" width="27.44140625" bestFit="1" customWidth="1"/>
    <col min="10757" max="10757" width="35.88671875" bestFit="1" customWidth="1"/>
    <col min="10758" max="10759" width="25.109375" bestFit="1" customWidth="1"/>
    <col min="10760" max="10760" width="17.5546875" bestFit="1" customWidth="1"/>
    <col min="10761" max="10761" width="35.44140625" bestFit="1" customWidth="1"/>
    <col min="10762" max="10762" width="53.6640625" bestFit="1" customWidth="1"/>
    <col min="11009" max="11009" width="10.6640625" customWidth="1"/>
    <col min="11010" max="11010" width="41.33203125" bestFit="1" customWidth="1"/>
    <col min="11011" max="11011" width="27.6640625" bestFit="1" customWidth="1"/>
    <col min="11012" max="11012" width="27.44140625" bestFit="1" customWidth="1"/>
    <col min="11013" max="11013" width="35.88671875" bestFit="1" customWidth="1"/>
    <col min="11014" max="11015" width="25.109375" bestFit="1" customWidth="1"/>
    <col min="11016" max="11016" width="17.5546875" bestFit="1" customWidth="1"/>
    <col min="11017" max="11017" width="35.44140625" bestFit="1" customWidth="1"/>
    <col min="11018" max="11018" width="53.6640625" bestFit="1" customWidth="1"/>
    <col min="11265" max="11265" width="10.6640625" customWidth="1"/>
    <col min="11266" max="11266" width="41.33203125" bestFit="1" customWidth="1"/>
    <col min="11267" max="11267" width="27.6640625" bestFit="1" customWidth="1"/>
    <col min="11268" max="11268" width="27.44140625" bestFit="1" customWidth="1"/>
    <col min="11269" max="11269" width="35.88671875" bestFit="1" customWidth="1"/>
    <col min="11270" max="11271" width="25.109375" bestFit="1" customWidth="1"/>
    <col min="11272" max="11272" width="17.5546875" bestFit="1" customWidth="1"/>
    <col min="11273" max="11273" width="35.44140625" bestFit="1" customWidth="1"/>
    <col min="11274" max="11274" width="53.6640625" bestFit="1" customWidth="1"/>
    <col min="11521" max="11521" width="10.6640625" customWidth="1"/>
    <col min="11522" max="11522" width="41.33203125" bestFit="1" customWidth="1"/>
    <col min="11523" max="11523" width="27.6640625" bestFit="1" customWidth="1"/>
    <col min="11524" max="11524" width="27.44140625" bestFit="1" customWidth="1"/>
    <col min="11525" max="11525" width="35.88671875" bestFit="1" customWidth="1"/>
    <col min="11526" max="11527" width="25.109375" bestFit="1" customWidth="1"/>
    <col min="11528" max="11528" width="17.5546875" bestFit="1" customWidth="1"/>
    <col min="11529" max="11529" width="35.44140625" bestFit="1" customWidth="1"/>
    <col min="11530" max="11530" width="53.6640625" bestFit="1" customWidth="1"/>
    <col min="11777" max="11777" width="10.6640625" customWidth="1"/>
    <col min="11778" max="11778" width="41.33203125" bestFit="1" customWidth="1"/>
    <col min="11779" max="11779" width="27.6640625" bestFit="1" customWidth="1"/>
    <col min="11780" max="11780" width="27.44140625" bestFit="1" customWidth="1"/>
    <col min="11781" max="11781" width="35.88671875" bestFit="1" customWidth="1"/>
    <col min="11782" max="11783" width="25.109375" bestFit="1" customWidth="1"/>
    <col min="11784" max="11784" width="17.5546875" bestFit="1" customWidth="1"/>
    <col min="11785" max="11785" width="35.44140625" bestFit="1" customWidth="1"/>
    <col min="11786" max="11786" width="53.6640625" bestFit="1" customWidth="1"/>
    <col min="12033" max="12033" width="10.6640625" customWidth="1"/>
    <col min="12034" max="12034" width="41.33203125" bestFit="1" customWidth="1"/>
    <col min="12035" max="12035" width="27.6640625" bestFit="1" customWidth="1"/>
    <col min="12036" max="12036" width="27.44140625" bestFit="1" customWidth="1"/>
    <col min="12037" max="12037" width="35.88671875" bestFit="1" customWidth="1"/>
    <col min="12038" max="12039" width="25.109375" bestFit="1" customWidth="1"/>
    <col min="12040" max="12040" width="17.5546875" bestFit="1" customWidth="1"/>
    <col min="12041" max="12041" width="35.44140625" bestFit="1" customWidth="1"/>
    <col min="12042" max="12042" width="53.6640625" bestFit="1" customWidth="1"/>
    <col min="12289" max="12289" width="10.6640625" customWidth="1"/>
    <col min="12290" max="12290" width="41.33203125" bestFit="1" customWidth="1"/>
    <col min="12291" max="12291" width="27.6640625" bestFit="1" customWidth="1"/>
    <col min="12292" max="12292" width="27.44140625" bestFit="1" customWidth="1"/>
    <col min="12293" max="12293" width="35.88671875" bestFit="1" customWidth="1"/>
    <col min="12294" max="12295" width="25.109375" bestFit="1" customWidth="1"/>
    <col min="12296" max="12296" width="17.5546875" bestFit="1" customWidth="1"/>
    <col min="12297" max="12297" width="35.44140625" bestFit="1" customWidth="1"/>
    <col min="12298" max="12298" width="53.6640625" bestFit="1" customWidth="1"/>
    <col min="12545" max="12545" width="10.6640625" customWidth="1"/>
    <col min="12546" max="12546" width="41.33203125" bestFit="1" customWidth="1"/>
    <col min="12547" max="12547" width="27.6640625" bestFit="1" customWidth="1"/>
    <col min="12548" max="12548" width="27.44140625" bestFit="1" customWidth="1"/>
    <col min="12549" max="12549" width="35.88671875" bestFit="1" customWidth="1"/>
    <col min="12550" max="12551" width="25.109375" bestFit="1" customWidth="1"/>
    <col min="12552" max="12552" width="17.5546875" bestFit="1" customWidth="1"/>
    <col min="12553" max="12553" width="35.44140625" bestFit="1" customWidth="1"/>
    <col min="12554" max="12554" width="53.6640625" bestFit="1" customWidth="1"/>
    <col min="12801" max="12801" width="10.6640625" customWidth="1"/>
    <col min="12802" max="12802" width="41.33203125" bestFit="1" customWidth="1"/>
    <col min="12803" max="12803" width="27.6640625" bestFit="1" customWidth="1"/>
    <col min="12804" max="12804" width="27.44140625" bestFit="1" customWidth="1"/>
    <col min="12805" max="12805" width="35.88671875" bestFit="1" customWidth="1"/>
    <col min="12806" max="12807" width="25.109375" bestFit="1" customWidth="1"/>
    <col min="12808" max="12808" width="17.5546875" bestFit="1" customWidth="1"/>
    <col min="12809" max="12809" width="35.44140625" bestFit="1" customWidth="1"/>
    <col min="12810" max="12810" width="53.6640625" bestFit="1" customWidth="1"/>
    <col min="13057" max="13057" width="10.6640625" customWidth="1"/>
    <col min="13058" max="13058" width="41.33203125" bestFit="1" customWidth="1"/>
    <col min="13059" max="13059" width="27.6640625" bestFit="1" customWidth="1"/>
    <col min="13060" max="13060" width="27.44140625" bestFit="1" customWidth="1"/>
    <col min="13061" max="13061" width="35.88671875" bestFit="1" customWidth="1"/>
    <col min="13062" max="13063" width="25.109375" bestFit="1" customWidth="1"/>
    <col min="13064" max="13064" width="17.5546875" bestFit="1" customWidth="1"/>
    <col min="13065" max="13065" width="35.44140625" bestFit="1" customWidth="1"/>
    <col min="13066" max="13066" width="53.6640625" bestFit="1" customWidth="1"/>
    <col min="13313" max="13313" width="10.6640625" customWidth="1"/>
    <col min="13314" max="13314" width="41.33203125" bestFit="1" customWidth="1"/>
    <col min="13315" max="13315" width="27.6640625" bestFit="1" customWidth="1"/>
    <col min="13316" max="13316" width="27.44140625" bestFit="1" customWidth="1"/>
    <col min="13317" max="13317" width="35.88671875" bestFit="1" customWidth="1"/>
    <col min="13318" max="13319" width="25.109375" bestFit="1" customWidth="1"/>
    <col min="13320" max="13320" width="17.5546875" bestFit="1" customWidth="1"/>
    <col min="13321" max="13321" width="35.44140625" bestFit="1" customWidth="1"/>
    <col min="13322" max="13322" width="53.6640625" bestFit="1" customWidth="1"/>
    <col min="13569" max="13569" width="10.6640625" customWidth="1"/>
    <col min="13570" max="13570" width="41.33203125" bestFit="1" customWidth="1"/>
    <col min="13571" max="13571" width="27.6640625" bestFit="1" customWidth="1"/>
    <col min="13572" max="13572" width="27.44140625" bestFit="1" customWidth="1"/>
    <col min="13573" max="13573" width="35.88671875" bestFit="1" customWidth="1"/>
    <col min="13574" max="13575" width="25.109375" bestFit="1" customWidth="1"/>
    <col min="13576" max="13576" width="17.5546875" bestFit="1" customWidth="1"/>
    <col min="13577" max="13577" width="35.44140625" bestFit="1" customWidth="1"/>
    <col min="13578" max="13578" width="53.6640625" bestFit="1" customWidth="1"/>
    <col min="13825" max="13825" width="10.6640625" customWidth="1"/>
    <col min="13826" max="13826" width="41.33203125" bestFit="1" customWidth="1"/>
    <col min="13827" max="13827" width="27.6640625" bestFit="1" customWidth="1"/>
    <col min="13828" max="13828" width="27.44140625" bestFit="1" customWidth="1"/>
    <col min="13829" max="13829" width="35.88671875" bestFit="1" customWidth="1"/>
    <col min="13830" max="13831" width="25.109375" bestFit="1" customWidth="1"/>
    <col min="13832" max="13832" width="17.5546875" bestFit="1" customWidth="1"/>
    <col min="13833" max="13833" width="35.44140625" bestFit="1" customWidth="1"/>
    <col min="13834" max="13834" width="53.6640625" bestFit="1" customWidth="1"/>
    <col min="14081" max="14081" width="10.6640625" customWidth="1"/>
    <col min="14082" max="14082" width="41.33203125" bestFit="1" customWidth="1"/>
    <col min="14083" max="14083" width="27.6640625" bestFit="1" customWidth="1"/>
    <col min="14084" max="14084" width="27.44140625" bestFit="1" customWidth="1"/>
    <col min="14085" max="14085" width="35.88671875" bestFit="1" customWidth="1"/>
    <col min="14086" max="14087" width="25.109375" bestFit="1" customWidth="1"/>
    <col min="14088" max="14088" width="17.5546875" bestFit="1" customWidth="1"/>
    <col min="14089" max="14089" width="35.44140625" bestFit="1" customWidth="1"/>
    <col min="14090" max="14090" width="53.6640625" bestFit="1" customWidth="1"/>
    <col min="14337" max="14337" width="10.6640625" customWidth="1"/>
    <col min="14338" max="14338" width="41.33203125" bestFit="1" customWidth="1"/>
    <col min="14339" max="14339" width="27.6640625" bestFit="1" customWidth="1"/>
    <col min="14340" max="14340" width="27.44140625" bestFit="1" customWidth="1"/>
    <col min="14341" max="14341" width="35.88671875" bestFit="1" customWidth="1"/>
    <col min="14342" max="14343" width="25.109375" bestFit="1" customWidth="1"/>
    <col min="14344" max="14344" width="17.5546875" bestFit="1" customWidth="1"/>
    <col min="14345" max="14345" width="35.44140625" bestFit="1" customWidth="1"/>
    <col min="14346" max="14346" width="53.6640625" bestFit="1" customWidth="1"/>
    <col min="14593" max="14593" width="10.6640625" customWidth="1"/>
    <col min="14594" max="14594" width="41.33203125" bestFit="1" customWidth="1"/>
    <col min="14595" max="14595" width="27.6640625" bestFit="1" customWidth="1"/>
    <col min="14596" max="14596" width="27.44140625" bestFit="1" customWidth="1"/>
    <col min="14597" max="14597" width="35.88671875" bestFit="1" customWidth="1"/>
    <col min="14598" max="14599" width="25.109375" bestFit="1" customWidth="1"/>
    <col min="14600" max="14600" width="17.5546875" bestFit="1" customWidth="1"/>
    <col min="14601" max="14601" width="35.44140625" bestFit="1" customWidth="1"/>
    <col min="14602" max="14602" width="53.6640625" bestFit="1" customWidth="1"/>
    <col min="14849" max="14849" width="10.6640625" customWidth="1"/>
    <col min="14850" max="14850" width="41.33203125" bestFit="1" customWidth="1"/>
    <col min="14851" max="14851" width="27.6640625" bestFit="1" customWidth="1"/>
    <col min="14852" max="14852" width="27.44140625" bestFit="1" customWidth="1"/>
    <col min="14853" max="14853" width="35.88671875" bestFit="1" customWidth="1"/>
    <col min="14854" max="14855" width="25.109375" bestFit="1" customWidth="1"/>
    <col min="14856" max="14856" width="17.5546875" bestFit="1" customWidth="1"/>
    <col min="14857" max="14857" width="35.44140625" bestFit="1" customWidth="1"/>
    <col min="14858" max="14858" width="53.6640625" bestFit="1" customWidth="1"/>
    <col min="15105" max="15105" width="10.6640625" customWidth="1"/>
    <col min="15106" max="15106" width="41.33203125" bestFit="1" customWidth="1"/>
    <col min="15107" max="15107" width="27.6640625" bestFit="1" customWidth="1"/>
    <col min="15108" max="15108" width="27.44140625" bestFit="1" customWidth="1"/>
    <col min="15109" max="15109" width="35.88671875" bestFit="1" customWidth="1"/>
    <col min="15110" max="15111" width="25.109375" bestFit="1" customWidth="1"/>
    <col min="15112" max="15112" width="17.5546875" bestFit="1" customWidth="1"/>
    <col min="15113" max="15113" width="35.44140625" bestFit="1" customWidth="1"/>
    <col min="15114" max="15114" width="53.6640625" bestFit="1" customWidth="1"/>
    <col min="15361" max="15361" width="10.6640625" customWidth="1"/>
    <col min="15362" max="15362" width="41.33203125" bestFit="1" customWidth="1"/>
    <col min="15363" max="15363" width="27.6640625" bestFit="1" customWidth="1"/>
    <col min="15364" max="15364" width="27.44140625" bestFit="1" customWidth="1"/>
    <col min="15365" max="15365" width="35.88671875" bestFit="1" customWidth="1"/>
    <col min="15366" max="15367" width="25.109375" bestFit="1" customWidth="1"/>
    <col min="15368" max="15368" width="17.5546875" bestFit="1" customWidth="1"/>
    <col min="15369" max="15369" width="35.44140625" bestFit="1" customWidth="1"/>
    <col min="15370" max="15370" width="53.6640625" bestFit="1" customWidth="1"/>
    <col min="15617" max="15617" width="10.6640625" customWidth="1"/>
    <col min="15618" max="15618" width="41.33203125" bestFit="1" customWidth="1"/>
    <col min="15619" max="15619" width="27.6640625" bestFit="1" customWidth="1"/>
    <col min="15620" max="15620" width="27.44140625" bestFit="1" customWidth="1"/>
    <col min="15621" max="15621" width="35.88671875" bestFit="1" customWidth="1"/>
    <col min="15622" max="15623" width="25.109375" bestFit="1" customWidth="1"/>
    <col min="15624" max="15624" width="17.5546875" bestFit="1" customWidth="1"/>
    <col min="15625" max="15625" width="35.44140625" bestFit="1" customWidth="1"/>
    <col min="15626" max="15626" width="53.6640625" bestFit="1" customWidth="1"/>
    <col min="15873" max="15873" width="10.6640625" customWidth="1"/>
    <col min="15874" max="15874" width="41.33203125" bestFit="1" customWidth="1"/>
    <col min="15875" max="15875" width="27.6640625" bestFit="1" customWidth="1"/>
    <col min="15876" max="15876" width="27.44140625" bestFit="1" customWidth="1"/>
    <col min="15877" max="15877" width="35.88671875" bestFit="1" customWidth="1"/>
    <col min="15878" max="15879" width="25.109375" bestFit="1" customWidth="1"/>
    <col min="15880" max="15880" width="17.5546875" bestFit="1" customWidth="1"/>
    <col min="15881" max="15881" width="35.44140625" bestFit="1" customWidth="1"/>
    <col min="15882" max="15882" width="53.6640625" bestFit="1" customWidth="1"/>
    <col min="16129" max="16129" width="10.6640625" customWidth="1"/>
    <col min="16130" max="16130" width="41.33203125" bestFit="1" customWidth="1"/>
    <col min="16131" max="16131" width="27.6640625" bestFit="1" customWidth="1"/>
    <col min="16132" max="16132" width="27.44140625" bestFit="1" customWidth="1"/>
    <col min="16133" max="16133" width="35.88671875" bestFit="1" customWidth="1"/>
    <col min="16134" max="16135" width="25.109375" bestFit="1" customWidth="1"/>
    <col min="16136" max="16136" width="17.5546875" bestFit="1" customWidth="1"/>
    <col min="16137" max="16137" width="35.44140625" bestFit="1" customWidth="1"/>
    <col min="16138" max="16138" width="53.6640625" bestFit="1" customWidth="1"/>
  </cols>
  <sheetData>
    <row r="1" spans="1:10" x14ac:dyDescent="0.3">
      <c r="A1" s="16" t="s">
        <v>703</v>
      </c>
      <c r="B1" s="20" t="s">
        <v>704</v>
      </c>
      <c r="C1" s="20" t="s">
        <v>753</v>
      </c>
      <c r="D1" s="20" t="s">
        <v>754</v>
      </c>
      <c r="E1" s="20" t="s">
        <v>755</v>
      </c>
      <c r="F1" s="20" t="s">
        <v>756</v>
      </c>
      <c r="G1" s="20" t="s">
        <v>757</v>
      </c>
      <c r="H1" s="20" t="s">
        <v>758</v>
      </c>
      <c r="I1" s="20" t="s">
        <v>759</v>
      </c>
      <c r="J1" s="20" t="s">
        <v>760</v>
      </c>
    </row>
    <row r="2" spans="1:10" x14ac:dyDescent="0.3">
      <c r="A2" s="12">
        <v>10100</v>
      </c>
      <c r="B2" s="5" t="s">
        <v>707</v>
      </c>
      <c r="C2" s="5" t="s">
        <v>761</v>
      </c>
      <c r="D2" s="5" t="s">
        <v>762</v>
      </c>
      <c r="E2" s="5"/>
      <c r="F2" s="5"/>
      <c r="G2" s="5"/>
      <c r="H2" s="5"/>
      <c r="I2" s="5"/>
      <c r="J2" s="5"/>
    </row>
    <row r="3" spans="1:10" x14ac:dyDescent="0.3">
      <c r="A3" s="12">
        <v>11400</v>
      </c>
      <c r="B3" s="5" t="s">
        <v>281</v>
      </c>
      <c r="C3" s="5" t="s">
        <v>763</v>
      </c>
      <c r="D3" s="5" t="s">
        <v>764</v>
      </c>
      <c r="E3" s="5" t="s">
        <v>765</v>
      </c>
      <c r="F3" s="5"/>
      <c r="G3" s="5"/>
      <c r="H3" s="5"/>
      <c r="I3" s="5"/>
      <c r="J3" s="5"/>
    </row>
    <row r="4" spans="1:10" x14ac:dyDescent="0.3">
      <c r="A4" s="12">
        <v>11550</v>
      </c>
      <c r="B4" s="5" t="s">
        <v>710</v>
      </c>
      <c r="C4" s="5" t="s">
        <v>766</v>
      </c>
      <c r="D4" s="5" t="s">
        <v>767</v>
      </c>
      <c r="E4" s="5"/>
      <c r="F4" s="5" t="s">
        <v>768</v>
      </c>
      <c r="G4" s="5" t="s">
        <v>769</v>
      </c>
      <c r="H4" s="5" t="s">
        <v>770</v>
      </c>
      <c r="I4" s="5"/>
      <c r="J4" s="5"/>
    </row>
    <row r="5" spans="1:10" x14ac:dyDescent="0.3">
      <c r="A5" s="12">
        <v>11600</v>
      </c>
      <c r="B5" s="5" t="s">
        <v>713</v>
      </c>
      <c r="C5" s="5" t="s">
        <v>771</v>
      </c>
      <c r="D5" s="5" t="s">
        <v>772</v>
      </c>
      <c r="E5" s="5"/>
      <c r="F5" s="5"/>
      <c r="G5" s="5"/>
      <c r="H5" s="5"/>
      <c r="I5" s="5"/>
      <c r="J5" s="5"/>
    </row>
    <row r="6" spans="1:10" x14ac:dyDescent="0.3">
      <c r="A6" s="12">
        <v>12000</v>
      </c>
      <c r="B6" s="5" t="s">
        <v>712</v>
      </c>
      <c r="C6" s="5" t="s">
        <v>773</v>
      </c>
      <c r="D6" s="5" t="s">
        <v>774</v>
      </c>
      <c r="E6" s="5" t="s">
        <v>775</v>
      </c>
      <c r="F6" s="5"/>
      <c r="G6" s="5"/>
      <c r="H6" s="5"/>
      <c r="I6" s="5"/>
      <c r="J6" s="5"/>
    </row>
    <row r="7" spans="1:10" x14ac:dyDescent="0.3">
      <c r="A7" s="12">
        <v>12500</v>
      </c>
      <c r="B7" s="5" t="s">
        <v>709</v>
      </c>
      <c r="C7" s="5" t="s">
        <v>776</v>
      </c>
      <c r="D7" s="5" t="s">
        <v>777</v>
      </c>
      <c r="E7" s="5"/>
      <c r="F7" s="5"/>
      <c r="G7" s="5"/>
      <c r="H7" s="5"/>
      <c r="I7" s="5"/>
      <c r="J7" s="5"/>
    </row>
    <row r="8" spans="1:10" x14ac:dyDescent="0.3">
      <c r="A8" s="12">
        <v>12560</v>
      </c>
      <c r="B8" s="5" t="s">
        <v>714</v>
      </c>
      <c r="C8" s="5" t="s">
        <v>778</v>
      </c>
      <c r="D8" s="5" t="s">
        <v>779</v>
      </c>
      <c r="E8" s="5"/>
      <c r="F8" s="5"/>
      <c r="G8" s="5"/>
      <c r="H8" s="5"/>
      <c r="I8" s="5"/>
      <c r="J8" s="5"/>
    </row>
    <row r="9" spans="1:10" x14ac:dyDescent="0.3">
      <c r="A9" s="12">
        <v>12900</v>
      </c>
      <c r="B9" s="5" t="s">
        <v>708</v>
      </c>
      <c r="C9" s="5" t="s">
        <v>780</v>
      </c>
      <c r="D9" s="5" t="s">
        <v>781</v>
      </c>
      <c r="E9" s="5"/>
      <c r="F9" s="5"/>
      <c r="G9" s="5"/>
      <c r="H9" s="5"/>
      <c r="I9" s="5"/>
      <c r="J9" s="5"/>
    </row>
    <row r="10" spans="1:10" x14ac:dyDescent="0.3">
      <c r="A10" s="12">
        <v>13000</v>
      </c>
      <c r="B10" s="5" t="s">
        <v>711</v>
      </c>
      <c r="C10" s="5" t="s">
        <v>782</v>
      </c>
      <c r="D10" s="5" t="s">
        <v>783</v>
      </c>
      <c r="E10" s="5"/>
      <c r="F10" s="5"/>
      <c r="G10" s="5"/>
      <c r="H10" s="5"/>
      <c r="I10" s="5"/>
      <c r="J10" s="5"/>
    </row>
    <row r="11" spans="1:10" x14ac:dyDescent="0.3">
      <c r="A11" s="12">
        <v>13100</v>
      </c>
      <c r="B11" s="5" t="s">
        <v>705</v>
      </c>
      <c r="C11" s="5" t="s">
        <v>784</v>
      </c>
      <c r="D11" s="5" t="s">
        <v>785</v>
      </c>
      <c r="E11" s="5"/>
      <c r="F11" s="5"/>
      <c r="G11" s="5"/>
      <c r="H11" s="5"/>
      <c r="I11" s="5"/>
      <c r="J11" s="5"/>
    </row>
    <row r="12" spans="1:10" x14ac:dyDescent="0.3">
      <c r="A12" s="12">
        <v>13200</v>
      </c>
      <c r="B12" s="5" t="s">
        <v>706</v>
      </c>
      <c r="C12" s="5" t="s">
        <v>786</v>
      </c>
      <c r="D12" s="5" t="s">
        <v>787</v>
      </c>
      <c r="E12" s="5" t="s">
        <v>788</v>
      </c>
      <c r="F12" s="5"/>
      <c r="G12" s="5"/>
      <c r="H12" s="5"/>
      <c r="I12" s="5"/>
      <c r="J12" s="5"/>
    </row>
    <row r="13" spans="1:10" x14ac:dyDescent="0.3">
      <c r="A13" s="12">
        <v>22280</v>
      </c>
      <c r="B13" s="5" t="s">
        <v>282</v>
      </c>
      <c r="C13" s="5" t="s">
        <v>789</v>
      </c>
      <c r="D13" s="5" t="s">
        <v>790</v>
      </c>
      <c r="E13" s="5"/>
      <c r="F13" s="5"/>
      <c r="G13" s="5"/>
      <c r="H13" s="5"/>
      <c r="I13" s="5"/>
      <c r="J13" s="5"/>
    </row>
    <row r="14" spans="1:10" x14ac:dyDescent="0.3">
      <c r="A14" s="12">
        <v>22900</v>
      </c>
      <c r="B14" s="5" t="s">
        <v>283</v>
      </c>
      <c r="C14" s="5" t="s">
        <v>791</v>
      </c>
      <c r="D14" s="5" t="s">
        <v>792</v>
      </c>
      <c r="E14" s="5"/>
      <c r="F14" s="5"/>
      <c r="G14" s="5"/>
      <c r="H14" s="5"/>
      <c r="I14" s="5"/>
      <c r="J14" s="5"/>
    </row>
    <row r="15" spans="1:10" x14ac:dyDescent="0.3">
      <c r="A15" s="12">
        <v>23500</v>
      </c>
      <c r="B15" s="5" t="s">
        <v>284</v>
      </c>
      <c r="C15" s="5" t="s">
        <v>793</v>
      </c>
      <c r="D15" s="5" t="s">
        <v>794</v>
      </c>
      <c r="E15" s="5"/>
      <c r="F15" s="5"/>
      <c r="G15" s="5"/>
      <c r="H15" s="5"/>
      <c r="I15" s="5"/>
      <c r="J15" s="5"/>
    </row>
    <row r="16" spans="1:10" x14ac:dyDescent="0.3">
      <c r="A16" s="12">
        <v>24200</v>
      </c>
      <c r="B16" s="5" t="s">
        <v>724</v>
      </c>
      <c r="C16" s="5" t="s">
        <v>795</v>
      </c>
      <c r="D16" s="5" t="s">
        <v>796</v>
      </c>
      <c r="E16" s="5"/>
      <c r="F16" s="5"/>
      <c r="G16" s="5"/>
      <c r="H16" s="5"/>
      <c r="I16" s="5"/>
      <c r="J16" s="5"/>
    </row>
    <row r="17" spans="1:10" x14ac:dyDescent="0.3">
      <c r="A17" s="12">
        <v>24550</v>
      </c>
      <c r="B17" s="5" t="s">
        <v>725</v>
      </c>
      <c r="C17" s="5" t="s">
        <v>797</v>
      </c>
      <c r="D17" s="5" t="s">
        <v>798</v>
      </c>
      <c r="E17" s="5"/>
      <c r="F17" s="5"/>
      <c r="G17" s="5"/>
      <c r="H17" s="5"/>
      <c r="I17" s="5"/>
      <c r="J17" s="5"/>
    </row>
    <row r="18" spans="1:10" x14ac:dyDescent="0.3">
      <c r="A18" s="12">
        <v>26000</v>
      </c>
      <c r="B18" s="5" t="s">
        <v>726</v>
      </c>
      <c r="C18" s="5" t="s">
        <v>799</v>
      </c>
      <c r="D18" s="5" t="s">
        <v>800</v>
      </c>
      <c r="E18" s="5" t="s">
        <v>801</v>
      </c>
      <c r="F18" s="5"/>
      <c r="G18" s="5"/>
      <c r="H18" s="5"/>
      <c r="I18" s="5"/>
      <c r="J18" s="5"/>
    </row>
    <row r="19" spans="1:10" x14ac:dyDescent="0.3">
      <c r="A19" s="12">
        <v>26300</v>
      </c>
      <c r="B19" s="5" t="s">
        <v>802</v>
      </c>
      <c r="C19" s="5" t="s">
        <v>803</v>
      </c>
      <c r="D19" s="5" t="s">
        <v>804</v>
      </c>
      <c r="E19" s="5"/>
      <c r="F19" s="5"/>
      <c r="G19" s="5"/>
      <c r="H19" s="5"/>
      <c r="I19" s="5"/>
      <c r="J19" s="5"/>
    </row>
    <row r="20" spans="1:10" x14ac:dyDescent="0.3">
      <c r="A20" s="12">
        <v>30600</v>
      </c>
      <c r="B20" s="5" t="s">
        <v>728</v>
      </c>
      <c r="C20" s="5" t="s">
        <v>805</v>
      </c>
      <c r="D20" s="5" t="s">
        <v>806</v>
      </c>
      <c r="E20" s="5"/>
      <c r="F20" s="5" t="s">
        <v>807</v>
      </c>
      <c r="G20" s="5"/>
      <c r="H20" s="5"/>
      <c r="I20" s="5"/>
      <c r="J20" s="5"/>
    </row>
    <row r="21" spans="1:10" x14ac:dyDescent="0.3">
      <c r="A21" s="12">
        <v>31000</v>
      </c>
      <c r="B21" s="5" t="s">
        <v>285</v>
      </c>
      <c r="C21" s="5" t="s">
        <v>808</v>
      </c>
      <c r="D21" s="5" t="s">
        <v>809</v>
      </c>
      <c r="E21" s="5"/>
      <c r="F21" s="5"/>
      <c r="G21" s="5"/>
      <c r="H21" s="5"/>
      <c r="I21" s="5"/>
      <c r="J21" s="5"/>
    </row>
    <row r="22" spans="1:10" x14ac:dyDescent="0.3">
      <c r="A22" s="12">
        <v>31400</v>
      </c>
      <c r="B22" s="5" t="s">
        <v>733</v>
      </c>
      <c r="C22" s="5" t="s">
        <v>810</v>
      </c>
      <c r="D22" s="5" t="s">
        <v>811</v>
      </c>
      <c r="E22" s="5"/>
      <c r="F22" s="5"/>
      <c r="G22" s="5"/>
      <c r="H22" s="5"/>
      <c r="I22" s="5"/>
      <c r="J22" s="5"/>
    </row>
    <row r="23" spans="1:10" x14ac:dyDescent="0.3">
      <c r="A23" s="12">
        <v>32000</v>
      </c>
      <c r="B23" s="5" t="s">
        <v>286</v>
      </c>
      <c r="C23" s="5" t="s">
        <v>812</v>
      </c>
      <c r="D23" s="5" t="s">
        <v>813</v>
      </c>
      <c r="E23" s="5"/>
      <c r="F23" s="5"/>
      <c r="G23" s="5"/>
      <c r="H23" s="5"/>
      <c r="I23" s="5"/>
      <c r="J23" s="5"/>
    </row>
    <row r="24" spans="1:10" x14ac:dyDescent="0.3">
      <c r="A24" s="12">
        <v>32300</v>
      </c>
      <c r="B24" s="5" t="s">
        <v>727</v>
      </c>
      <c r="C24" s="5" t="s">
        <v>814</v>
      </c>
      <c r="D24" s="5" t="s">
        <v>815</v>
      </c>
      <c r="E24" s="5" t="s">
        <v>816</v>
      </c>
      <c r="F24" s="5"/>
      <c r="G24" s="5"/>
      <c r="H24" s="5"/>
      <c r="I24" s="5"/>
      <c r="J24" s="5"/>
    </row>
    <row r="25" spans="1:10" x14ac:dyDescent="0.3">
      <c r="A25" s="12">
        <v>32800</v>
      </c>
      <c r="B25" s="5" t="s">
        <v>734</v>
      </c>
      <c r="C25" s="5" t="s">
        <v>817</v>
      </c>
      <c r="D25" s="5" t="s">
        <v>818</v>
      </c>
      <c r="E25" s="5"/>
      <c r="F25" s="5"/>
      <c r="G25" s="5"/>
      <c r="H25" s="5"/>
      <c r="I25" s="5"/>
      <c r="J25" s="5"/>
    </row>
    <row r="26" spans="1:10" x14ac:dyDescent="0.3">
      <c r="A26" s="12">
        <v>33150</v>
      </c>
      <c r="B26" s="5" t="s">
        <v>731</v>
      </c>
      <c r="C26" s="5" t="s">
        <v>819</v>
      </c>
      <c r="D26" s="5" t="s">
        <v>820</v>
      </c>
      <c r="E26" s="5"/>
      <c r="F26" s="5" t="s">
        <v>820</v>
      </c>
      <c r="G26" s="5" t="s">
        <v>821</v>
      </c>
      <c r="H26" s="5" t="s">
        <v>822</v>
      </c>
      <c r="I26" s="5" t="s">
        <v>823</v>
      </c>
      <c r="J26" s="5"/>
    </row>
    <row r="27" spans="1:10" x14ac:dyDescent="0.3">
      <c r="A27" s="12">
        <v>33300</v>
      </c>
      <c r="B27" s="5" t="s">
        <v>730</v>
      </c>
      <c r="C27" s="5" t="s">
        <v>824</v>
      </c>
      <c r="D27" s="5" t="s">
        <v>825</v>
      </c>
      <c r="E27" s="5" t="s">
        <v>826</v>
      </c>
      <c r="F27" s="5"/>
      <c r="G27" s="5"/>
      <c r="H27" s="5"/>
      <c r="I27" s="5"/>
      <c r="J27" s="5"/>
    </row>
    <row r="28" spans="1:10" x14ac:dyDescent="0.3">
      <c r="A28" s="12">
        <v>33800</v>
      </c>
      <c r="B28" s="5" t="s">
        <v>729</v>
      </c>
      <c r="C28" s="5" t="s">
        <v>827</v>
      </c>
      <c r="D28" s="5" t="s">
        <v>828</v>
      </c>
      <c r="E28" s="5" t="s">
        <v>829</v>
      </c>
      <c r="F28" s="5"/>
      <c r="G28" s="5"/>
      <c r="H28" s="5"/>
      <c r="I28" s="5"/>
      <c r="J28" s="5"/>
    </row>
    <row r="29" spans="1:10" x14ac:dyDescent="0.3">
      <c r="A29" s="12">
        <v>33900</v>
      </c>
      <c r="B29" s="5" t="s">
        <v>732</v>
      </c>
      <c r="C29" s="5" t="s">
        <v>830</v>
      </c>
      <c r="D29" s="5" t="s">
        <v>831</v>
      </c>
      <c r="E29" s="5"/>
      <c r="F29" s="5"/>
      <c r="G29" s="5"/>
      <c r="H29" s="5"/>
      <c r="I29" s="5"/>
      <c r="J29" s="5"/>
    </row>
    <row r="30" spans="1:10" x14ac:dyDescent="0.3">
      <c r="A30" s="12">
        <v>34400</v>
      </c>
      <c r="B30" s="5" t="s">
        <v>735</v>
      </c>
      <c r="C30" s="5" t="s">
        <v>832</v>
      </c>
      <c r="D30" s="5" t="s">
        <v>833</v>
      </c>
      <c r="E30" s="5"/>
      <c r="F30" s="5"/>
      <c r="G30" s="5"/>
      <c r="H30" s="5"/>
      <c r="I30" s="5"/>
      <c r="J30" s="5"/>
    </row>
    <row r="31" spans="1:10" x14ac:dyDescent="0.3">
      <c r="A31" s="12">
        <v>40400</v>
      </c>
      <c r="B31" s="5" t="s">
        <v>723</v>
      </c>
      <c r="C31" s="5" t="s">
        <v>834</v>
      </c>
      <c r="D31" s="5" t="s">
        <v>835</v>
      </c>
      <c r="E31" s="5"/>
      <c r="F31" s="5"/>
      <c r="G31" s="5"/>
      <c r="H31" s="5"/>
      <c r="I31" s="5"/>
      <c r="J31" s="5"/>
    </row>
    <row r="32" spans="1:10" x14ac:dyDescent="0.3">
      <c r="A32" s="12">
        <v>40700</v>
      </c>
      <c r="B32" s="5" t="s">
        <v>836</v>
      </c>
      <c r="C32" s="5" t="s">
        <v>837</v>
      </c>
      <c r="D32" s="5" t="s">
        <v>838</v>
      </c>
      <c r="E32" s="5" t="s">
        <v>839</v>
      </c>
      <c r="F32" s="5" t="s">
        <v>840</v>
      </c>
      <c r="G32" s="5" t="s">
        <v>841</v>
      </c>
      <c r="H32" s="5" t="s">
        <v>842</v>
      </c>
      <c r="I32" s="5" t="s">
        <v>843</v>
      </c>
      <c r="J32" s="5"/>
    </row>
    <row r="33" spans="1:10" x14ac:dyDescent="0.3">
      <c r="A33" s="12">
        <v>40900</v>
      </c>
      <c r="B33" s="5" t="s">
        <v>718</v>
      </c>
      <c r="C33" s="5" t="s">
        <v>844</v>
      </c>
      <c r="D33" s="5" t="s">
        <v>845</v>
      </c>
      <c r="E33" s="5" t="s">
        <v>846</v>
      </c>
      <c r="F33" s="5"/>
      <c r="G33" s="5"/>
      <c r="H33" s="5"/>
      <c r="I33" s="5"/>
      <c r="J33" s="5"/>
    </row>
    <row r="34" spans="1:10" x14ac:dyDescent="0.3">
      <c r="A34" s="12">
        <v>41500</v>
      </c>
      <c r="B34" s="5" t="s">
        <v>717</v>
      </c>
      <c r="C34" s="5" t="s">
        <v>847</v>
      </c>
      <c r="D34" s="5" t="s">
        <v>848</v>
      </c>
      <c r="E34" s="5"/>
      <c r="F34" s="5"/>
      <c r="G34" s="5"/>
      <c r="H34" s="5"/>
      <c r="I34" s="5"/>
      <c r="J34" s="5"/>
    </row>
    <row r="35" spans="1:10" x14ac:dyDescent="0.3">
      <c r="A35" s="12">
        <v>41600</v>
      </c>
      <c r="B35" s="5" t="s">
        <v>720</v>
      </c>
      <c r="C35" s="5" t="s">
        <v>849</v>
      </c>
      <c r="D35" s="5" t="s">
        <v>850</v>
      </c>
      <c r="E35" s="5"/>
      <c r="F35" s="5"/>
      <c r="G35" s="5"/>
      <c r="H35" s="5"/>
      <c r="I35" s="5" t="s">
        <v>851</v>
      </c>
      <c r="J35" s="5"/>
    </row>
    <row r="36" spans="1:10" x14ac:dyDescent="0.3">
      <c r="A36" s="12">
        <v>41900</v>
      </c>
      <c r="B36" s="5" t="s">
        <v>852</v>
      </c>
      <c r="C36" s="5" t="s">
        <v>853</v>
      </c>
      <c r="D36" s="5" t="s">
        <v>854</v>
      </c>
      <c r="E36" s="5"/>
      <c r="F36" s="5"/>
      <c r="G36" s="5" t="s">
        <v>855</v>
      </c>
      <c r="H36" s="5"/>
      <c r="I36" s="5"/>
      <c r="J36" s="5"/>
    </row>
    <row r="37" spans="1:10" x14ac:dyDescent="0.3">
      <c r="A37" s="12">
        <v>42000</v>
      </c>
      <c r="B37" s="5" t="s">
        <v>716</v>
      </c>
      <c r="C37" s="5" t="s">
        <v>856</v>
      </c>
      <c r="D37" s="5" t="s">
        <v>857</v>
      </c>
      <c r="E37" s="5"/>
      <c r="F37" s="5"/>
      <c r="G37" s="5"/>
      <c r="H37" s="5"/>
      <c r="I37" s="5"/>
      <c r="J37" s="5" t="s">
        <v>858</v>
      </c>
    </row>
    <row r="38" spans="1:10" x14ac:dyDescent="0.3">
      <c r="A38" s="12">
        <v>42200</v>
      </c>
      <c r="B38" s="5" t="s">
        <v>287</v>
      </c>
      <c r="C38" s="5" t="s">
        <v>859</v>
      </c>
      <c r="D38" s="5" t="s">
        <v>860</v>
      </c>
      <c r="E38" s="5"/>
      <c r="F38" s="5"/>
      <c r="G38" s="5"/>
      <c r="H38" s="5"/>
      <c r="I38" s="5"/>
      <c r="J38" s="5"/>
    </row>
    <row r="39" spans="1:10" x14ac:dyDescent="0.3">
      <c r="A39" s="12">
        <v>42700</v>
      </c>
      <c r="B39" s="5" t="s">
        <v>721</v>
      </c>
      <c r="C39" s="5" t="s">
        <v>861</v>
      </c>
      <c r="D39" s="5" t="s">
        <v>862</v>
      </c>
      <c r="E39" s="5" t="s">
        <v>863</v>
      </c>
      <c r="F39" s="5"/>
      <c r="G39" s="5"/>
      <c r="H39" s="5"/>
      <c r="I39" s="5"/>
      <c r="J39" s="5"/>
    </row>
    <row r="40" spans="1:10" x14ac:dyDescent="0.3">
      <c r="A40" s="12">
        <v>43200</v>
      </c>
      <c r="B40" s="5" t="s">
        <v>722</v>
      </c>
      <c r="C40" s="5" t="s">
        <v>864</v>
      </c>
      <c r="D40" s="5" t="s">
        <v>865</v>
      </c>
      <c r="E40" s="5"/>
      <c r="F40" s="5" t="s">
        <v>866</v>
      </c>
      <c r="G40" s="5"/>
      <c r="H40" s="5"/>
      <c r="I40" s="5"/>
      <c r="J40" s="5"/>
    </row>
    <row r="41" spans="1:10" x14ac:dyDescent="0.3">
      <c r="A41" s="12">
        <v>43400</v>
      </c>
      <c r="B41" s="5" t="s">
        <v>719</v>
      </c>
      <c r="C41" s="5" t="s">
        <v>867</v>
      </c>
      <c r="D41" s="5" t="s">
        <v>868</v>
      </c>
      <c r="E41" s="5" t="s">
        <v>869</v>
      </c>
      <c r="F41" s="5"/>
      <c r="G41" s="5"/>
      <c r="H41" s="5"/>
      <c r="I41" s="5"/>
      <c r="J41" s="5"/>
    </row>
    <row r="42" spans="1:10" x14ac:dyDescent="0.3">
      <c r="A42" s="12">
        <v>50500</v>
      </c>
      <c r="B42" s="5" t="s">
        <v>736</v>
      </c>
      <c r="C42" s="5"/>
      <c r="D42" s="5"/>
      <c r="E42" s="5"/>
      <c r="F42" s="5"/>
      <c r="G42" s="5"/>
      <c r="H42" s="5"/>
      <c r="I42" s="5"/>
      <c r="J42" s="5"/>
    </row>
    <row r="43" spans="1:10" x14ac:dyDescent="0.3">
      <c r="A43" s="12">
        <v>70640</v>
      </c>
      <c r="B43" s="5" t="s">
        <v>715</v>
      </c>
      <c r="C43" s="5" t="s">
        <v>870</v>
      </c>
      <c r="D43" s="5" t="s">
        <v>871</v>
      </c>
      <c r="E43" s="5"/>
      <c r="F43" s="5" t="s">
        <v>872</v>
      </c>
      <c r="G43" s="5" t="s">
        <v>873</v>
      </c>
      <c r="H43" s="5"/>
      <c r="I43" s="5" t="s">
        <v>874</v>
      </c>
      <c r="J43"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02"/>
  <sheetViews>
    <sheetView workbookViewId="0">
      <selection activeCell="G2" sqref="G2"/>
    </sheetView>
  </sheetViews>
  <sheetFormatPr defaultRowHeight="14.4" x14ac:dyDescent="0.3"/>
  <cols>
    <col min="1" max="1" width="19.6640625" customWidth="1"/>
    <col min="2" max="2" width="18.44140625" customWidth="1"/>
    <col min="3" max="3" width="35.109375" customWidth="1"/>
    <col min="4" max="4" width="39" customWidth="1"/>
    <col min="5" max="5" width="9.6640625" style="2" customWidth="1"/>
    <col min="6" max="6" width="30.5546875" style="2" hidden="1" customWidth="1"/>
    <col min="7" max="9" width="30.5546875" style="2" customWidth="1"/>
    <col min="258" max="258" width="19.6640625" customWidth="1"/>
    <col min="259" max="259" width="18.44140625" customWidth="1"/>
    <col min="260" max="260" width="35.109375" customWidth="1"/>
    <col min="261" max="261" width="39" customWidth="1"/>
    <col min="262" max="262" width="9.6640625" customWidth="1"/>
    <col min="263" max="265" width="30.5546875" customWidth="1"/>
    <col min="514" max="514" width="19.6640625" customWidth="1"/>
    <col min="515" max="515" width="18.44140625" customWidth="1"/>
    <col min="516" max="516" width="35.109375" customWidth="1"/>
    <col min="517" max="517" width="39" customWidth="1"/>
    <col min="518" max="518" width="9.6640625" customWidth="1"/>
    <col min="519" max="521" width="30.5546875" customWidth="1"/>
    <col min="770" max="770" width="19.6640625" customWidth="1"/>
    <col min="771" max="771" width="18.44140625" customWidth="1"/>
    <col min="772" max="772" width="35.109375" customWidth="1"/>
    <col min="773" max="773" width="39" customWidth="1"/>
    <col min="774" max="774" width="9.6640625" customWidth="1"/>
    <col min="775" max="777" width="30.5546875" customWidth="1"/>
    <col min="1026" max="1026" width="19.6640625" customWidth="1"/>
    <col min="1027" max="1027" width="18.44140625" customWidth="1"/>
    <col min="1028" max="1028" width="35.109375" customWidth="1"/>
    <col min="1029" max="1029" width="39" customWidth="1"/>
    <col min="1030" max="1030" width="9.6640625" customWidth="1"/>
    <col min="1031" max="1033" width="30.5546875" customWidth="1"/>
    <col min="1282" max="1282" width="19.6640625" customWidth="1"/>
    <col min="1283" max="1283" width="18.44140625" customWidth="1"/>
    <col min="1284" max="1284" width="35.109375" customWidth="1"/>
    <col min="1285" max="1285" width="39" customWidth="1"/>
    <col min="1286" max="1286" width="9.6640625" customWidth="1"/>
    <col min="1287" max="1289" width="30.5546875" customWidth="1"/>
    <col min="1538" max="1538" width="19.6640625" customWidth="1"/>
    <col min="1539" max="1539" width="18.44140625" customWidth="1"/>
    <col min="1540" max="1540" width="35.109375" customWidth="1"/>
    <col min="1541" max="1541" width="39" customWidth="1"/>
    <col min="1542" max="1542" width="9.6640625" customWidth="1"/>
    <col min="1543" max="1545" width="30.5546875" customWidth="1"/>
    <col min="1794" max="1794" width="19.6640625" customWidth="1"/>
    <col min="1795" max="1795" width="18.44140625" customWidth="1"/>
    <col min="1796" max="1796" width="35.109375" customWidth="1"/>
    <col min="1797" max="1797" width="39" customWidth="1"/>
    <col min="1798" max="1798" width="9.6640625" customWidth="1"/>
    <col min="1799" max="1801" width="30.5546875" customWidth="1"/>
    <col min="2050" max="2050" width="19.6640625" customWidth="1"/>
    <col min="2051" max="2051" width="18.44140625" customWidth="1"/>
    <col min="2052" max="2052" width="35.109375" customWidth="1"/>
    <col min="2053" max="2053" width="39" customWidth="1"/>
    <col min="2054" max="2054" width="9.6640625" customWidth="1"/>
    <col min="2055" max="2057" width="30.5546875" customWidth="1"/>
    <col min="2306" max="2306" width="19.6640625" customWidth="1"/>
    <col min="2307" max="2307" width="18.44140625" customWidth="1"/>
    <col min="2308" max="2308" width="35.109375" customWidth="1"/>
    <col min="2309" max="2309" width="39" customWidth="1"/>
    <col min="2310" max="2310" width="9.6640625" customWidth="1"/>
    <col min="2311" max="2313" width="30.5546875" customWidth="1"/>
    <col min="2562" max="2562" width="19.6640625" customWidth="1"/>
    <col min="2563" max="2563" width="18.44140625" customWidth="1"/>
    <col min="2564" max="2564" width="35.109375" customWidth="1"/>
    <col min="2565" max="2565" width="39" customWidth="1"/>
    <col min="2566" max="2566" width="9.6640625" customWidth="1"/>
    <col min="2567" max="2569" width="30.5546875" customWidth="1"/>
    <col min="2818" max="2818" width="19.6640625" customWidth="1"/>
    <col min="2819" max="2819" width="18.44140625" customWidth="1"/>
    <col min="2820" max="2820" width="35.109375" customWidth="1"/>
    <col min="2821" max="2821" width="39" customWidth="1"/>
    <col min="2822" max="2822" width="9.6640625" customWidth="1"/>
    <col min="2823" max="2825" width="30.5546875" customWidth="1"/>
    <col min="3074" max="3074" width="19.6640625" customWidth="1"/>
    <col min="3075" max="3075" width="18.44140625" customWidth="1"/>
    <col min="3076" max="3076" width="35.109375" customWidth="1"/>
    <col min="3077" max="3077" width="39" customWidth="1"/>
    <col min="3078" max="3078" width="9.6640625" customWidth="1"/>
    <col min="3079" max="3081" width="30.5546875" customWidth="1"/>
    <col min="3330" max="3330" width="19.6640625" customWidth="1"/>
    <col min="3331" max="3331" width="18.44140625" customWidth="1"/>
    <col min="3332" max="3332" width="35.109375" customWidth="1"/>
    <col min="3333" max="3333" width="39" customWidth="1"/>
    <col min="3334" max="3334" width="9.6640625" customWidth="1"/>
    <col min="3335" max="3337" width="30.5546875" customWidth="1"/>
    <col min="3586" max="3586" width="19.6640625" customWidth="1"/>
    <col min="3587" max="3587" width="18.44140625" customWidth="1"/>
    <col min="3588" max="3588" width="35.109375" customWidth="1"/>
    <col min="3589" max="3589" width="39" customWidth="1"/>
    <col min="3590" max="3590" width="9.6640625" customWidth="1"/>
    <col min="3591" max="3593" width="30.5546875" customWidth="1"/>
    <col min="3842" max="3842" width="19.6640625" customWidth="1"/>
    <col min="3843" max="3843" width="18.44140625" customWidth="1"/>
    <col min="3844" max="3844" width="35.109375" customWidth="1"/>
    <col min="3845" max="3845" width="39" customWidth="1"/>
    <col min="3846" max="3846" width="9.6640625" customWidth="1"/>
    <col min="3847" max="3849" width="30.5546875" customWidth="1"/>
    <col min="4098" max="4098" width="19.6640625" customWidth="1"/>
    <col min="4099" max="4099" width="18.44140625" customWidth="1"/>
    <col min="4100" max="4100" width="35.109375" customWidth="1"/>
    <col min="4101" max="4101" width="39" customWidth="1"/>
    <col min="4102" max="4102" width="9.6640625" customWidth="1"/>
    <col min="4103" max="4105" width="30.5546875" customWidth="1"/>
    <col min="4354" max="4354" width="19.6640625" customWidth="1"/>
    <col min="4355" max="4355" width="18.44140625" customWidth="1"/>
    <col min="4356" max="4356" width="35.109375" customWidth="1"/>
    <col min="4357" max="4357" width="39" customWidth="1"/>
    <col min="4358" max="4358" width="9.6640625" customWidth="1"/>
    <col min="4359" max="4361" width="30.5546875" customWidth="1"/>
    <col min="4610" max="4610" width="19.6640625" customWidth="1"/>
    <col min="4611" max="4611" width="18.44140625" customWidth="1"/>
    <col min="4612" max="4612" width="35.109375" customWidth="1"/>
    <col min="4613" max="4613" width="39" customWidth="1"/>
    <col min="4614" max="4614" width="9.6640625" customWidth="1"/>
    <col min="4615" max="4617" width="30.5546875" customWidth="1"/>
    <col min="4866" max="4866" width="19.6640625" customWidth="1"/>
    <col min="4867" max="4867" width="18.44140625" customWidth="1"/>
    <col min="4868" max="4868" width="35.109375" customWidth="1"/>
    <col min="4869" max="4869" width="39" customWidth="1"/>
    <col min="4870" max="4870" width="9.6640625" customWidth="1"/>
    <col min="4871" max="4873" width="30.5546875" customWidth="1"/>
    <col min="5122" max="5122" width="19.6640625" customWidth="1"/>
    <col min="5123" max="5123" width="18.44140625" customWidth="1"/>
    <col min="5124" max="5124" width="35.109375" customWidth="1"/>
    <col min="5125" max="5125" width="39" customWidth="1"/>
    <col min="5126" max="5126" width="9.6640625" customWidth="1"/>
    <col min="5127" max="5129" width="30.5546875" customWidth="1"/>
    <col min="5378" max="5378" width="19.6640625" customWidth="1"/>
    <col min="5379" max="5379" width="18.44140625" customWidth="1"/>
    <col min="5380" max="5380" width="35.109375" customWidth="1"/>
    <col min="5381" max="5381" width="39" customWidth="1"/>
    <col min="5382" max="5382" width="9.6640625" customWidth="1"/>
    <col min="5383" max="5385" width="30.5546875" customWidth="1"/>
    <col min="5634" max="5634" width="19.6640625" customWidth="1"/>
    <col min="5635" max="5635" width="18.44140625" customWidth="1"/>
    <col min="5636" max="5636" width="35.109375" customWidth="1"/>
    <col min="5637" max="5637" width="39" customWidth="1"/>
    <col min="5638" max="5638" width="9.6640625" customWidth="1"/>
    <col min="5639" max="5641" width="30.5546875" customWidth="1"/>
    <col min="5890" max="5890" width="19.6640625" customWidth="1"/>
    <col min="5891" max="5891" width="18.44140625" customWidth="1"/>
    <col min="5892" max="5892" width="35.109375" customWidth="1"/>
    <col min="5893" max="5893" width="39" customWidth="1"/>
    <col min="5894" max="5894" width="9.6640625" customWidth="1"/>
    <col min="5895" max="5897" width="30.5546875" customWidth="1"/>
    <col min="6146" max="6146" width="19.6640625" customWidth="1"/>
    <col min="6147" max="6147" width="18.44140625" customWidth="1"/>
    <col min="6148" max="6148" width="35.109375" customWidth="1"/>
    <col min="6149" max="6149" width="39" customWidth="1"/>
    <col min="6150" max="6150" width="9.6640625" customWidth="1"/>
    <col min="6151" max="6153" width="30.5546875" customWidth="1"/>
    <col min="6402" max="6402" width="19.6640625" customWidth="1"/>
    <col min="6403" max="6403" width="18.44140625" customWidth="1"/>
    <col min="6404" max="6404" width="35.109375" customWidth="1"/>
    <col min="6405" max="6405" width="39" customWidth="1"/>
    <col min="6406" max="6406" width="9.6640625" customWidth="1"/>
    <col min="6407" max="6409" width="30.5546875" customWidth="1"/>
    <col min="6658" max="6658" width="19.6640625" customWidth="1"/>
    <col min="6659" max="6659" width="18.44140625" customWidth="1"/>
    <col min="6660" max="6660" width="35.109375" customWidth="1"/>
    <col min="6661" max="6661" width="39" customWidth="1"/>
    <col min="6662" max="6662" width="9.6640625" customWidth="1"/>
    <col min="6663" max="6665" width="30.5546875" customWidth="1"/>
    <col min="6914" max="6914" width="19.6640625" customWidth="1"/>
    <col min="6915" max="6915" width="18.44140625" customWidth="1"/>
    <col min="6916" max="6916" width="35.109375" customWidth="1"/>
    <col min="6917" max="6917" width="39" customWidth="1"/>
    <col min="6918" max="6918" width="9.6640625" customWidth="1"/>
    <col min="6919" max="6921" width="30.5546875" customWidth="1"/>
    <col min="7170" max="7170" width="19.6640625" customWidth="1"/>
    <col min="7171" max="7171" width="18.44140625" customWidth="1"/>
    <col min="7172" max="7172" width="35.109375" customWidth="1"/>
    <col min="7173" max="7173" width="39" customWidth="1"/>
    <col min="7174" max="7174" width="9.6640625" customWidth="1"/>
    <col min="7175" max="7177" width="30.5546875" customWidth="1"/>
    <col min="7426" max="7426" width="19.6640625" customWidth="1"/>
    <col min="7427" max="7427" width="18.44140625" customWidth="1"/>
    <col min="7428" max="7428" width="35.109375" customWidth="1"/>
    <col min="7429" max="7429" width="39" customWidth="1"/>
    <col min="7430" max="7430" width="9.6640625" customWidth="1"/>
    <col min="7431" max="7433" width="30.5546875" customWidth="1"/>
    <col min="7682" max="7682" width="19.6640625" customWidth="1"/>
    <col min="7683" max="7683" width="18.44140625" customWidth="1"/>
    <col min="7684" max="7684" width="35.109375" customWidth="1"/>
    <col min="7685" max="7685" width="39" customWidth="1"/>
    <col min="7686" max="7686" width="9.6640625" customWidth="1"/>
    <col min="7687" max="7689" width="30.5546875" customWidth="1"/>
    <col min="7938" max="7938" width="19.6640625" customWidth="1"/>
    <col min="7939" max="7939" width="18.44140625" customWidth="1"/>
    <col min="7940" max="7940" width="35.109375" customWidth="1"/>
    <col min="7941" max="7941" width="39" customWidth="1"/>
    <col min="7942" max="7942" width="9.6640625" customWidth="1"/>
    <col min="7943" max="7945" width="30.5546875" customWidth="1"/>
    <col min="8194" max="8194" width="19.6640625" customWidth="1"/>
    <col min="8195" max="8195" width="18.44140625" customWidth="1"/>
    <col min="8196" max="8196" width="35.109375" customWidth="1"/>
    <col min="8197" max="8197" width="39" customWidth="1"/>
    <col min="8198" max="8198" width="9.6640625" customWidth="1"/>
    <col min="8199" max="8201" width="30.5546875" customWidth="1"/>
    <col min="8450" max="8450" width="19.6640625" customWidth="1"/>
    <col min="8451" max="8451" width="18.44140625" customWidth="1"/>
    <col min="8452" max="8452" width="35.109375" customWidth="1"/>
    <col min="8453" max="8453" width="39" customWidth="1"/>
    <col min="8454" max="8454" width="9.6640625" customWidth="1"/>
    <col min="8455" max="8457" width="30.5546875" customWidth="1"/>
    <col min="8706" max="8706" width="19.6640625" customWidth="1"/>
    <col min="8707" max="8707" width="18.44140625" customWidth="1"/>
    <col min="8708" max="8708" width="35.109375" customWidth="1"/>
    <col min="8709" max="8709" width="39" customWidth="1"/>
    <col min="8710" max="8710" width="9.6640625" customWidth="1"/>
    <col min="8711" max="8713" width="30.5546875" customWidth="1"/>
    <col min="8962" max="8962" width="19.6640625" customWidth="1"/>
    <col min="8963" max="8963" width="18.44140625" customWidth="1"/>
    <col min="8964" max="8964" width="35.109375" customWidth="1"/>
    <col min="8965" max="8965" width="39" customWidth="1"/>
    <col min="8966" max="8966" width="9.6640625" customWidth="1"/>
    <col min="8967" max="8969" width="30.5546875" customWidth="1"/>
    <col min="9218" max="9218" width="19.6640625" customWidth="1"/>
    <col min="9219" max="9219" width="18.44140625" customWidth="1"/>
    <col min="9220" max="9220" width="35.109375" customWidth="1"/>
    <col min="9221" max="9221" width="39" customWidth="1"/>
    <col min="9222" max="9222" width="9.6640625" customWidth="1"/>
    <col min="9223" max="9225" width="30.5546875" customWidth="1"/>
    <col min="9474" max="9474" width="19.6640625" customWidth="1"/>
    <col min="9475" max="9475" width="18.44140625" customWidth="1"/>
    <col min="9476" max="9476" width="35.109375" customWidth="1"/>
    <col min="9477" max="9477" width="39" customWidth="1"/>
    <col min="9478" max="9478" width="9.6640625" customWidth="1"/>
    <col min="9479" max="9481" width="30.5546875" customWidth="1"/>
    <col min="9730" max="9730" width="19.6640625" customWidth="1"/>
    <col min="9731" max="9731" width="18.44140625" customWidth="1"/>
    <col min="9732" max="9732" width="35.109375" customWidth="1"/>
    <col min="9733" max="9733" width="39" customWidth="1"/>
    <col min="9734" max="9734" width="9.6640625" customWidth="1"/>
    <col min="9735" max="9737" width="30.5546875" customWidth="1"/>
    <col min="9986" max="9986" width="19.6640625" customWidth="1"/>
    <col min="9987" max="9987" width="18.44140625" customWidth="1"/>
    <col min="9988" max="9988" width="35.109375" customWidth="1"/>
    <col min="9989" max="9989" width="39" customWidth="1"/>
    <col min="9990" max="9990" width="9.6640625" customWidth="1"/>
    <col min="9991" max="9993" width="30.5546875" customWidth="1"/>
    <col min="10242" max="10242" width="19.6640625" customWidth="1"/>
    <col min="10243" max="10243" width="18.44140625" customWidth="1"/>
    <col min="10244" max="10244" width="35.109375" customWidth="1"/>
    <col min="10245" max="10245" width="39" customWidth="1"/>
    <col min="10246" max="10246" width="9.6640625" customWidth="1"/>
    <col min="10247" max="10249" width="30.5546875" customWidth="1"/>
    <col min="10498" max="10498" width="19.6640625" customWidth="1"/>
    <col min="10499" max="10499" width="18.44140625" customWidth="1"/>
    <col min="10500" max="10500" width="35.109375" customWidth="1"/>
    <col min="10501" max="10501" width="39" customWidth="1"/>
    <col min="10502" max="10502" width="9.6640625" customWidth="1"/>
    <col min="10503" max="10505" width="30.5546875" customWidth="1"/>
    <col min="10754" max="10754" width="19.6640625" customWidth="1"/>
    <col min="10755" max="10755" width="18.44140625" customWidth="1"/>
    <col min="10756" max="10756" width="35.109375" customWidth="1"/>
    <col min="10757" max="10757" width="39" customWidth="1"/>
    <col min="10758" max="10758" width="9.6640625" customWidth="1"/>
    <col min="10759" max="10761" width="30.5546875" customWidth="1"/>
    <col min="11010" max="11010" width="19.6640625" customWidth="1"/>
    <col min="11011" max="11011" width="18.44140625" customWidth="1"/>
    <col min="11012" max="11012" width="35.109375" customWidth="1"/>
    <col min="11013" max="11013" width="39" customWidth="1"/>
    <col min="11014" max="11014" width="9.6640625" customWidth="1"/>
    <col min="11015" max="11017" width="30.5546875" customWidth="1"/>
    <col min="11266" max="11266" width="19.6640625" customWidth="1"/>
    <col min="11267" max="11267" width="18.44140625" customWidth="1"/>
    <col min="11268" max="11268" width="35.109375" customWidth="1"/>
    <col min="11269" max="11269" width="39" customWidth="1"/>
    <col min="11270" max="11270" width="9.6640625" customWidth="1"/>
    <col min="11271" max="11273" width="30.5546875" customWidth="1"/>
    <col min="11522" max="11522" width="19.6640625" customWidth="1"/>
    <col min="11523" max="11523" width="18.44140625" customWidth="1"/>
    <col min="11524" max="11524" width="35.109375" customWidth="1"/>
    <col min="11525" max="11525" width="39" customWidth="1"/>
    <col min="11526" max="11526" width="9.6640625" customWidth="1"/>
    <col min="11527" max="11529" width="30.5546875" customWidth="1"/>
    <col min="11778" max="11778" width="19.6640625" customWidth="1"/>
    <col min="11779" max="11779" width="18.44140625" customWidth="1"/>
    <col min="11780" max="11780" width="35.109375" customWidth="1"/>
    <col min="11781" max="11781" width="39" customWidth="1"/>
    <col min="11782" max="11782" width="9.6640625" customWidth="1"/>
    <col min="11783" max="11785" width="30.5546875" customWidth="1"/>
    <col min="12034" max="12034" width="19.6640625" customWidth="1"/>
    <col min="12035" max="12035" width="18.44140625" customWidth="1"/>
    <col min="12036" max="12036" width="35.109375" customWidth="1"/>
    <col min="12037" max="12037" width="39" customWidth="1"/>
    <col min="12038" max="12038" width="9.6640625" customWidth="1"/>
    <col min="12039" max="12041" width="30.5546875" customWidth="1"/>
    <col min="12290" max="12290" width="19.6640625" customWidth="1"/>
    <col min="12291" max="12291" width="18.44140625" customWidth="1"/>
    <col min="12292" max="12292" width="35.109375" customWidth="1"/>
    <col min="12293" max="12293" width="39" customWidth="1"/>
    <col min="12294" max="12294" width="9.6640625" customWidth="1"/>
    <col min="12295" max="12297" width="30.5546875" customWidth="1"/>
    <col min="12546" max="12546" width="19.6640625" customWidth="1"/>
    <col min="12547" max="12547" width="18.44140625" customWidth="1"/>
    <col min="12548" max="12548" width="35.109375" customWidth="1"/>
    <col min="12549" max="12549" width="39" customWidth="1"/>
    <col min="12550" max="12550" width="9.6640625" customWidth="1"/>
    <col min="12551" max="12553" width="30.5546875" customWidth="1"/>
    <col min="12802" max="12802" width="19.6640625" customWidth="1"/>
    <col min="12803" max="12803" width="18.44140625" customWidth="1"/>
    <col min="12804" max="12804" width="35.109375" customWidth="1"/>
    <col min="12805" max="12805" width="39" customWidth="1"/>
    <col min="12806" max="12806" width="9.6640625" customWidth="1"/>
    <col min="12807" max="12809" width="30.5546875" customWidth="1"/>
    <col min="13058" max="13058" width="19.6640625" customWidth="1"/>
    <col min="13059" max="13059" width="18.44140625" customWidth="1"/>
    <col min="13060" max="13060" width="35.109375" customWidth="1"/>
    <col min="13061" max="13061" width="39" customWidth="1"/>
    <col min="13062" max="13062" width="9.6640625" customWidth="1"/>
    <col min="13063" max="13065" width="30.5546875" customWidth="1"/>
    <col min="13314" max="13314" width="19.6640625" customWidth="1"/>
    <col min="13315" max="13315" width="18.44140625" customWidth="1"/>
    <col min="13316" max="13316" width="35.109375" customWidth="1"/>
    <col min="13317" max="13317" width="39" customWidth="1"/>
    <col min="13318" max="13318" width="9.6640625" customWidth="1"/>
    <col min="13319" max="13321" width="30.5546875" customWidth="1"/>
    <col min="13570" max="13570" width="19.6640625" customWidth="1"/>
    <col min="13571" max="13571" width="18.44140625" customWidth="1"/>
    <col min="13572" max="13572" width="35.109375" customWidth="1"/>
    <col min="13573" max="13573" width="39" customWidth="1"/>
    <col min="13574" max="13574" width="9.6640625" customWidth="1"/>
    <col min="13575" max="13577" width="30.5546875" customWidth="1"/>
    <col min="13826" max="13826" width="19.6640625" customWidth="1"/>
    <col min="13827" max="13827" width="18.44140625" customWidth="1"/>
    <col min="13828" max="13828" width="35.109375" customWidth="1"/>
    <col min="13829" max="13829" width="39" customWidth="1"/>
    <col min="13830" max="13830" width="9.6640625" customWidth="1"/>
    <col min="13831" max="13833" width="30.5546875" customWidth="1"/>
    <col min="14082" max="14082" width="19.6640625" customWidth="1"/>
    <col min="14083" max="14083" width="18.44140625" customWidth="1"/>
    <col min="14084" max="14084" width="35.109375" customWidth="1"/>
    <col min="14085" max="14085" width="39" customWidth="1"/>
    <col min="14086" max="14086" width="9.6640625" customWidth="1"/>
    <col min="14087" max="14089" width="30.5546875" customWidth="1"/>
    <col min="14338" max="14338" width="19.6640625" customWidth="1"/>
    <col min="14339" max="14339" width="18.44140625" customWidth="1"/>
    <col min="14340" max="14340" width="35.109375" customWidth="1"/>
    <col min="14341" max="14341" width="39" customWidth="1"/>
    <col min="14342" max="14342" width="9.6640625" customWidth="1"/>
    <col min="14343" max="14345" width="30.5546875" customWidth="1"/>
    <col min="14594" max="14594" width="19.6640625" customWidth="1"/>
    <col min="14595" max="14595" width="18.44140625" customWidth="1"/>
    <col min="14596" max="14596" width="35.109375" customWidth="1"/>
    <col min="14597" max="14597" width="39" customWidth="1"/>
    <col min="14598" max="14598" width="9.6640625" customWidth="1"/>
    <col min="14599" max="14601" width="30.5546875" customWidth="1"/>
    <col min="14850" max="14850" width="19.6640625" customWidth="1"/>
    <col min="14851" max="14851" width="18.44140625" customWidth="1"/>
    <col min="14852" max="14852" width="35.109375" customWidth="1"/>
    <col min="14853" max="14853" width="39" customWidth="1"/>
    <col min="14854" max="14854" width="9.6640625" customWidth="1"/>
    <col min="14855" max="14857" width="30.5546875" customWidth="1"/>
    <col min="15106" max="15106" width="19.6640625" customWidth="1"/>
    <col min="15107" max="15107" width="18.44140625" customWidth="1"/>
    <col min="15108" max="15108" width="35.109375" customWidth="1"/>
    <col min="15109" max="15109" width="39" customWidth="1"/>
    <col min="15110" max="15110" width="9.6640625" customWidth="1"/>
    <col min="15111" max="15113" width="30.5546875" customWidth="1"/>
    <col min="15362" max="15362" width="19.6640625" customWidth="1"/>
    <col min="15363" max="15363" width="18.44140625" customWidth="1"/>
    <col min="15364" max="15364" width="35.109375" customWidth="1"/>
    <col min="15365" max="15365" width="39" customWidth="1"/>
    <col min="15366" max="15366" width="9.6640625" customWidth="1"/>
    <col min="15367" max="15369" width="30.5546875" customWidth="1"/>
    <col min="15618" max="15618" width="19.6640625" customWidth="1"/>
    <col min="15619" max="15619" width="18.44140625" customWidth="1"/>
    <col min="15620" max="15620" width="35.109375" customWidth="1"/>
    <col min="15621" max="15621" width="39" customWidth="1"/>
    <col min="15622" max="15622" width="9.6640625" customWidth="1"/>
    <col min="15623" max="15625" width="30.5546875" customWidth="1"/>
    <col min="15874" max="15874" width="19.6640625" customWidth="1"/>
    <col min="15875" max="15875" width="18.44140625" customWidth="1"/>
    <col min="15876" max="15876" width="35.109375" customWidth="1"/>
    <col min="15877" max="15877" width="39" customWidth="1"/>
    <col min="15878" max="15878" width="9.6640625" customWidth="1"/>
    <col min="15879" max="15881" width="30.5546875" customWidth="1"/>
    <col min="16130" max="16130" width="19.6640625" customWidth="1"/>
    <col min="16131" max="16131" width="18.44140625" customWidth="1"/>
    <col min="16132" max="16132" width="35.109375" customWidth="1"/>
    <col min="16133" max="16133" width="39" customWidth="1"/>
    <col min="16134" max="16134" width="9.6640625" customWidth="1"/>
    <col min="16135" max="16137" width="30.5546875" customWidth="1"/>
  </cols>
  <sheetData>
    <row r="1" spans="1:9" s="139" customFormat="1" ht="26.4" x14ac:dyDescent="0.3">
      <c r="A1" s="509" t="s">
        <v>288</v>
      </c>
      <c r="B1" s="509" t="s">
        <v>289</v>
      </c>
      <c r="C1" s="509" t="s">
        <v>290</v>
      </c>
      <c r="D1" s="509" t="s">
        <v>291</v>
      </c>
      <c r="E1" s="510" t="s">
        <v>292</v>
      </c>
      <c r="F1" s="510" t="s">
        <v>875</v>
      </c>
      <c r="G1" s="511" t="s">
        <v>876</v>
      </c>
      <c r="H1" s="510" t="s">
        <v>293</v>
      </c>
      <c r="I1" s="510" t="s">
        <v>294</v>
      </c>
    </row>
    <row r="2" spans="1:9" x14ac:dyDescent="0.3">
      <c r="A2" s="4" t="s">
        <v>295</v>
      </c>
      <c r="B2" s="4" t="s">
        <v>296</v>
      </c>
      <c r="C2" s="7" t="s">
        <v>296</v>
      </c>
      <c r="D2" s="8" t="s">
        <v>297</v>
      </c>
      <c r="E2" s="9">
        <v>0.1</v>
      </c>
      <c r="F2" s="22">
        <v>1.0028033696076391</v>
      </c>
      <c r="G2" s="22">
        <f t="shared" ref="G2:G65" si="0">ROUND(F2, 2)</f>
        <v>1</v>
      </c>
      <c r="H2" s="22">
        <v>0.85000000000000009</v>
      </c>
      <c r="I2" s="22">
        <v>0.8</v>
      </c>
    </row>
    <row r="3" spans="1:9" x14ac:dyDescent="0.3">
      <c r="A3" s="4" t="s">
        <v>295</v>
      </c>
      <c r="B3" s="4" t="s">
        <v>298</v>
      </c>
      <c r="C3" s="4" t="s">
        <v>299</v>
      </c>
      <c r="D3" s="5" t="s">
        <v>300</v>
      </c>
      <c r="E3" s="6">
        <v>0</v>
      </c>
      <c r="F3" s="22">
        <v>1.0172284318842824</v>
      </c>
      <c r="G3" s="22">
        <f t="shared" si="0"/>
        <v>1.02</v>
      </c>
      <c r="H3" s="22">
        <v>1.0700000000000003</v>
      </c>
      <c r="I3" s="22">
        <v>0.92</v>
      </c>
    </row>
    <row r="4" spans="1:9" x14ac:dyDescent="0.3">
      <c r="A4" s="4" t="s">
        <v>301</v>
      </c>
      <c r="B4" s="4" t="s">
        <v>302</v>
      </c>
      <c r="C4" s="4" t="s">
        <v>303</v>
      </c>
      <c r="D4" s="4" t="s">
        <v>304</v>
      </c>
      <c r="E4" s="6">
        <v>0</v>
      </c>
      <c r="F4" s="22">
        <v>0.944062070701156</v>
      </c>
      <c r="G4" s="22">
        <f t="shared" si="0"/>
        <v>0.94</v>
      </c>
      <c r="H4" s="22">
        <v>0.81</v>
      </c>
      <c r="I4" s="22">
        <v>0.75</v>
      </c>
    </row>
    <row r="5" spans="1:9" x14ac:dyDescent="0.3">
      <c r="A5" s="4" t="s">
        <v>305</v>
      </c>
      <c r="B5" s="4" t="s">
        <v>305</v>
      </c>
      <c r="C5" s="4" t="s">
        <v>306</v>
      </c>
      <c r="D5" s="4" t="s">
        <v>300</v>
      </c>
      <c r="E5" s="6">
        <v>0</v>
      </c>
      <c r="F5" s="22">
        <v>1.2494076043110447</v>
      </c>
      <c r="G5" s="22">
        <f t="shared" si="0"/>
        <v>1.25</v>
      </c>
      <c r="H5" s="22">
        <v>1.5</v>
      </c>
      <c r="I5" s="22">
        <v>1.5</v>
      </c>
    </row>
    <row r="6" spans="1:9" x14ac:dyDescent="0.3">
      <c r="A6" s="4" t="s">
        <v>301</v>
      </c>
      <c r="B6" s="4" t="s">
        <v>307</v>
      </c>
      <c r="C6" s="10" t="s">
        <v>308</v>
      </c>
      <c r="D6" s="10" t="s">
        <v>309</v>
      </c>
      <c r="E6" s="11">
        <v>0.05</v>
      </c>
      <c r="F6" s="22">
        <v>1.0970708126687987</v>
      </c>
      <c r="G6" s="22">
        <f t="shared" si="0"/>
        <v>1.1000000000000001</v>
      </c>
      <c r="H6" s="22">
        <v>1.1000000000000001</v>
      </c>
      <c r="I6" s="22">
        <v>1.1000000000000001</v>
      </c>
    </row>
    <row r="7" spans="1:9" x14ac:dyDescent="0.3">
      <c r="A7" s="4" t="s">
        <v>310</v>
      </c>
      <c r="B7" s="4" t="s">
        <v>311</v>
      </c>
      <c r="C7" s="4" t="s">
        <v>312</v>
      </c>
      <c r="D7" s="4" t="s">
        <v>300</v>
      </c>
      <c r="E7" s="6">
        <v>0</v>
      </c>
      <c r="F7" s="22">
        <v>0.79264048205254123</v>
      </c>
      <c r="G7" s="22">
        <f t="shared" si="0"/>
        <v>0.79</v>
      </c>
      <c r="H7" s="22">
        <v>0.76</v>
      </c>
      <c r="I7" s="22">
        <v>0.75</v>
      </c>
    </row>
    <row r="8" spans="1:9" x14ac:dyDescent="0.3">
      <c r="A8" s="4" t="s">
        <v>313</v>
      </c>
      <c r="B8" s="4" t="s">
        <v>314</v>
      </c>
      <c r="C8" s="4" t="s">
        <v>315</v>
      </c>
      <c r="D8" s="4" t="s">
        <v>300</v>
      </c>
      <c r="E8" s="6">
        <v>0</v>
      </c>
      <c r="F8" s="22">
        <v>0.76957240436091845</v>
      </c>
      <c r="G8" s="22">
        <f t="shared" si="0"/>
        <v>0.77</v>
      </c>
      <c r="H8" s="22">
        <v>0.75</v>
      </c>
      <c r="I8" s="22">
        <v>0.75</v>
      </c>
    </row>
    <row r="9" spans="1:9" x14ac:dyDescent="0.3">
      <c r="A9" s="4" t="s">
        <v>305</v>
      </c>
      <c r="B9" s="4" t="s">
        <v>305</v>
      </c>
      <c r="C9" s="7" t="s">
        <v>305</v>
      </c>
      <c r="D9" s="8" t="s">
        <v>297</v>
      </c>
      <c r="E9" s="9">
        <v>0.1</v>
      </c>
      <c r="F9" s="22">
        <v>1.2789309581206858</v>
      </c>
      <c r="G9" s="22">
        <f t="shared" si="0"/>
        <v>1.28</v>
      </c>
      <c r="H9" s="22">
        <v>1.5</v>
      </c>
      <c r="I9" s="22">
        <v>1.5</v>
      </c>
    </row>
    <row r="10" spans="1:9" x14ac:dyDescent="0.3">
      <c r="A10" s="4" t="s">
        <v>313</v>
      </c>
      <c r="B10" s="4" t="s">
        <v>316</v>
      </c>
      <c r="C10" s="4" t="s">
        <v>317</v>
      </c>
      <c r="D10" s="4" t="s">
        <v>300</v>
      </c>
      <c r="E10" s="6">
        <v>0</v>
      </c>
      <c r="F10" s="22">
        <v>0.8967748774556018</v>
      </c>
      <c r="G10" s="22">
        <f t="shared" si="0"/>
        <v>0.9</v>
      </c>
      <c r="H10" s="22">
        <v>0.75</v>
      </c>
      <c r="I10" s="22">
        <v>0.75</v>
      </c>
    </row>
    <row r="11" spans="1:9" x14ac:dyDescent="0.3">
      <c r="A11" s="4" t="s">
        <v>313</v>
      </c>
      <c r="B11" s="4" t="s">
        <v>318</v>
      </c>
      <c r="C11" s="4" t="s">
        <v>319</v>
      </c>
      <c r="D11" s="4" t="s">
        <v>300</v>
      </c>
      <c r="E11" s="6">
        <v>0</v>
      </c>
      <c r="F11" s="22">
        <v>0.88490767709519991</v>
      </c>
      <c r="G11" s="22">
        <f t="shared" si="0"/>
        <v>0.88</v>
      </c>
      <c r="H11" s="22">
        <v>0.89999999999999991</v>
      </c>
      <c r="I11" s="22">
        <v>1</v>
      </c>
    </row>
    <row r="12" spans="1:9" x14ac:dyDescent="0.3">
      <c r="A12" s="4" t="s">
        <v>305</v>
      </c>
      <c r="B12" s="4" t="s">
        <v>320</v>
      </c>
      <c r="C12" s="4" t="s">
        <v>321</v>
      </c>
      <c r="D12" s="4" t="s">
        <v>300</v>
      </c>
      <c r="E12" s="6">
        <v>0</v>
      </c>
      <c r="F12" s="22">
        <v>0.90750894498710877</v>
      </c>
      <c r="G12" s="22">
        <f t="shared" si="0"/>
        <v>0.91</v>
      </c>
      <c r="H12" s="22">
        <v>0.75</v>
      </c>
      <c r="I12" s="22">
        <v>0.99</v>
      </c>
    </row>
    <row r="13" spans="1:9" x14ac:dyDescent="0.3">
      <c r="A13" s="4" t="s">
        <v>310</v>
      </c>
      <c r="B13" s="4" t="s">
        <v>322</v>
      </c>
      <c r="C13" s="4" t="s">
        <v>323</v>
      </c>
      <c r="D13" s="4" t="s">
        <v>300</v>
      </c>
      <c r="E13" s="6">
        <v>0</v>
      </c>
      <c r="F13" s="22">
        <v>0.75</v>
      </c>
      <c r="G13" s="22">
        <f t="shared" si="0"/>
        <v>0.75</v>
      </c>
      <c r="H13" s="22">
        <v>0.81</v>
      </c>
      <c r="I13" s="22">
        <v>0.75</v>
      </c>
    </row>
    <row r="14" spans="1:9" x14ac:dyDescent="0.3">
      <c r="A14" s="4" t="s">
        <v>301</v>
      </c>
      <c r="B14" s="4" t="s">
        <v>307</v>
      </c>
      <c r="C14" s="10" t="s">
        <v>324</v>
      </c>
      <c r="D14" s="10" t="s">
        <v>309</v>
      </c>
      <c r="E14" s="11">
        <v>0.05</v>
      </c>
      <c r="F14" s="22">
        <v>1.1762192455154388</v>
      </c>
      <c r="G14" s="22">
        <f t="shared" si="0"/>
        <v>1.18</v>
      </c>
      <c r="H14" s="22">
        <v>1.2800000000000002</v>
      </c>
      <c r="I14" s="22">
        <v>1.25</v>
      </c>
    </row>
    <row r="15" spans="1:9" x14ac:dyDescent="0.3">
      <c r="A15" s="4" t="s">
        <v>295</v>
      </c>
      <c r="B15" s="4" t="s">
        <v>325</v>
      </c>
      <c r="C15" s="4" t="s">
        <v>326</v>
      </c>
      <c r="D15" s="4" t="s">
        <v>300</v>
      </c>
      <c r="E15" s="6">
        <v>0</v>
      </c>
      <c r="F15" s="22">
        <v>0.92753828272223671</v>
      </c>
      <c r="G15" s="22">
        <f t="shared" si="0"/>
        <v>0.93</v>
      </c>
      <c r="H15" s="22">
        <v>0.83000000000000007</v>
      </c>
      <c r="I15" s="22">
        <v>0.77</v>
      </c>
    </row>
    <row r="16" spans="1:9" x14ac:dyDescent="0.3">
      <c r="A16" s="4" t="s">
        <v>313</v>
      </c>
      <c r="B16" s="4" t="s">
        <v>316</v>
      </c>
      <c r="C16" s="4" t="s">
        <v>327</v>
      </c>
      <c r="D16" s="4" t="s">
        <v>300</v>
      </c>
      <c r="E16" s="6">
        <v>0</v>
      </c>
      <c r="F16" s="22">
        <v>0.79244224775403249</v>
      </c>
      <c r="G16" s="22">
        <f t="shared" si="0"/>
        <v>0.79</v>
      </c>
      <c r="H16" s="22">
        <v>0.75</v>
      </c>
      <c r="I16" s="22">
        <v>0.75</v>
      </c>
    </row>
    <row r="17" spans="1:9" x14ac:dyDescent="0.3">
      <c r="A17" s="4" t="s">
        <v>305</v>
      </c>
      <c r="B17" s="4" t="s">
        <v>320</v>
      </c>
      <c r="C17" s="4" t="s">
        <v>328</v>
      </c>
      <c r="D17" s="4" t="s">
        <v>300</v>
      </c>
      <c r="E17" s="6">
        <v>0</v>
      </c>
      <c r="F17" s="22">
        <v>0.91113599318433913</v>
      </c>
      <c r="G17" s="22">
        <f t="shared" si="0"/>
        <v>0.91</v>
      </c>
      <c r="H17" s="22">
        <v>1.25</v>
      </c>
      <c r="I17" s="22">
        <v>0.91</v>
      </c>
    </row>
    <row r="18" spans="1:9" x14ac:dyDescent="0.3">
      <c r="A18" s="4" t="s">
        <v>305</v>
      </c>
      <c r="B18" s="4" t="s">
        <v>320</v>
      </c>
      <c r="C18" s="4" t="s">
        <v>329</v>
      </c>
      <c r="D18" s="4" t="s">
        <v>300</v>
      </c>
      <c r="E18" s="6">
        <v>0</v>
      </c>
      <c r="F18" s="22">
        <v>0.74771803214855215</v>
      </c>
      <c r="G18" s="22">
        <f t="shared" si="0"/>
        <v>0.75</v>
      </c>
      <c r="H18" s="22">
        <v>0.75</v>
      </c>
      <c r="I18" s="22">
        <v>0.75</v>
      </c>
    </row>
    <row r="19" spans="1:9" x14ac:dyDescent="0.3">
      <c r="A19" s="4" t="s">
        <v>313</v>
      </c>
      <c r="B19" s="4" t="s">
        <v>330</v>
      </c>
      <c r="C19" s="4" t="s">
        <v>331</v>
      </c>
      <c r="D19" s="4" t="s">
        <v>300</v>
      </c>
      <c r="E19" s="6">
        <v>0</v>
      </c>
      <c r="F19" s="22">
        <v>1.0187094339337861</v>
      </c>
      <c r="G19" s="22">
        <f t="shared" si="0"/>
        <v>1.02</v>
      </c>
      <c r="H19" s="22">
        <v>1.25</v>
      </c>
      <c r="I19" s="22">
        <v>1.1299999999999999</v>
      </c>
    </row>
    <row r="20" spans="1:9" x14ac:dyDescent="0.3">
      <c r="A20" s="4" t="s">
        <v>305</v>
      </c>
      <c r="B20" s="4" t="s">
        <v>320</v>
      </c>
      <c r="C20" s="4" t="s">
        <v>332</v>
      </c>
      <c r="D20" s="4" t="s">
        <v>333</v>
      </c>
      <c r="E20" s="6">
        <v>0</v>
      </c>
      <c r="F20" s="22">
        <v>0.95356836451286708</v>
      </c>
      <c r="G20" s="22">
        <f t="shared" si="0"/>
        <v>0.95</v>
      </c>
      <c r="H20" s="22">
        <v>0.91000000000000014</v>
      </c>
      <c r="I20" s="22">
        <v>1.1100000000000001</v>
      </c>
    </row>
    <row r="21" spans="1:9" x14ac:dyDescent="0.3">
      <c r="A21" s="4" t="s">
        <v>301</v>
      </c>
      <c r="B21" s="4" t="s">
        <v>307</v>
      </c>
      <c r="C21" s="10" t="s">
        <v>334</v>
      </c>
      <c r="D21" s="10" t="s">
        <v>309</v>
      </c>
      <c r="E21" s="11">
        <v>0.05</v>
      </c>
      <c r="F21" s="22">
        <v>1.2474482820832038</v>
      </c>
      <c r="G21" s="22">
        <f t="shared" si="0"/>
        <v>1.25</v>
      </c>
      <c r="H21" s="22">
        <v>1.1600000000000001</v>
      </c>
      <c r="I21" s="22">
        <v>1.1000000000000001</v>
      </c>
    </row>
    <row r="22" spans="1:9" x14ac:dyDescent="0.3">
      <c r="A22" s="4" t="s">
        <v>301</v>
      </c>
      <c r="B22" s="4" t="s">
        <v>302</v>
      </c>
      <c r="C22" s="4" t="s">
        <v>335</v>
      </c>
      <c r="D22" s="4" t="s">
        <v>300</v>
      </c>
      <c r="E22" s="6">
        <v>0</v>
      </c>
      <c r="F22" s="22">
        <v>0.89529643326801422</v>
      </c>
      <c r="G22" s="22">
        <f t="shared" si="0"/>
        <v>0.9</v>
      </c>
      <c r="H22" s="22">
        <v>1.0099999999999998</v>
      </c>
      <c r="I22" s="22">
        <v>0.9</v>
      </c>
    </row>
    <row r="23" spans="1:9" x14ac:dyDescent="0.3">
      <c r="A23" s="4" t="s">
        <v>301</v>
      </c>
      <c r="B23" s="4" t="s">
        <v>302</v>
      </c>
      <c r="C23" s="4" t="s">
        <v>336</v>
      </c>
      <c r="D23" s="4" t="s">
        <v>300</v>
      </c>
      <c r="E23" s="6">
        <v>0</v>
      </c>
      <c r="F23" s="22">
        <v>0.8094430769803308</v>
      </c>
      <c r="G23" s="22">
        <f t="shared" si="0"/>
        <v>0.81</v>
      </c>
      <c r="H23" s="22">
        <v>0.75</v>
      </c>
      <c r="I23" s="22">
        <v>0.75</v>
      </c>
    </row>
    <row r="24" spans="1:9" x14ac:dyDescent="0.3">
      <c r="A24" s="4" t="s">
        <v>310</v>
      </c>
      <c r="B24" s="4" t="s">
        <v>322</v>
      </c>
      <c r="C24" s="4" t="s">
        <v>337</v>
      </c>
      <c r="D24" s="4" t="s">
        <v>338</v>
      </c>
      <c r="E24" s="6">
        <v>0</v>
      </c>
      <c r="F24" s="22">
        <v>0.74855828978803729</v>
      </c>
      <c r="G24" s="22">
        <f t="shared" si="0"/>
        <v>0.75</v>
      </c>
      <c r="H24" s="22">
        <v>0.8</v>
      </c>
      <c r="I24" s="22">
        <v>0.75</v>
      </c>
    </row>
    <row r="25" spans="1:9" x14ac:dyDescent="0.3">
      <c r="A25" s="4" t="s">
        <v>305</v>
      </c>
      <c r="B25" s="4" t="s">
        <v>339</v>
      </c>
      <c r="C25" s="4" t="s">
        <v>340</v>
      </c>
      <c r="D25" s="4" t="s">
        <v>300</v>
      </c>
      <c r="E25" s="6">
        <v>0</v>
      </c>
      <c r="F25" s="22">
        <v>1.0390418783059887</v>
      </c>
      <c r="G25" s="22">
        <f t="shared" si="0"/>
        <v>1.04</v>
      </c>
      <c r="H25" s="22">
        <v>1.21</v>
      </c>
      <c r="I25" s="22">
        <v>1.06</v>
      </c>
    </row>
    <row r="26" spans="1:9" x14ac:dyDescent="0.3">
      <c r="A26" s="4" t="s">
        <v>295</v>
      </c>
      <c r="B26" s="4" t="s">
        <v>341</v>
      </c>
      <c r="C26" s="4" t="s">
        <v>342</v>
      </c>
      <c r="D26" s="4" t="s">
        <v>300</v>
      </c>
      <c r="E26" s="6">
        <v>0</v>
      </c>
      <c r="F26" s="22">
        <v>0.98883744354496117</v>
      </c>
      <c r="G26" s="22">
        <f t="shared" si="0"/>
        <v>0.99</v>
      </c>
      <c r="H26" s="22">
        <v>1.17</v>
      </c>
      <c r="I26" s="22">
        <v>1.1299999999999999</v>
      </c>
    </row>
    <row r="27" spans="1:9" x14ac:dyDescent="0.3">
      <c r="A27" s="4" t="s">
        <v>301</v>
      </c>
      <c r="B27" s="4" t="s">
        <v>302</v>
      </c>
      <c r="C27" s="10" t="s">
        <v>343</v>
      </c>
      <c r="D27" s="10" t="s">
        <v>309</v>
      </c>
      <c r="E27" s="11">
        <v>0.05</v>
      </c>
      <c r="F27" s="22">
        <v>1.1760969797158425</v>
      </c>
      <c r="G27" s="22">
        <f t="shared" si="0"/>
        <v>1.18</v>
      </c>
      <c r="H27" s="22">
        <v>1.19</v>
      </c>
      <c r="I27" s="22">
        <v>1.1000000000000001</v>
      </c>
    </row>
    <row r="28" spans="1:9" x14ac:dyDescent="0.3">
      <c r="A28" s="4" t="s">
        <v>301</v>
      </c>
      <c r="B28" s="4" t="s">
        <v>307</v>
      </c>
      <c r="C28" s="10" t="s">
        <v>344</v>
      </c>
      <c r="D28" s="10" t="s">
        <v>309</v>
      </c>
      <c r="E28" s="11">
        <v>0.05</v>
      </c>
      <c r="F28" s="22">
        <v>0.88435134212841737</v>
      </c>
      <c r="G28" s="22">
        <f t="shared" si="0"/>
        <v>0.88</v>
      </c>
      <c r="H28" s="22">
        <v>1.1000000000000001</v>
      </c>
      <c r="I28" s="22">
        <v>1.1000000000000001</v>
      </c>
    </row>
    <row r="29" spans="1:9" x14ac:dyDescent="0.3">
      <c r="A29" s="4" t="s">
        <v>295</v>
      </c>
      <c r="B29" s="4" t="s">
        <v>345</v>
      </c>
      <c r="C29" s="4" t="s">
        <v>346</v>
      </c>
      <c r="D29" s="4" t="s">
        <v>338</v>
      </c>
      <c r="E29" s="6">
        <v>0</v>
      </c>
      <c r="F29" s="22">
        <v>1.0867255401485605</v>
      </c>
      <c r="G29" s="22">
        <f t="shared" si="0"/>
        <v>1.0900000000000001</v>
      </c>
      <c r="H29" s="22">
        <v>0.81999999999999984</v>
      </c>
      <c r="I29" s="22">
        <v>0.87</v>
      </c>
    </row>
    <row r="30" spans="1:9" x14ac:dyDescent="0.3">
      <c r="A30" s="4" t="s">
        <v>301</v>
      </c>
      <c r="B30" s="4" t="s">
        <v>302</v>
      </c>
      <c r="C30" s="4" t="s">
        <v>347</v>
      </c>
      <c r="D30" s="4" t="s">
        <v>300</v>
      </c>
      <c r="E30" s="6">
        <v>0</v>
      </c>
      <c r="F30" s="22">
        <v>1.135117729741931</v>
      </c>
      <c r="G30" s="22">
        <f t="shared" si="0"/>
        <v>1.1399999999999999</v>
      </c>
      <c r="H30" s="22">
        <v>1.37</v>
      </c>
      <c r="I30" s="22">
        <v>1.28</v>
      </c>
    </row>
    <row r="31" spans="1:9" x14ac:dyDescent="0.3">
      <c r="A31" s="4" t="s">
        <v>310</v>
      </c>
      <c r="B31" s="4" t="s">
        <v>311</v>
      </c>
      <c r="C31" s="4" t="s">
        <v>348</v>
      </c>
      <c r="D31" s="4" t="s">
        <v>338</v>
      </c>
      <c r="E31" s="6">
        <v>0</v>
      </c>
      <c r="F31" s="22">
        <v>0.75720130520301698</v>
      </c>
      <c r="G31" s="22">
        <f t="shared" si="0"/>
        <v>0.76</v>
      </c>
      <c r="H31" s="22">
        <v>0.75</v>
      </c>
      <c r="I31" s="22">
        <v>0.75</v>
      </c>
    </row>
    <row r="32" spans="1:9" x14ac:dyDescent="0.3">
      <c r="A32" s="4" t="s">
        <v>313</v>
      </c>
      <c r="B32" s="4" t="s">
        <v>330</v>
      </c>
      <c r="C32" s="4" t="s">
        <v>349</v>
      </c>
      <c r="D32" s="4" t="s">
        <v>338</v>
      </c>
      <c r="E32" s="6">
        <v>0</v>
      </c>
      <c r="F32" s="22">
        <v>1.0808450156031215</v>
      </c>
      <c r="G32" s="22">
        <f t="shared" si="0"/>
        <v>1.08</v>
      </c>
      <c r="H32" s="22">
        <v>1.5</v>
      </c>
      <c r="I32" s="22">
        <v>1.5</v>
      </c>
    </row>
    <row r="33" spans="1:9" x14ac:dyDescent="0.3">
      <c r="A33" s="4" t="s">
        <v>310</v>
      </c>
      <c r="B33" s="4" t="s">
        <v>350</v>
      </c>
      <c r="C33" s="4" t="s">
        <v>351</v>
      </c>
      <c r="D33" s="4" t="s">
        <v>300</v>
      </c>
      <c r="E33" s="6">
        <v>0</v>
      </c>
      <c r="F33" s="22">
        <v>0.75</v>
      </c>
      <c r="G33" s="22">
        <f t="shared" si="0"/>
        <v>0.75</v>
      </c>
      <c r="H33" s="22">
        <v>0.85999999999999988</v>
      </c>
      <c r="I33" s="22">
        <v>0.79</v>
      </c>
    </row>
    <row r="34" spans="1:9" x14ac:dyDescent="0.3">
      <c r="A34" s="4" t="s">
        <v>305</v>
      </c>
      <c r="B34" s="4" t="s">
        <v>305</v>
      </c>
      <c r="C34" s="4" t="s">
        <v>352</v>
      </c>
      <c r="D34" s="4" t="s">
        <v>300</v>
      </c>
      <c r="E34" s="6">
        <v>0</v>
      </c>
      <c r="F34" s="22">
        <v>1.3185861308736548</v>
      </c>
      <c r="G34" s="22">
        <f t="shared" si="0"/>
        <v>1.32</v>
      </c>
      <c r="H34" s="22">
        <v>1.5</v>
      </c>
      <c r="I34" s="22">
        <v>1.5</v>
      </c>
    </row>
    <row r="35" spans="1:9" x14ac:dyDescent="0.3">
      <c r="A35" s="4" t="s">
        <v>305</v>
      </c>
      <c r="B35" s="4" t="s">
        <v>339</v>
      </c>
      <c r="C35" s="4" t="s">
        <v>353</v>
      </c>
      <c r="D35" s="4" t="s">
        <v>300</v>
      </c>
      <c r="E35" s="6">
        <v>0</v>
      </c>
      <c r="F35" s="22">
        <v>1.148511973666329</v>
      </c>
      <c r="G35" s="22">
        <f t="shared" si="0"/>
        <v>1.1499999999999999</v>
      </c>
      <c r="H35" s="22">
        <v>1.1799999999999997</v>
      </c>
      <c r="I35" s="22">
        <v>1.0900000000000001</v>
      </c>
    </row>
    <row r="36" spans="1:9" x14ac:dyDescent="0.3">
      <c r="A36" s="4" t="s">
        <v>305</v>
      </c>
      <c r="B36" s="4" t="s">
        <v>305</v>
      </c>
      <c r="C36" s="4" t="s">
        <v>354</v>
      </c>
      <c r="D36" s="4" t="s">
        <v>338</v>
      </c>
      <c r="E36" s="6">
        <v>0</v>
      </c>
      <c r="F36" s="22">
        <v>1.0675658754649544</v>
      </c>
      <c r="G36" s="22">
        <f t="shared" si="0"/>
        <v>1.07</v>
      </c>
      <c r="H36" s="22">
        <v>1.42</v>
      </c>
      <c r="I36" s="22">
        <v>1.35</v>
      </c>
    </row>
    <row r="37" spans="1:9" x14ac:dyDescent="0.3">
      <c r="A37" s="4" t="s">
        <v>301</v>
      </c>
      <c r="B37" s="4" t="s">
        <v>302</v>
      </c>
      <c r="C37" s="4" t="s">
        <v>355</v>
      </c>
      <c r="D37" s="4" t="s">
        <v>300</v>
      </c>
      <c r="E37" s="6">
        <v>0</v>
      </c>
      <c r="F37" s="22">
        <v>1.1102757748113947</v>
      </c>
      <c r="G37" s="22">
        <f t="shared" si="0"/>
        <v>1.1100000000000001</v>
      </c>
      <c r="H37" s="22">
        <v>1.0300000000000002</v>
      </c>
      <c r="I37" s="22">
        <v>1.05</v>
      </c>
    </row>
    <row r="38" spans="1:9" x14ac:dyDescent="0.3">
      <c r="A38" s="4" t="s">
        <v>310</v>
      </c>
      <c r="B38" s="4" t="s">
        <v>311</v>
      </c>
      <c r="C38" s="4" t="s">
        <v>356</v>
      </c>
      <c r="D38" s="4" t="s">
        <v>300</v>
      </c>
      <c r="E38" s="6">
        <v>0</v>
      </c>
      <c r="F38" s="22">
        <v>0.75</v>
      </c>
      <c r="G38" s="22">
        <f t="shared" si="0"/>
        <v>0.75</v>
      </c>
      <c r="H38" s="22">
        <v>0.75</v>
      </c>
      <c r="I38" s="22">
        <v>0.75</v>
      </c>
    </row>
    <row r="39" spans="1:9" x14ac:dyDescent="0.3">
      <c r="A39" s="4" t="s">
        <v>305</v>
      </c>
      <c r="B39" s="4" t="s">
        <v>339</v>
      </c>
      <c r="C39" s="4" t="s">
        <v>357</v>
      </c>
      <c r="D39" s="4" t="s">
        <v>300</v>
      </c>
      <c r="E39" s="6">
        <v>0</v>
      </c>
      <c r="F39" s="22">
        <v>1.1373277224375635</v>
      </c>
      <c r="G39" s="22">
        <f t="shared" si="0"/>
        <v>1.1399999999999999</v>
      </c>
      <c r="H39" s="22">
        <v>1.1299999999999999</v>
      </c>
      <c r="I39" s="22">
        <v>1.18</v>
      </c>
    </row>
    <row r="40" spans="1:9" x14ac:dyDescent="0.3">
      <c r="A40" s="4" t="s">
        <v>305</v>
      </c>
      <c r="B40" s="4" t="s">
        <v>305</v>
      </c>
      <c r="C40" s="4" t="s">
        <v>358</v>
      </c>
      <c r="D40" s="4" t="s">
        <v>300</v>
      </c>
      <c r="E40" s="6">
        <v>0</v>
      </c>
      <c r="F40" s="22">
        <v>1.2466669831608879</v>
      </c>
      <c r="G40" s="22">
        <f t="shared" si="0"/>
        <v>1.25</v>
      </c>
      <c r="H40" s="22">
        <v>1.5</v>
      </c>
      <c r="I40" s="22">
        <v>1.27</v>
      </c>
    </row>
    <row r="41" spans="1:9" x14ac:dyDescent="0.3">
      <c r="A41" s="4" t="s">
        <v>301</v>
      </c>
      <c r="B41" s="4" t="s">
        <v>302</v>
      </c>
      <c r="C41" s="4" t="s">
        <v>359</v>
      </c>
      <c r="D41" s="4" t="s">
        <v>300</v>
      </c>
      <c r="E41" s="6">
        <v>0</v>
      </c>
      <c r="F41" s="22">
        <v>0.98562476897816209</v>
      </c>
      <c r="G41" s="22">
        <f t="shared" si="0"/>
        <v>0.99</v>
      </c>
      <c r="H41" s="22">
        <v>1.06</v>
      </c>
      <c r="I41" s="22">
        <v>1.03</v>
      </c>
    </row>
    <row r="42" spans="1:9" x14ac:dyDescent="0.3">
      <c r="A42" s="4" t="s">
        <v>295</v>
      </c>
      <c r="B42" s="4" t="s">
        <v>360</v>
      </c>
      <c r="C42" s="4" t="s">
        <v>361</v>
      </c>
      <c r="D42" s="4" t="s">
        <v>300</v>
      </c>
      <c r="E42" s="6">
        <v>0</v>
      </c>
      <c r="F42" s="22">
        <v>0.82249840420082676</v>
      </c>
      <c r="G42" s="22">
        <f t="shared" si="0"/>
        <v>0.82</v>
      </c>
      <c r="H42" s="22">
        <v>0.75</v>
      </c>
      <c r="I42" s="22">
        <v>0.75</v>
      </c>
    </row>
    <row r="43" spans="1:9" x14ac:dyDescent="0.3">
      <c r="A43" s="4" t="s">
        <v>305</v>
      </c>
      <c r="B43" s="4" t="s">
        <v>305</v>
      </c>
      <c r="C43" s="4" t="s">
        <v>362</v>
      </c>
      <c r="D43" s="4" t="s">
        <v>300</v>
      </c>
      <c r="E43" s="6">
        <v>0</v>
      </c>
      <c r="F43" s="22">
        <v>1.3179884864369251</v>
      </c>
      <c r="G43" s="22">
        <f t="shared" si="0"/>
        <v>1.32</v>
      </c>
      <c r="H43" s="22">
        <v>1.3600000000000003</v>
      </c>
      <c r="I43" s="22">
        <v>1.44</v>
      </c>
    </row>
    <row r="44" spans="1:9" x14ac:dyDescent="0.3">
      <c r="A44" s="4" t="s">
        <v>305</v>
      </c>
      <c r="B44" s="4" t="s">
        <v>305</v>
      </c>
      <c r="C44" s="4" t="s">
        <v>363</v>
      </c>
      <c r="D44" s="4" t="s">
        <v>300</v>
      </c>
      <c r="E44" s="6">
        <v>0</v>
      </c>
      <c r="F44" s="22">
        <v>1.0712722173815883</v>
      </c>
      <c r="G44" s="22">
        <f t="shared" si="0"/>
        <v>1.07</v>
      </c>
      <c r="H44" s="22">
        <v>1.1100000000000003</v>
      </c>
      <c r="I44" s="22">
        <v>1</v>
      </c>
    </row>
    <row r="45" spans="1:9" x14ac:dyDescent="0.3">
      <c r="A45" s="4" t="s">
        <v>313</v>
      </c>
      <c r="B45" s="4" t="s">
        <v>364</v>
      </c>
      <c r="C45" s="4" t="s">
        <v>365</v>
      </c>
      <c r="D45" s="4" t="s">
        <v>333</v>
      </c>
      <c r="E45" s="6">
        <v>0</v>
      </c>
      <c r="F45" s="22">
        <v>1.018283549924732</v>
      </c>
      <c r="G45" s="22">
        <f t="shared" si="0"/>
        <v>1.02</v>
      </c>
      <c r="H45" s="22">
        <v>1.5</v>
      </c>
      <c r="I45" s="22">
        <v>1.5</v>
      </c>
    </row>
    <row r="46" spans="1:9" x14ac:dyDescent="0.3">
      <c r="A46" s="4" t="s">
        <v>310</v>
      </c>
      <c r="B46" s="4" t="s">
        <v>350</v>
      </c>
      <c r="C46" s="4" t="s">
        <v>366</v>
      </c>
      <c r="D46" s="4" t="s">
        <v>338</v>
      </c>
      <c r="E46" s="6">
        <v>0</v>
      </c>
      <c r="F46" s="22">
        <v>0.75</v>
      </c>
      <c r="G46" s="22">
        <f t="shared" si="0"/>
        <v>0.75</v>
      </c>
      <c r="H46" s="22">
        <v>0.97</v>
      </c>
      <c r="I46" s="22">
        <v>0.87</v>
      </c>
    </row>
    <row r="47" spans="1:9" x14ac:dyDescent="0.3">
      <c r="A47" s="4" t="s">
        <v>313</v>
      </c>
      <c r="B47" s="4" t="s">
        <v>330</v>
      </c>
      <c r="C47" s="7" t="s">
        <v>330</v>
      </c>
      <c r="D47" s="8" t="s">
        <v>297</v>
      </c>
      <c r="E47" s="9">
        <v>0.1</v>
      </c>
      <c r="F47" s="22">
        <v>1.2599306482344617</v>
      </c>
      <c r="G47" s="22">
        <f t="shared" si="0"/>
        <v>1.26</v>
      </c>
      <c r="H47" s="22">
        <v>1.1399999999999997</v>
      </c>
      <c r="I47" s="22">
        <v>1.03</v>
      </c>
    </row>
    <row r="48" spans="1:9" x14ac:dyDescent="0.3">
      <c r="A48" s="4" t="s">
        <v>295</v>
      </c>
      <c r="B48" s="4" t="s">
        <v>341</v>
      </c>
      <c r="C48" s="4" t="s">
        <v>367</v>
      </c>
      <c r="D48" s="4" t="s">
        <v>300</v>
      </c>
      <c r="E48" s="6">
        <v>0</v>
      </c>
      <c r="F48" s="22">
        <v>1.0232176655611616</v>
      </c>
      <c r="G48" s="22">
        <f t="shared" si="0"/>
        <v>1.02</v>
      </c>
      <c r="H48" s="22">
        <v>1.1799999999999997</v>
      </c>
      <c r="I48" s="22">
        <v>1.03</v>
      </c>
    </row>
    <row r="49" spans="1:9" x14ac:dyDescent="0.3">
      <c r="A49" s="4" t="s">
        <v>313</v>
      </c>
      <c r="B49" s="4" t="s">
        <v>330</v>
      </c>
      <c r="C49" s="4" t="s">
        <v>368</v>
      </c>
      <c r="D49" s="4" t="s">
        <v>333</v>
      </c>
      <c r="E49" s="6">
        <v>0</v>
      </c>
      <c r="F49" s="22">
        <v>1.1191796921418311</v>
      </c>
      <c r="G49" s="22">
        <f t="shared" si="0"/>
        <v>1.1200000000000001</v>
      </c>
      <c r="H49" s="22">
        <v>1.27</v>
      </c>
      <c r="I49" s="22">
        <v>1.1399999999999999</v>
      </c>
    </row>
    <row r="50" spans="1:9" x14ac:dyDescent="0.3">
      <c r="A50" s="4" t="s">
        <v>313</v>
      </c>
      <c r="B50" s="4" t="s">
        <v>364</v>
      </c>
      <c r="C50" s="4" t="s">
        <v>369</v>
      </c>
      <c r="D50" s="4" t="s">
        <v>300</v>
      </c>
      <c r="E50" s="6">
        <v>0</v>
      </c>
      <c r="F50" s="22">
        <v>1.1939830849513517</v>
      </c>
      <c r="G50" s="22">
        <f t="shared" si="0"/>
        <v>1.19</v>
      </c>
      <c r="H50" s="22">
        <v>1.5</v>
      </c>
      <c r="I50" s="22">
        <v>1.5</v>
      </c>
    </row>
    <row r="51" spans="1:9" x14ac:dyDescent="0.3">
      <c r="A51" s="4" t="s">
        <v>313</v>
      </c>
      <c r="B51" s="4" t="s">
        <v>314</v>
      </c>
      <c r="C51" s="4" t="s">
        <v>370</v>
      </c>
      <c r="D51" s="4" t="s">
        <v>300</v>
      </c>
      <c r="E51" s="6">
        <v>0</v>
      </c>
      <c r="F51" s="22">
        <v>1.0116522929068761</v>
      </c>
      <c r="G51" s="22">
        <f t="shared" si="0"/>
        <v>1.01</v>
      </c>
      <c r="H51" s="22">
        <v>1.5</v>
      </c>
      <c r="I51" s="22">
        <v>1.5</v>
      </c>
    </row>
    <row r="52" spans="1:9" x14ac:dyDescent="0.3">
      <c r="A52" s="4" t="s">
        <v>295</v>
      </c>
      <c r="B52" s="4" t="s">
        <v>298</v>
      </c>
      <c r="C52" s="4" t="s">
        <v>371</v>
      </c>
      <c r="D52" s="4" t="s">
        <v>300</v>
      </c>
      <c r="E52" s="6">
        <v>0</v>
      </c>
      <c r="F52" s="22">
        <v>1.2604640903370938</v>
      </c>
      <c r="G52" s="22">
        <f t="shared" si="0"/>
        <v>1.26</v>
      </c>
      <c r="H52" s="22">
        <v>1.4699999999999998</v>
      </c>
      <c r="I52" s="22">
        <v>1.28</v>
      </c>
    </row>
    <row r="53" spans="1:9" x14ac:dyDescent="0.3">
      <c r="A53" s="4" t="s">
        <v>313</v>
      </c>
      <c r="B53" s="4" t="s">
        <v>316</v>
      </c>
      <c r="C53" s="4" t="s">
        <v>372</v>
      </c>
      <c r="D53" s="4" t="s">
        <v>333</v>
      </c>
      <c r="E53" s="6">
        <v>0</v>
      </c>
      <c r="F53" s="22">
        <v>0.87909749375245771</v>
      </c>
      <c r="G53" s="22">
        <f t="shared" si="0"/>
        <v>0.88</v>
      </c>
      <c r="H53" s="22">
        <v>0.89000000000000012</v>
      </c>
      <c r="I53" s="22">
        <v>0.85</v>
      </c>
    </row>
    <row r="54" spans="1:9" x14ac:dyDescent="0.3">
      <c r="A54" s="4" t="s">
        <v>295</v>
      </c>
      <c r="B54" s="4" t="s">
        <v>298</v>
      </c>
      <c r="C54" s="4" t="s">
        <v>373</v>
      </c>
      <c r="D54" s="4" t="s">
        <v>304</v>
      </c>
      <c r="E54" s="6">
        <v>0</v>
      </c>
      <c r="F54" s="22">
        <v>1.0892642181004299</v>
      </c>
      <c r="G54" s="22">
        <f t="shared" si="0"/>
        <v>1.0900000000000001</v>
      </c>
      <c r="H54" s="22">
        <v>1.1100000000000003</v>
      </c>
      <c r="I54" s="22">
        <v>0.98</v>
      </c>
    </row>
    <row r="55" spans="1:9" x14ac:dyDescent="0.3">
      <c r="A55" s="4" t="s">
        <v>295</v>
      </c>
      <c r="B55" s="4" t="s">
        <v>296</v>
      </c>
      <c r="C55" s="4" t="s">
        <v>374</v>
      </c>
      <c r="D55" s="4" t="s">
        <v>333</v>
      </c>
      <c r="E55" s="6">
        <v>0</v>
      </c>
      <c r="F55" s="22">
        <v>0.98663256657316123</v>
      </c>
      <c r="G55" s="22">
        <f t="shared" si="0"/>
        <v>0.99</v>
      </c>
      <c r="H55" s="22">
        <v>1.27</v>
      </c>
      <c r="I55" s="22">
        <v>1.1000000000000001</v>
      </c>
    </row>
    <row r="56" spans="1:9" x14ac:dyDescent="0.3">
      <c r="A56" s="4" t="s">
        <v>295</v>
      </c>
      <c r="B56" s="4" t="s">
        <v>341</v>
      </c>
      <c r="C56" s="4" t="s">
        <v>341</v>
      </c>
      <c r="D56" s="4" t="s">
        <v>304</v>
      </c>
      <c r="E56" s="6">
        <v>0</v>
      </c>
      <c r="F56" s="22">
        <v>0.99226753637464093</v>
      </c>
      <c r="G56" s="22">
        <f t="shared" si="0"/>
        <v>0.99</v>
      </c>
      <c r="H56" s="22">
        <v>0.81</v>
      </c>
      <c r="I56" s="22">
        <v>0.87</v>
      </c>
    </row>
    <row r="57" spans="1:9" x14ac:dyDescent="0.3">
      <c r="A57" s="4" t="s">
        <v>313</v>
      </c>
      <c r="B57" s="4" t="s">
        <v>318</v>
      </c>
      <c r="C57" s="4" t="s">
        <v>375</v>
      </c>
      <c r="D57" s="4" t="s">
        <v>300</v>
      </c>
      <c r="E57" s="6">
        <v>0</v>
      </c>
      <c r="F57" s="22">
        <v>0.90426046035348218</v>
      </c>
      <c r="G57" s="22">
        <f t="shared" si="0"/>
        <v>0.9</v>
      </c>
      <c r="H57" s="22">
        <v>0.87000000000000011</v>
      </c>
      <c r="I57" s="22">
        <v>0.77</v>
      </c>
    </row>
    <row r="58" spans="1:9" x14ac:dyDescent="0.3">
      <c r="A58" s="4" t="s">
        <v>305</v>
      </c>
      <c r="B58" s="4" t="s">
        <v>320</v>
      </c>
      <c r="C58" s="4" t="s">
        <v>376</v>
      </c>
      <c r="D58" s="4" t="s">
        <v>300</v>
      </c>
      <c r="E58" s="6">
        <v>0</v>
      </c>
      <c r="F58" s="22">
        <v>0.83132430674281765</v>
      </c>
      <c r="G58" s="22">
        <f t="shared" si="0"/>
        <v>0.83</v>
      </c>
      <c r="H58" s="22">
        <v>0.75</v>
      </c>
      <c r="I58" s="22">
        <v>0.75</v>
      </c>
    </row>
    <row r="59" spans="1:9" x14ac:dyDescent="0.3">
      <c r="A59" s="4" t="s">
        <v>295</v>
      </c>
      <c r="B59" s="4" t="s">
        <v>298</v>
      </c>
      <c r="C59" s="4" t="s">
        <v>377</v>
      </c>
      <c r="D59" s="4" t="s">
        <v>300</v>
      </c>
      <c r="E59" s="6">
        <v>0</v>
      </c>
      <c r="F59" s="22">
        <v>1.2622970541862724</v>
      </c>
      <c r="G59" s="22">
        <f t="shared" si="0"/>
        <v>1.26</v>
      </c>
      <c r="H59" s="22">
        <v>1.0300000000000002</v>
      </c>
      <c r="I59" s="22">
        <v>1.23</v>
      </c>
    </row>
    <row r="60" spans="1:9" x14ac:dyDescent="0.3">
      <c r="A60" s="4" t="s">
        <v>310</v>
      </c>
      <c r="B60" s="4" t="s">
        <v>322</v>
      </c>
      <c r="C60" s="4" t="s">
        <v>378</v>
      </c>
      <c r="D60" s="4" t="s">
        <v>333</v>
      </c>
      <c r="E60" s="6">
        <v>0</v>
      </c>
      <c r="F60" s="22">
        <v>0.80380171252406052</v>
      </c>
      <c r="G60" s="22">
        <f t="shared" si="0"/>
        <v>0.8</v>
      </c>
      <c r="H60" s="22">
        <v>0.83000000000000007</v>
      </c>
      <c r="I60" s="22">
        <v>0.75</v>
      </c>
    </row>
    <row r="61" spans="1:9" x14ac:dyDescent="0.3">
      <c r="A61" s="4" t="s">
        <v>301</v>
      </c>
      <c r="B61" s="4" t="s">
        <v>302</v>
      </c>
      <c r="C61" s="4" t="s">
        <v>379</v>
      </c>
      <c r="D61" s="4" t="s">
        <v>304</v>
      </c>
      <c r="E61" s="6">
        <v>0</v>
      </c>
      <c r="F61" s="22">
        <v>0.88895677250861005</v>
      </c>
      <c r="G61" s="22">
        <f t="shared" si="0"/>
        <v>0.89</v>
      </c>
      <c r="H61" s="22">
        <v>0.85999999999999988</v>
      </c>
      <c r="I61" s="22">
        <v>0.75</v>
      </c>
    </row>
    <row r="62" spans="1:9" x14ac:dyDescent="0.3">
      <c r="A62" s="4" t="s">
        <v>313</v>
      </c>
      <c r="B62" s="4" t="s">
        <v>380</v>
      </c>
      <c r="C62" s="4" t="s">
        <v>380</v>
      </c>
      <c r="D62" s="4" t="s">
        <v>338</v>
      </c>
      <c r="E62" s="6">
        <v>0</v>
      </c>
      <c r="F62" s="22">
        <v>0.89689381803470702</v>
      </c>
      <c r="G62" s="22">
        <f t="shared" si="0"/>
        <v>0.9</v>
      </c>
      <c r="H62" s="22">
        <v>0.93000000000000016</v>
      </c>
      <c r="I62" s="22">
        <v>0.9</v>
      </c>
    </row>
    <row r="63" spans="1:9" x14ac:dyDescent="0.3">
      <c r="A63" s="4" t="s">
        <v>301</v>
      </c>
      <c r="B63" s="4" t="s">
        <v>307</v>
      </c>
      <c r="C63" s="10" t="s">
        <v>381</v>
      </c>
      <c r="D63" s="10" t="s">
        <v>309</v>
      </c>
      <c r="E63" s="11">
        <v>0.05</v>
      </c>
      <c r="F63" s="22">
        <v>1.2714552229911829</v>
      </c>
      <c r="G63" s="22">
        <f t="shared" si="0"/>
        <v>1.27</v>
      </c>
      <c r="H63" s="22">
        <v>1.1000000000000001</v>
      </c>
      <c r="I63" s="22">
        <v>1.1599999999999999</v>
      </c>
    </row>
    <row r="64" spans="1:9" x14ac:dyDescent="0.3">
      <c r="A64" s="4" t="s">
        <v>310</v>
      </c>
      <c r="B64" s="4" t="s">
        <v>350</v>
      </c>
      <c r="C64" s="4" t="s">
        <v>382</v>
      </c>
      <c r="D64" s="4" t="s">
        <v>300</v>
      </c>
      <c r="E64" s="6">
        <v>0</v>
      </c>
      <c r="F64" s="22">
        <v>0.75</v>
      </c>
      <c r="G64" s="22">
        <f t="shared" si="0"/>
        <v>0.75</v>
      </c>
      <c r="H64" s="22">
        <v>0.75</v>
      </c>
      <c r="I64" s="22">
        <v>0.75</v>
      </c>
    </row>
    <row r="65" spans="1:9" x14ac:dyDescent="0.3">
      <c r="A65" s="4" t="s">
        <v>301</v>
      </c>
      <c r="B65" s="4" t="s">
        <v>307</v>
      </c>
      <c r="C65" s="10" t="s">
        <v>383</v>
      </c>
      <c r="D65" s="10" t="s">
        <v>309</v>
      </c>
      <c r="E65" s="11">
        <v>0.05</v>
      </c>
      <c r="F65" s="22">
        <v>1.4091056667620419</v>
      </c>
      <c r="G65" s="22">
        <f t="shared" si="0"/>
        <v>1.41</v>
      </c>
      <c r="H65" s="22">
        <v>1.5</v>
      </c>
      <c r="I65" s="22">
        <v>1.27</v>
      </c>
    </row>
    <row r="66" spans="1:9" x14ac:dyDescent="0.3">
      <c r="A66" s="4" t="s">
        <v>305</v>
      </c>
      <c r="B66" s="4" t="s">
        <v>339</v>
      </c>
      <c r="C66" s="4" t="s">
        <v>384</v>
      </c>
      <c r="D66" s="4" t="s">
        <v>300</v>
      </c>
      <c r="E66" s="6">
        <v>0</v>
      </c>
      <c r="F66" s="22">
        <v>1.1556856253035237</v>
      </c>
      <c r="G66" s="22">
        <f t="shared" ref="G66:G129" si="1">ROUND(F66, 2)</f>
        <v>1.1599999999999999</v>
      </c>
      <c r="H66" s="22">
        <v>1.2000000000000002</v>
      </c>
      <c r="I66" s="22">
        <v>1.1200000000000001</v>
      </c>
    </row>
    <row r="67" spans="1:9" x14ac:dyDescent="0.3">
      <c r="A67" s="4" t="s">
        <v>305</v>
      </c>
      <c r="B67" s="4" t="s">
        <v>305</v>
      </c>
      <c r="C67" s="4" t="s">
        <v>385</v>
      </c>
      <c r="D67" s="4" t="s">
        <v>300</v>
      </c>
      <c r="E67" s="6">
        <v>0</v>
      </c>
      <c r="F67" s="22">
        <v>1.4755154356934166</v>
      </c>
      <c r="G67" s="22">
        <f t="shared" si="1"/>
        <v>1.48</v>
      </c>
      <c r="H67" s="22">
        <v>1.5</v>
      </c>
      <c r="I67" s="22">
        <v>1.5</v>
      </c>
    </row>
    <row r="68" spans="1:9" x14ac:dyDescent="0.3">
      <c r="A68" s="4" t="s">
        <v>295</v>
      </c>
      <c r="B68" s="4" t="s">
        <v>325</v>
      </c>
      <c r="C68" s="4" t="s">
        <v>325</v>
      </c>
      <c r="D68" s="4" t="s">
        <v>304</v>
      </c>
      <c r="E68" s="6">
        <v>0</v>
      </c>
      <c r="F68" s="22">
        <v>0.96359134643165889</v>
      </c>
      <c r="G68" s="22">
        <f t="shared" si="1"/>
        <v>0.96</v>
      </c>
      <c r="H68" s="22">
        <v>1.1600000000000001</v>
      </c>
      <c r="I68" s="22">
        <v>1.02</v>
      </c>
    </row>
    <row r="69" spans="1:9" x14ac:dyDescent="0.3">
      <c r="A69" s="4" t="s">
        <v>295</v>
      </c>
      <c r="B69" s="4" t="s">
        <v>296</v>
      </c>
      <c r="C69" s="4" t="s">
        <v>386</v>
      </c>
      <c r="D69" s="4" t="s">
        <v>300</v>
      </c>
      <c r="E69" s="6">
        <v>0</v>
      </c>
      <c r="F69" s="22">
        <v>0.97452236933071634</v>
      </c>
      <c r="G69" s="22">
        <f t="shared" si="1"/>
        <v>0.97</v>
      </c>
      <c r="H69" s="22">
        <v>0.83000000000000007</v>
      </c>
      <c r="I69" s="22">
        <v>0.86</v>
      </c>
    </row>
    <row r="70" spans="1:9" x14ac:dyDescent="0.3">
      <c r="A70" s="4" t="s">
        <v>305</v>
      </c>
      <c r="B70" s="4" t="s">
        <v>305</v>
      </c>
      <c r="C70" s="4" t="s">
        <v>387</v>
      </c>
      <c r="D70" s="4" t="s">
        <v>300</v>
      </c>
      <c r="E70" s="6">
        <v>0</v>
      </c>
      <c r="F70" s="22">
        <v>1.0160223999907745</v>
      </c>
      <c r="G70" s="22">
        <f t="shared" si="1"/>
        <v>1.02</v>
      </c>
      <c r="H70" s="22">
        <v>0.91999999999999993</v>
      </c>
      <c r="I70" s="22">
        <v>0.91</v>
      </c>
    </row>
    <row r="71" spans="1:9" x14ac:dyDescent="0.3">
      <c r="A71" s="4" t="s">
        <v>295</v>
      </c>
      <c r="B71" s="4" t="s">
        <v>298</v>
      </c>
      <c r="C71" s="4" t="s">
        <v>388</v>
      </c>
      <c r="D71" s="4" t="s">
        <v>300</v>
      </c>
      <c r="E71" s="6">
        <v>0</v>
      </c>
      <c r="F71" s="22">
        <v>1.0584304716310984</v>
      </c>
      <c r="G71" s="22">
        <f t="shared" si="1"/>
        <v>1.06</v>
      </c>
      <c r="H71" s="22">
        <v>0.8</v>
      </c>
      <c r="I71" s="22">
        <v>0.8</v>
      </c>
    </row>
    <row r="72" spans="1:9" x14ac:dyDescent="0.3">
      <c r="A72" s="4" t="s">
        <v>301</v>
      </c>
      <c r="B72" s="4" t="s">
        <v>307</v>
      </c>
      <c r="C72" s="10" t="s">
        <v>389</v>
      </c>
      <c r="D72" s="10" t="s">
        <v>309</v>
      </c>
      <c r="E72" s="11">
        <v>0.05</v>
      </c>
      <c r="F72" s="22">
        <v>0.91176394828477636</v>
      </c>
      <c r="G72" s="22">
        <f t="shared" si="1"/>
        <v>0.91</v>
      </c>
      <c r="H72" s="22">
        <v>1.1000000000000001</v>
      </c>
      <c r="I72" s="22">
        <v>1.1000000000000001</v>
      </c>
    </row>
    <row r="73" spans="1:9" x14ac:dyDescent="0.3">
      <c r="A73" s="4" t="s">
        <v>295</v>
      </c>
      <c r="B73" s="4" t="s">
        <v>298</v>
      </c>
      <c r="C73" s="4" t="s">
        <v>390</v>
      </c>
      <c r="D73" s="4" t="s">
        <v>300</v>
      </c>
      <c r="E73" s="6">
        <v>0</v>
      </c>
      <c r="F73" s="22">
        <v>1.0497094414276735</v>
      </c>
      <c r="G73" s="22">
        <f t="shared" si="1"/>
        <v>1.05</v>
      </c>
      <c r="H73" s="22">
        <v>1.0899999999999999</v>
      </c>
      <c r="I73" s="22">
        <v>1.04</v>
      </c>
    </row>
    <row r="74" spans="1:9" x14ac:dyDescent="0.3">
      <c r="A74" s="4" t="s">
        <v>305</v>
      </c>
      <c r="B74" s="4" t="s">
        <v>320</v>
      </c>
      <c r="C74" s="4" t="s">
        <v>391</v>
      </c>
      <c r="D74" s="4" t="s">
        <v>304</v>
      </c>
      <c r="E74" s="6">
        <v>0</v>
      </c>
      <c r="F74" s="22">
        <v>0.91333447550134861</v>
      </c>
      <c r="G74" s="22">
        <f t="shared" si="1"/>
        <v>0.91</v>
      </c>
      <c r="H74" s="22">
        <v>0.8</v>
      </c>
      <c r="I74" s="22">
        <v>0.75</v>
      </c>
    </row>
    <row r="75" spans="1:9" x14ac:dyDescent="0.3">
      <c r="A75" s="4" t="s">
        <v>301</v>
      </c>
      <c r="B75" s="4" t="s">
        <v>302</v>
      </c>
      <c r="C75" s="4" t="s">
        <v>392</v>
      </c>
      <c r="D75" s="4" t="s">
        <v>300</v>
      </c>
      <c r="E75" s="6">
        <v>0</v>
      </c>
      <c r="F75" s="22">
        <v>0.75</v>
      </c>
      <c r="G75" s="22">
        <f t="shared" si="1"/>
        <v>0.75</v>
      </c>
      <c r="H75" s="22">
        <v>0.75</v>
      </c>
      <c r="I75" s="22">
        <v>0.75</v>
      </c>
    </row>
    <row r="76" spans="1:9" x14ac:dyDescent="0.3">
      <c r="A76" s="4" t="s">
        <v>310</v>
      </c>
      <c r="B76" s="4" t="s">
        <v>322</v>
      </c>
      <c r="C76" s="7" t="s">
        <v>393</v>
      </c>
      <c r="D76" s="8" t="s">
        <v>297</v>
      </c>
      <c r="E76" s="9">
        <v>0.1</v>
      </c>
      <c r="F76" s="22">
        <v>0.80912334424080057</v>
      </c>
      <c r="G76" s="22">
        <f t="shared" si="1"/>
        <v>0.81</v>
      </c>
      <c r="H76" s="22">
        <v>0.75</v>
      </c>
      <c r="I76" s="22">
        <v>0.75</v>
      </c>
    </row>
    <row r="77" spans="1:9" x14ac:dyDescent="0.3">
      <c r="A77" s="4" t="s">
        <v>295</v>
      </c>
      <c r="B77" s="4" t="s">
        <v>298</v>
      </c>
      <c r="C77" s="7" t="s">
        <v>298</v>
      </c>
      <c r="D77" s="8" t="s">
        <v>297</v>
      </c>
      <c r="E77" s="9">
        <v>0.1</v>
      </c>
      <c r="F77" s="22">
        <v>1.4182295602172748</v>
      </c>
      <c r="G77" s="22">
        <f t="shared" si="1"/>
        <v>1.42</v>
      </c>
      <c r="H77" s="22">
        <v>1.4299999999999997</v>
      </c>
      <c r="I77" s="22">
        <v>1.26</v>
      </c>
    </row>
    <row r="78" spans="1:9" x14ac:dyDescent="0.3">
      <c r="A78" s="4" t="s">
        <v>295</v>
      </c>
      <c r="B78" s="4" t="s">
        <v>296</v>
      </c>
      <c r="C78" s="4" t="s">
        <v>394</v>
      </c>
      <c r="D78" s="4" t="s">
        <v>338</v>
      </c>
      <c r="E78" s="6">
        <v>0</v>
      </c>
      <c r="F78" s="22">
        <v>0.79717940802291143</v>
      </c>
      <c r="G78" s="22">
        <f t="shared" si="1"/>
        <v>0.8</v>
      </c>
      <c r="H78" s="22">
        <v>0.75</v>
      </c>
      <c r="I78" s="22">
        <v>0.75</v>
      </c>
    </row>
    <row r="79" spans="1:9" x14ac:dyDescent="0.3">
      <c r="A79" s="4" t="s">
        <v>310</v>
      </c>
      <c r="B79" s="4" t="s">
        <v>322</v>
      </c>
      <c r="C79" s="4" t="s">
        <v>395</v>
      </c>
      <c r="D79" s="4" t="s">
        <v>300</v>
      </c>
      <c r="E79" s="6">
        <v>0</v>
      </c>
      <c r="F79" s="22">
        <v>0.75</v>
      </c>
      <c r="G79" s="22">
        <f t="shared" si="1"/>
        <v>0.75</v>
      </c>
      <c r="H79" s="22">
        <v>0.75</v>
      </c>
      <c r="I79" s="22">
        <v>0.75</v>
      </c>
    </row>
    <row r="80" spans="1:9" x14ac:dyDescent="0.3">
      <c r="A80" s="4" t="s">
        <v>313</v>
      </c>
      <c r="B80" s="4" t="s">
        <v>364</v>
      </c>
      <c r="C80" s="4" t="s">
        <v>396</v>
      </c>
      <c r="D80" s="4" t="s">
        <v>300</v>
      </c>
      <c r="E80" s="6">
        <v>0</v>
      </c>
      <c r="F80" s="22">
        <v>0.96102197413679458</v>
      </c>
      <c r="G80" s="22">
        <f t="shared" si="1"/>
        <v>0.96</v>
      </c>
      <c r="H80" s="22">
        <v>1.0499999999999998</v>
      </c>
      <c r="I80" s="22">
        <v>0.82</v>
      </c>
    </row>
    <row r="81" spans="1:9" x14ac:dyDescent="0.3">
      <c r="A81" s="4" t="s">
        <v>301</v>
      </c>
      <c r="B81" s="4" t="s">
        <v>302</v>
      </c>
      <c r="C81" s="4" t="s">
        <v>397</v>
      </c>
      <c r="D81" s="4" t="s">
        <v>300</v>
      </c>
      <c r="E81" s="6">
        <v>0</v>
      </c>
      <c r="F81" s="22">
        <v>0.80723436321565634</v>
      </c>
      <c r="G81" s="22">
        <f t="shared" si="1"/>
        <v>0.81</v>
      </c>
      <c r="H81" s="22">
        <v>0.8</v>
      </c>
      <c r="I81" s="22">
        <v>0.92</v>
      </c>
    </row>
    <row r="82" spans="1:9" x14ac:dyDescent="0.3">
      <c r="A82" s="4" t="s">
        <v>301</v>
      </c>
      <c r="B82" s="4" t="s">
        <v>307</v>
      </c>
      <c r="C82" s="10" t="s">
        <v>398</v>
      </c>
      <c r="D82" s="10" t="s">
        <v>309</v>
      </c>
      <c r="E82" s="11">
        <v>0.05</v>
      </c>
      <c r="F82" s="22">
        <v>1.0444044358133888</v>
      </c>
      <c r="G82" s="22">
        <f t="shared" si="1"/>
        <v>1.04</v>
      </c>
      <c r="H82" s="22">
        <v>1.17</v>
      </c>
      <c r="I82" s="22">
        <v>1.24</v>
      </c>
    </row>
    <row r="83" spans="1:9" x14ac:dyDescent="0.3">
      <c r="A83" s="4" t="s">
        <v>301</v>
      </c>
      <c r="B83" s="4" t="s">
        <v>307</v>
      </c>
      <c r="C83" s="10" t="s">
        <v>399</v>
      </c>
      <c r="D83" s="10" t="s">
        <v>309</v>
      </c>
      <c r="E83" s="11">
        <v>0.05</v>
      </c>
      <c r="F83" s="22">
        <v>1.2803748328044753</v>
      </c>
      <c r="G83" s="22">
        <f t="shared" si="1"/>
        <v>1.28</v>
      </c>
      <c r="H83" s="22">
        <v>1.38</v>
      </c>
      <c r="I83" s="22">
        <v>1.42</v>
      </c>
    </row>
    <row r="84" spans="1:9" x14ac:dyDescent="0.3">
      <c r="A84" s="4" t="s">
        <v>305</v>
      </c>
      <c r="B84" s="4" t="s">
        <v>320</v>
      </c>
      <c r="C84" s="4" t="s">
        <v>400</v>
      </c>
      <c r="D84" s="4" t="s">
        <v>300</v>
      </c>
      <c r="E84" s="6">
        <v>0</v>
      </c>
      <c r="F84" s="22">
        <v>1.0225168113961114</v>
      </c>
      <c r="G84" s="22">
        <f t="shared" si="1"/>
        <v>1.02</v>
      </c>
      <c r="H84" s="22">
        <v>1.1600000000000001</v>
      </c>
      <c r="I84" s="22">
        <v>1.03</v>
      </c>
    </row>
    <row r="85" spans="1:9" x14ac:dyDescent="0.3">
      <c r="A85" s="4" t="s">
        <v>301</v>
      </c>
      <c r="B85" s="4" t="s">
        <v>302</v>
      </c>
      <c r="C85" s="4" t="s">
        <v>401</v>
      </c>
      <c r="D85" s="4" t="s">
        <v>300</v>
      </c>
      <c r="E85" s="6">
        <v>0</v>
      </c>
      <c r="F85" s="22">
        <v>1.0556833279330551</v>
      </c>
      <c r="G85" s="22">
        <f t="shared" si="1"/>
        <v>1.06</v>
      </c>
      <c r="H85" s="22">
        <v>1.0099999999999998</v>
      </c>
      <c r="I85" s="22">
        <v>0.95</v>
      </c>
    </row>
    <row r="86" spans="1:9" x14ac:dyDescent="0.3">
      <c r="A86" s="4" t="s">
        <v>295</v>
      </c>
      <c r="B86" s="4" t="s">
        <v>296</v>
      </c>
      <c r="C86" s="4" t="s">
        <v>402</v>
      </c>
      <c r="D86" s="4" t="s">
        <v>300</v>
      </c>
      <c r="E86" s="6">
        <v>0</v>
      </c>
      <c r="F86" s="22">
        <v>0.93271155844783493</v>
      </c>
      <c r="G86" s="22">
        <f t="shared" si="1"/>
        <v>0.93</v>
      </c>
      <c r="H86" s="22">
        <v>0.94</v>
      </c>
      <c r="I86" s="22">
        <v>0.83</v>
      </c>
    </row>
    <row r="87" spans="1:9" x14ac:dyDescent="0.3">
      <c r="A87" s="4" t="s">
        <v>310</v>
      </c>
      <c r="B87" s="4" t="s">
        <v>322</v>
      </c>
      <c r="C87" s="4" t="s">
        <v>403</v>
      </c>
      <c r="D87" s="4" t="s">
        <v>300</v>
      </c>
      <c r="E87" s="6">
        <v>0</v>
      </c>
      <c r="F87" s="22">
        <v>0.7503129830625791</v>
      </c>
      <c r="G87" s="22">
        <f t="shared" si="1"/>
        <v>0.75</v>
      </c>
      <c r="H87" s="22">
        <v>0.75</v>
      </c>
      <c r="I87" s="22">
        <v>0.75</v>
      </c>
    </row>
    <row r="88" spans="1:9" x14ac:dyDescent="0.3">
      <c r="A88" s="4" t="s">
        <v>301</v>
      </c>
      <c r="B88" s="4" t="s">
        <v>307</v>
      </c>
      <c r="C88" s="10" t="s">
        <v>404</v>
      </c>
      <c r="D88" s="10" t="s">
        <v>309</v>
      </c>
      <c r="E88" s="11">
        <v>0.05</v>
      </c>
      <c r="F88" s="22">
        <v>1.1724672457636001</v>
      </c>
      <c r="G88" s="22">
        <f t="shared" si="1"/>
        <v>1.17</v>
      </c>
      <c r="H88" s="22">
        <v>1.23</v>
      </c>
      <c r="I88" s="22">
        <v>1.19</v>
      </c>
    </row>
    <row r="89" spans="1:9" x14ac:dyDescent="0.3">
      <c r="A89" s="4" t="s">
        <v>310</v>
      </c>
      <c r="B89" s="4" t="s">
        <v>322</v>
      </c>
      <c r="C89" s="4" t="s">
        <v>405</v>
      </c>
      <c r="D89" s="4" t="s">
        <v>300</v>
      </c>
      <c r="E89" s="6">
        <v>0</v>
      </c>
      <c r="F89" s="22">
        <v>0.75</v>
      </c>
      <c r="G89" s="22">
        <f t="shared" si="1"/>
        <v>0.75</v>
      </c>
      <c r="H89" s="22">
        <v>0.75</v>
      </c>
      <c r="I89" s="22">
        <v>0.75</v>
      </c>
    </row>
    <row r="90" spans="1:9" x14ac:dyDescent="0.3">
      <c r="A90" s="4" t="s">
        <v>295</v>
      </c>
      <c r="B90" s="4" t="s">
        <v>341</v>
      </c>
      <c r="C90" s="4" t="s">
        <v>406</v>
      </c>
      <c r="D90" s="4" t="s">
        <v>300</v>
      </c>
      <c r="E90" s="6">
        <v>0</v>
      </c>
      <c r="F90" s="22">
        <v>0.99144134697569497</v>
      </c>
      <c r="G90" s="22">
        <f t="shared" si="1"/>
        <v>0.99</v>
      </c>
      <c r="H90" s="22">
        <v>1.27</v>
      </c>
      <c r="I90" s="22">
        <v>1.1599999999999999</v>
      </c>
    </row>
    <row r="91" spans="1:9" x14ac:dyDescent="0.3">
      <c r="A91" s="4" t="s">
        <v>310</v>
      </c>
      <c r="B91" s="4" t="s">
        <v>350</v>
      </c>
      <c r="C91" s="4" t="s">
        <v>407</v>
      </c>
      <c r="D91" s="4" t="s">
        <v>300</v>
      </c>
      <c r="E91" s="6">
        <v>0</v>
      </c>
      <c r="F91" s="22">
        <v>0.74513075482027402</v>
      </c>
      <c r="G91" s="22">
        <f t="shared" si="1"/>
        <v>0.75</v>
      </c>
      <c r="H91" s="22">
        <v>0.75</v>
      </c>
      <c r="I91" s="22">
        <v>0.75</v>
      </c>
    </row>
    <row r="92" spans="1:9" x14ac:dyDescent="0.3">
      <c r="A92" s="4" t="s">
        <v>313</v>
      </c>
      <c r="B92" s="4" t="s">
        <v>316</v>
      </c>
      <c r="C92" s="4" t="s">
        <v>408</v>
      </c>
      <c r="D92" s="4" t="s">
        <v>333</v>
      </c>
      <c r="E92" s="6">
        <v>0</v>
      </c>
      <c r="F92" s="22">
        <v>0.86054660020491713</v>
      </c>
      <c r="G92" s="22">
        <f t="shared" si="1"/>
        <v>0.86</v>
      </c>
      <c r="H92" s="22">
        <v>0.75</v>
      </c>
      <c r="I92" s="22">
        <v>0.75</v>
      </c>
    </row>
    <row r="93" spans="1:9" x14ac:dyDescent="0.3">
      <c r="A93" s="4" t="s">
        <v>310</v>
      </c>
      <c r="B93" s="4" t="s">
        <v>322</v>
      </c>
      <c r="C93" s="7" t="s">
        <v>322</v>
      </c>
      <c r="D93" s="8" t="s">
        <v>297</v>
      </c>
      <c r="E93" s="9">
        <v>0.1</v>
      </c>
      <c r="F93" s="22">
        <v>0.96465030126498286</v>
      </c>
      <c r="G93" s="22">
        <f t="shared" si="1"/>
        <v>0.96</v>
      </c>
      <c r="H93" s="22">
        <v>1.0300000000000002</v>
      </c>
      <c r="I93" s="22">
        <v>0.88</v>
      </c>
    </row>
    <row r="94" spans="1:9" x14ac:dyDescent="0.3">
      <c r="A94" s="4" t="s">
        <v>310</v>
      </c>
      <c r="B94" s="4" t="s">
        <v>350</v>
      </c>
      <c r="C94" s="4" t="s">
        <v>409</v>
      </c>
      <c r="D94" s="4" t="s">
        <v>300</v>
      </c>
      <c r="E94" s="6">
        <v>0</v>
      </c>
      <c r="F94" s="22">
        <v>0.75</v>
      </c>
      <c r="G94" s="22">
        <f t="shared" si="1"/>
        <v>0.75</v>
      </c>
      <c r="H94" s="22">
        <v>0.76</v>
      </c>
      <c r="I94" s="22">
        <v>0.75</v>
      </c>
    </row>
    <row r="95" spans="1:9" x14ac:dyDescent="0.3">
      <c r="A95" s="4" t="s">
        <v>310</v>
      </c>
      <c r="B95" s="4" t="s">
        <v>311</v>
      </c>
      <c r="C95" s="4" t="s">
        <v>410</v>
      </c>
      <c r="D95" s="4" t="s">
        <v>300</v>
      </c>
      <c r="E95" s="6">
        <v>0</v>
      </c>
      <c r="F95" s="22">
        <v>0.75</v>
      </c>
      <c r="G95" s="22">
        <f t="shared" si="1"/>
        <v>0.75</v>
      </c>
      <c r="H95" s="22">
        <v>0.75</v>
      </c>
      <c r="I95" s="22">
        <v>0.75</v>
      </c>
    </row>
    <row r="96" spans="1:9" x14ac:dyDescent="0.3">
      <c r="A96" s="4" t="s">
        <v>305</v>
      </c>
      <c r="B96" s="4" t="s">
        <v>339</v>
      </c>
      <c r="C96" s="4" t="s">
        <v>411</v>
      </c>
      <c r="D96" s="4" t="s">
        <v>338</v>
      </c>
      <c r="E96" s="6">
        <v>0</v>
      </c>
      <c r="F96" s="22">
        <v>0.96369621877022482</v>
      </c>
      <c r="G96" s="22">
        <f t="shared" si="1"/>
        <v>0.96</v>
      </c>
      <c r="H96" s="22">
        <v>0.94</v>
      </c>
      <c r="I96" s="22">
        <v>0.84</v>
      </c>
    </row>
    <row r="97" spans="1:9" x14ac:dyDescent="0.3">
      <c r="A97" s="4" t="s">
        <v>305</v>
      </c>
      <c r="B97" s="4" t="s">
        <v>305</v>
      </c>
      <c r="C97" s="4" t="s">
        <v>412</v>
      </c>
      <c r="D97" s="4" t="s">
        <v>300</v>
      </c>
      <c r="E97" s="6">
        <v>0</v>
      </c>
      <c r="F97" s="22">
        <v>1.1303473172681409</v>
      </c>
      <c r="G97" s="22">
        <f t="shared" si="1"/>
        <v>1.1299999999999999</v>
      </c>
      <c r="H97" s="22">
        <v>1.5</v>
      </c>
      <c r="I97" s="22">
        <v>1.5</v>
      </c>
    </row>
    <row r="98" spans="1:9" x14ac:dyDescent="0.3">
      <c r="A98" s="4" t="s">
        <v>301</v>
      </c>
      <c r="B98" s="4" t="s">
        <v>302</v>
      </c>
      <c r="C98" s="4" t="s">
        <v>413</v>
      </c>
      <c r="D98" s="4" t="s">
        <v>300</v>
      </c>
      <c r="E98" s="6">
        <v>0</v>
      </c>
      <c r="F98" s="22">
        <v>1.2166635186695682</v>
      </c>
      <c r="G98" s="22">
        <f t="shared" si="1"/>
        <v>1.22</v>
      </c>
      <c r="H98" s="22">
        <v>1.08</v>
      </c>
      <c r="I98" s="22">
        <v>1.06</v>
      </c>
    </row>
    <row r="99" spans="1:9" x14ac:dyDescent="0.3">
      <c r="A99" s="4" t="s">
        <v>305</v>
      </c>
      <c r="B99" s="4" t="s">
        <v>320</v>
      </c>
      <c r="C99" s="4" t="s">
        <v>414</v>
      </c>
      <c r="D99" s="4" t="s">
        <v>304</v>
      </c>
      <c r="E99" s="6">
        <v>0</v>
      </c>
      <c r="F99" s="22">
        <v>1.0388014392858622</v>
      </c>
      <c r="G99" s="22">
        <f t="shared" si="1"/>
        <v>1.04</v>
      </c>
      <c r="H99" s="22">
        <v>0.75</v>
      </c>
      <c r="I99" s="22">
        <v>0.77</v>
      </c>
    </row>
    <row r="100" spans="1:9" x14ac:dyDescent="0.3">
      <c r="A100" s="4" t="s">
        <v>305</v>
      </c>
      <c r="B100" s="4" t="s">
        <v>320</v>
      </c>
      <c r="C100" s="4" t="s">
        <v>415</v>
      </c>
      <c r="D100" s="4" t="s">
        <v>300</v>
      </c>
      <c r="E100" s="6">
        <v>0</v>
      </c>
      <c r="F100" s="22">
        <v>0.98737562545982938</v>
      </c>
      <c r="G100" s="22">
        <f t="shared" si="1"/>
        <v>0.99</v>
      </c>
      <c r="H100" s="22">
        <v>1.1200000000000001</v>
      </c>
      <c r="I100" s="22">
        <v>1.02</v>
      </c>
    </row>
    <row r="101" spans="1:9" x14ac:dyDescent="0.3">
      <c r="A101" s="4" t="s">
        <v>310</v>
      </c>
      <c r="B101" s="4" t="s">
        <v>322</v>
      </c>
      <c r="C101" s="4" t="s">
        <v>416</v>
      </c>
      <c r="D101" s="4" t="s">
        <v>300</v>
      </c>
      <c r="E101" s="6">
        <v>0</v>
      </c>
      <c r="F101" s="22">
        <v>0.76413183206507307</v>
      </c>
      <c r="G101" s="22">
        <f t="shared" si="1"/>
        <v>0.76</v>
      </c>
      <c r="H101" s="22">
        <v>0.85000000000000009</v>
      </c>
      <c r="I101" s="22">
        <v>0.76</v>
      </c>
    </row>
    <row r="102" spans="1:9" x14ac:dyDescent="0.3">
      <c r="A102" s="4" t="s">
        <v>301</v>
      </c>
      <c r="B102" s="4" t="s">
        <v>307</v>
      </c>
      <c r="C102" s="10" t="s">
        <v>417</v>
      </c>
      <c r="D102" s="10" t="s">
        <v>309</v>
      </c>
      <c r="E102" s="11">
        <v>0.05</v>
      </c>
      <c r="F102" s="22">
        <v>0.94411067007756455</v>
      </c>
      <c r="G102" s="22">
        <f t="shared" si="1"/>
        <v>0.94</v>
      </c>
      <c r="H102" s="22">
        <v>1.1000000000000001</v>
      </c>
      <c r="I102" s="22">
        <v>1.27</v>
      </c>
    </row>
    <row r="103" spans="1:9" x14ac:dyDescent="0.3">
      <c r="A103" s="4" t="s">
        <v>305</v>
      </c>
      <c r="B103" s="4" t="s">
        <v>320</v>
      </c>
      <c r="C103" s="4" t="s">
        <v>418</v>
      </c>
      <c r="D103" s="4" t="s">
        <v>300</v>
      </c>
      <c r="E103" s="6">
        <v>0</v>
      </c>
      <c r="F103" s="22">
        <v>0.84764858149227007</v>
      </c>
      <c r="G103" s="22">
        <f t="shared" si="1"/>
        <v>0.85</v>
      </c>
      <c r="H103" s="22">
        <v>0.8</v>
      </c>
      <c r="I103" s="22">
        <v>0.76</v>
      </c>
    </row>
    <row r="104" spans="1:9" x14ac:dyDescent="0.3">
      <c r="A104" s="4" t="s">
        <v>310</v>
      </c>
      <c r="B104" s="4" t="s">
        <v>311</v>
      </c>
      <c r="C104" s="4" t="s">
        <v>419</v>
      </c>
      <c r="D104" s="4" t="s">
        <v>300</v>
      </c>
      <c r="E104" s="6">
        <v>0</v>
      </c>
      <c r="F104" s="22">
        <v>0.75</v>
      </c>
      <c r="G104" s="22">
        <f t="shared" si="1"/>
        <v>0.75</v>
      </c>
      <c r="H104" s="22">
        <v>0.85999999999999988</v>
      </c>
      <c r="I104" s="22">
        <v>0.75</v>
      </c>
    </row>
    <row r="105" spans="1:9" x14ac:dyDescent="0.3">
      <c r="A105" s="4" t="s">
        <v>295</v>
      </c>
      <c r="B105" s="4" t="s">
        <v>296</v>
      </c>
      <c r="C105" s="4" t="s">
        <v>420</v>
      </c>
      <c r="D105" s="4" t="s">
        <v>300</v>
      </c>
      <c r="E105" s="6">
        <v>0</v>
      </c>
      <c r="F105" s="22">
        <v>0.88042374515602884</v>
      </c>
      <c r="G105" s="22">
        <f t="shared" si="1"/>
        <v>0.88</v>
      </c>
      <c r="H105" s="22">
        <v>0.79</v>
      </c>
      <c r="I105" s="22">
        <v>0.82</v>
      </c>
    </row>
    <row r="106" spans="1:9" x14ac:dyDescent="0.3">
      <c r="A106" s="4" t="s">
        <v>310</v>
      </c>
      <c r="B106" s="4" t="s">
        <v>322</v>
      </c>
      <c r="C106" s="4" t="s">
        <v>421</v>
      </c>
      <c r="D106" s="4" t="s">
        <v>300</v>
      </c>
      <c r="E106" s="6">
        <v>0</v>
      </c>
      <c r="F106" s="22">
        <v>0.76841625077477727</v>
      </c>
      <c r="G106" s="22">
        <f t="shared" si="1"/>
        <v>0.77</v>
      </c>
      <c r="H106" s="22">
        <v>0.77</v>
      </c>
      <c r="I106" s="22">
        <v>0.75</v>
      </c>
    </row>
    <row r="107" spans="1:9" x14ac:dyDescent="0.3">
      <c r="A107" s="4" t="s">
        <v>313</v>
      </c>
      <c r="B107" s="4" t="s">
        <v>422</v>
      </c>
      <c r="C107" s="4" t="s">
        <v>423</v>
      </c>
      <c r="D107" s="4" t="s">
        <v>300</v>
      </c>
      <c r="E107" s="6">
        <v>0</v>
      </c>
      <c r="F107" s="22">
        <v>0.75922073718588956</v>
      </c>
      <c r="G107" s="22">
        <f t="shared" si="1"/>
        <v>0.76</v>
      </c>
      <c r="H107" s="22">
        <v>0.75</v>
      </c>
      <c r="I107" s="22">
        <v>0.75</v>
      </c>
    </row>
    <row r="108" spans="1:9" x14ac:dyDescent="0.3">
      <c r="A108" s="4" t="s">
        <v>301</v>
      </c>
      <c r="B108" s="4" t="s">
        <v>302</v>
      </c>
      <c r="C108" s="4" t="s">
        <v>424</v>
      </c>
      <c r="D108" s="4" t="s">
        <v>300</v>
      </c>
      <c r="E108" s="6">
        <v>0</v>
      </c>
      <c r="F108" s="22">
        <v>0.94413624869672697</v>
      </c>
      <c r="G108" s="22">
        <f t="shared" si="1"/>
        <v>0.94</v>
      </c>
      <c r="H108" s="22">
        <v>0.78</v>
      </c>
      <c r="I108" s="22">
        <v>0.75</v>
      </c>
    </row>
    <row r="109" spans="1:9" x14ac:dyDescent="0.3">
      <c r="A109" s="4" t="s">
        <v>301</v>
      </c>
      <c r="B109" s="4" t="s">
        <v>307</v>
      </c>
      <c r="C109" s="10" t="s">
        <v>425</v>
      </c>
      <c r="D109" s="10" t="s">
        <v>309</v>
      </c>
      <c r="E109" s="11">
        <v>0.05</v>
      </c>
      <c r="F109" s="22">
        <v>1.3486055820019511</v>
      </c>
      <c r="G109" s="22">
        <f t="shared" si="1"/>
        <v>1.35</v>
      </c>
      <c r="H109" s="22">
        <v>1.1799999999999997</v>
      </c>
      <c r="I109" s="22">
        <v>1.1000000000000001</v>
      </c>
    </row>
    <row r="110" spans="1:9" x14ac:dyDescent="0.3">
      <c r="A110" s="4" t="s">
        <v>310</v>
      </c>
      <c r="B110" s="4" t="s">
        <v>311</v>
      </c>
      <c r="C110" s="4" t="s">
        <v>426</v>
      </c>
      <c r="D110" s="4" t="s">
        <v>300</v>
      </c>
      <c r="E110" s="6">
        <v>0</v>
      </c>
      <c r="F110" s="22">
        <v>0.75</v>
      </c>
      <c r="G110" s="22">
        <f t="shared" si="1"/>
        <v>0.75</v>
      </c>
      <c r="H110" s="22">
        <v>0.75</v>
      </c>
      <c r="I110" s="22">
        <v>0.75</v>
      </c>
    </row>
    <row r="111" spans="1:9" x14ac:dyDescent="0.3">
      <c r="A111" s="4" t="s">
        <v>301</v>
      </c>
      <c r="B111" s="4" t="s">
        <v>302</v>
      </c>
      <c r="C111" s="4" t="s">
        <v>427</v>
      </c>
      <c r="D111" s="4" t="s">
        <v>300</v>
      </c>
      <c r="E111" s="6">
        <v>0</v>
      </c>
      <c r="F111" s="22">
        <v>1.064986271722425</v>
      </c>
      <c r="G111" s="22">
        <f t="shared" si="1"/>
        <v>1.06</v>
      </c>
      <c r="H111" s="22">
        <v>0.95</v>
      </c>
      <c r="I111" s="22">
        <v>1.07</v>
      </c>
    </row>
    <row r="112" spans="1:9" x14ac:dyDescent="0.3">
      <c r="A112" s="4" t="s">
        <v>313</v>
      </c>
      <c r="B112" s="4" t="s">
        <v>428</v>
      </c>
      <c r="C112" s="4" t="s">
        <v>429</v>
      </c>
      <c r="D112" s="4" t="s">
        <v>300</v>
      </c>
      <c r="E112" s="6">
        <v>0</v>
      </c>
      <c r="F112" s="22">
        <v>0.90146215941711416</v>
      </c>
      <c r="G112" s="22">
        <f t="shared" si="1"/>
        <v>0.9</v>
      </c>
      <c r="H112" s="22">
        <v>0.75</v>
      </c>
      <c r="I112" s="22">
        <v>0.75</v>
      </c>
    </row>
    <row r="113" spans="1:9" x14ac:dyDescent="0.3">
      <c r="A113" s="4" t="s">
        <v>305</v>
      </c>
      <c r="B113" s="4" t="s">
        <v>320</v>
      </c>
      <c r="C113" s="4" t="s">
        <v>430</v>
      </c>
      <c r="D113" s="4" t="s">
        <v>338</v>
      </c>
      <c r="E113" s="6">
        <v>0</v>
      </c>
      <c r="F113" s="22">
        <v>1.0212506697475718</v>
      </c>
      <c r="G113" s="22">
        <f t="shared" si="1"/>
        <v>1.02</v>
      </c>
      <c r="H113" s="22">
        <v>1.4299999999999997</v>
      </c>
      <c r="I113" s="22">
        <v>1.32</v>
      </c>
    </row>
    <row r="114" spans="1:9" x14ac:dyDescent="0.3">
      <c r="A114" s="4" t="s">
        <v>295</v>
      </c>
      <c r="B114" s="4" t="s">
        <v>360</v>
      </c>
      <c r="C114" s="4" t="s">
        <v>431</v>
      </c>
      <c r="D114" s="4" t="s">
        <v>300</v>
      </c>
      <c r="E114" s="6">
        <v>0</v>
      </c>
      <c r="F114" s="22">
        <v>0.9084342515353091</v>
      </c>
      <c r="G114" s="22">
        <f t="shared" si="1"/>
        <v>0.91</v>
      </c>
      <c r="H114" s="22">
        <v>0.75</v>
      </c>
      <c r="I114" s="22">
        <v>0.75</v>
      </c>
    </row>
    <row r="115" spans="1:9" x14ac:dyDescent="0.3">
      <c r="A115" s="4" t="s">
        <v>310</v>
      </c>
      <c r="B115" s="4" t="s">
        <v>350</v>
      </c>
      <c r="C115" s="4" t="s">
        <v>432</v>
      </c>
      <c r="D115" s="4" t="s">
        <v>300</v>
      </c>
      <c r="E115" s="6">
        <v>0</v>
      </c>
      <c r="F115" s="22">
        <v>0.76679712418179657</v>
      </c>
      <c r="G115" s="22">
        <f t="shared" si="1"/>
        <v>0.77</v>
      </c>
      <c r="H115" s="22">
        <v>0.94</v>
      </c>
      <c r="I115" s="22">
        <v>0.8</v>
      </c>
    </row>
    <row r="116" spans="1:9" x14ac:dyDescent="0.3">
      <c r="A116" s="4" t="s">
        <v>313</v>
      </c>
      <c r="B116" s="4" t="s">
        <v>380</v>
      </c>
      <c r="C116" s="4" t="s">
        <v>433</v>
      </c>
      <c r="D116" s="4" t="s">
        <v>300</v>
      </c>
      <c r="E116" s="6">
        <v>0</v>
      </c>
      <c r="F116" s="22">
        <v>0.81215696847346275</v>
      </c>
      <c r="G116" s="22">
        <f t="shared" si="1"/>
        <v>0.81</v>
      </c>
      <c r="H116" s="22">
        <v>0.81</v>
      </c>
      <c r="I116" s="22">
        <v>0.75</v>
      </c>
    </row>
    <row r="117" spans="1:9" x14ac:dyDescent="0.3">
      <c r="A117" s="4" t="s">
        <v>305</v>
      </c>
      <c r="B117" s="4" t="s">
        <v>305</v>
      </c>
      <c r="C117" s="4" t="s">
        <v>434</v>
      </c>
      <c r="D117" s="4" t="s">
        <v>300</v>
      </c>
      <c r="E117" s="6">
        <v>0</v>
      </c>
      <c r="F117" s="22">
        <v>1.4673277196995278</v>
      </c>
      <c r="G117" s="22">
        <f t="shared" si="1"/>
        <v>1.47</v>
      </c>
      <c r="H117" s="22">
        <v>1.5</v>
      </c>
      <c r="I117" s="22">
        <v>1.5</v>
      </c>
    </row>
    <row r="118" spans="1:9" x14ac:dyDescent="0.3">
      <c r="A118" s="4"/>
      <c r="B118" s="4"/>
      <c r="C118" s="4" t="s">
        <v>109</v>
      </c>
      <c r="D118" s="4" t="s">
        <v>300</v>
      </c>
      <c r="E118" s="6">
        <v>0</v>
      </c>
      <c r="F118" s="22">
        <v>1</v>
      </c>
      <c r="G118" s="22">
        <f t="shared" si="1"/>
        <v>1</v>
      </c>
      <c r="H118" s="22">
        <v>1</v>
      </c>
      <c r="I118" s="22">
        <v>1</v>
      </c>
    </row>
    <row r="119" spans="1:9" x14ac:dyDescent="0.3">
      <c r="A119" s="4" t="s">
        <v>301</v>
      </c>
      <c r="B119" s="4" t="s">
        <v>302</v>
      </c>
      <c r="C119" s="10" t="s">
        <v>435</v>
      </c>
      <c r="D119" s="10" t="s">
        <v>309</v>
      </c>
      <c r="E119" s="11">
        <v>0.05</v>
      </c>
      <c r="F119" s="22">
        <v>1.1253108871550614</v>
      </c>
      <c r="G119" s="22">
        <f t="shared" si="1"/>
        <v>1.1299999999999999</v>
      </c>
      <c r="H119" s="22">
        <v>1.1200000000000001</v>
      </c>
      <c r="I119" s="22">
        <v>1.1000000000000001</v>
      </c>
    </row>
    <row r="120" spans="1:9" x14ac:dyDescent="0.3">
      <c r="A120" s="4" t="s">
        <v>305</v>
      </c>
      <c r="B120" s="4" t="s">
        <v>320</v>
      </c>
      <c r="C120" s="4" t="s">
        <v>436</v>
      </c>
      <c r="D120" s="4" t="s">
        <v>300</v>
      </c>
      <c r="E120" s="6">
        <v>0</v>
      </c>
      <c r="F120" s="22">
        <v>0.90221374451016967</v>
      </c>
      <c r="G120" s="22">
        <f t="shared" si="1"/>
        <v>0.9</v>
      </c>
      <c r="H120" s="22">
        <v>0.87999999999999989</v>
      </c>
      <c r="I120" s="22">
        <v>0.9</v>
      </c>
    </row>
    <row r="121" spans="1:9" x14ac:dyDescent="0.3">
      <c r="A121" s="4" t="s">
        <v>313</v>
      </c>
      <c r="B121" s="4" t="s">
        <v>364</v>
      </c>
      <c r="C121" s="4" t="s">
        <v>437</v>
      </c>
      <c r="D121" s="4" t="s">
        <v>300</v>
      </c>
      <c r="E121" s="6">
        <v>0</v>
      </c>
      <c r="F121" s="22">
        <v>0.89749747344694009</v>
      </c>
      <c r="G121" s="22">
        <f t="shared" si="1"/>
        <v>0.9</v>
      </c>
      <c r="H121" s="22">
        <v>1.0700000000000003</v>
      </c>
      <c r="I121" s="22">
        <v>1</v>
      </c>
    </row>
    <row r="122" spans="1:9" x14ac:dyDescent="0.3">
      <c r="A122" s="4" t="s">
        <v>313</v>
      </c>
      <c r="B122" s="4" t="s">
        <v>422</v>
      </c>
      <c r="C122" s="4" t="s">
        <v>422</v>
      </c>
      <c r="D122" s="4" t="s">
        <v>304</v>
      </c>
      <c r="E122" s="6">
        <v>0</v>
      </c>
      <c r="F122" s="22">
        <v>0.9407381291410003</v>
      </c>
      <c r="G122" s="22">
        <f t="shared" si="1"/>
        <v>0.94</v>
      </c>
      <c r="H122" s="22">
        <v>0.75</v>
      </c>
      <c r="I122" s="22">
        <v>0.75</v>
      </c>
    </row>
    <row r="123" spans="1:9" x14ac:dyDescent="0.3">
      <c r="A123" s="4" t="s">
        <v>313</v>
      </c>
      <c r="B123" s="4" t="s">
        <v>428</v>
      </c>
      <c r="C123" s="4" t="s">
        <v>438</v>
      </c>
      <c r="D123" s="4" t="s">
        <v>333</v>
      </c>
      <c r="E123" s="6">
        <v>0</v>
      </c>
      <c r="F123" s="22">
        <v>0.88150699967755708</v>
      </c>
      <c r="G123" s="22">
        <f t="shared" si="1"/>
        <v>0.88</v>
      </c>
      <c r="H123" s="22">
        <v>0.75</v>
      </c>
      <c r="I123" s="22">
        <v>0.75</v>
      </c>
    </row>
    <row r="124" spans="1:9" x14ac:dyDescent="0.3">
      <c r="A124" s="4" t="s">
        <v>313</v>
      </c>
      <c r="B124" s="4" t="s">
        <v>428</v>
      </c>
      <c r="C124" s="4" t="s">
        <v>439</v>
      </c>
      <c r="D124" s="4" t="s">
        <v>333</v>
      </c>
      <c r="E124" s="6">
        <v>0</v>
      </c>
      <c r="F124" s="22">
        <v>0.89075622836668589</v>
      </c>
      <c r="G124" s="22">
        <f t="shared" si="1"/>
        <v>0.89</v>
      </c>
      <c r="H124" s="22">
        <v>1.0499999999999998</v>
      </c>
      <c r="I124" s="22">
        <v>0.98</v>
      </c>
    </row>
    <row r="125" spans="1:9" x14ac:dyDescent="0.3">
      <c r="A125" s="4" t="s">
        <v>313</v>
      </c>
      <c r="B125" s="4" t="s">
        <v>330</v>
      </c>
      <c r="C125" s="4" t="s">
        <v>440</v>
      </c>
      <c r="D125" s="4" t="s">
        <v>333</v>
      </c>
      <c r="E125" s="6">
        <v>0</v>
      </c>
      <c r="F125" s="22">
        <v>1.0611635470886023</v>
      </c>
      <c r="G125" s="22">
        <f t="shared" si="1"/>
        <v>1.06</v>
      </c>
      <c r="H125" s="22">
        <v>0.83000000000000007</v>
      </c>
      <c r="I125" s="22">
        <v>0.94</v>
      </c>
    </row>
    <row r="126" spans="1:9" x14ac:dyDescent="0.3">
      <c r="A126" s="4" t="s">
        <v>305</v>
      </c>
      <c r="B126" s="4" t="s">
        <v>305</v>
      </c>
      <c r="C126" s="4" t="s">
        <v>441</v>
      </c>
      <c r="D126" s="4" t="s">
        <v>300</v>
      </c>
      <c r="E126" s="6">
        <v>0</v>
      </c>
      <c r="F126" s="22">
        <v>1.1518338689369516</v>
      </c>
      <c r="G126" s="22">
        <f t="shared" si="1"/>
        <v>1.1499999999999999</v>
      </c>
      <c r="H126" s="22">
        <v>0.89000000000000012</v>
      </c>
      <c r="I126" s="22">
        <v>0.89</v>
      </c>
    </row>
    <row r="127" spans="1:9" x14ac:dyDescent="0.3">
      <c r="A127" s="4" t="s">
        <v>301</v>
      </c>
      <c r="B127" s="4" t="s">
        <v>307</v>
      </c>
      <c r="C127" s="10" t="s">
        <v>442</v>
      </c>
      <c r="D127" s="10" t="s">
        <v>309</v>
      </c>
      <c r="E127" s="11">
        <v>0.05</v>
      </c>
      <c r="F127" s="22">
        <v>1.0836586637109871</v>
      </c>
      <c r="G127" s="22">
        <f t="shared" si="1"/>
        <v>1.08</v>
      </c>
      <c r="H127" s="22">
        <v>1.1000000000000001</v>
      </c>
      <c r="I127" s="22">
        <v>1.1000000000000001</v>
      </c>
    </row>
    <row r="128" spans="1:9" x14ac:dyDescent="0.3">
      <c r="A128" s="4" t="s">
        <v>305</v>
      </c>
      <c r="B128" s="4" t="s">
        <v>305</v>
      </c>
      <c r="C128" s="4" t="s">
        <v>443</v>
      </c>
      <c r="D128" s="4" t="s">
        <v>300</v>
      </c>
      <c r="E128" s="6">
        <v>0</v>
      </c>
      <c r="F128" s="22">
        <v>1.2015274986733058</v>
      </c>
      <c r="G128" s="22">
        <f t="shared" si="1"/>
        <v>1.2</v>
      </c>
      <c r="H128" s="22">
        <v>1.06</v>
      </c>
      <c r="I128" s="22">
        <v>1.05</v>
      </c>
    </row>
    <row r="129" spans="1:9" x14ac:dyDescent="0.3">
      <c r="A129" s="4" t="s">
        <v>301</v>
      </c>
      <c r="B129" s="4" t="s">
        <v>307</v>
      </c>
      <c r="C129" s="10" t="s">
        <v>444</v>
      </c>
      <c r="D129" s="10" t="s">
        <v>309</v>
      </c>
      <c r="E129" s="11">
        <v>0.05</v>
      </c>
      <c r="F129" s="22">
        <v>1.1383073835514839</v>
      </c>
      <c r="G129" s="22">
        <f t="shared" si="1"/>
        <v>1.1399999999999999</v>
      </c>
      <c r="H129" s="22">
        <v>1.3200000000000003</v>
      </c>
      <c r="I129" s="22">
        <v>1.17</v>
      </c>
    </row>
    <row r="130" spans="1:9" x14ac:dyDescent="0.3">
      <c r="A130" s="4" t="s">
        <v>295</v>
      </c>
      <c r="B130" s="4" t="s">
        <v>325</v>
      </c>
      <c r="C130" s="4" t="s">
        <v>445</v>
      </c>
      <c r="D130" s="4" t="s">
        <v>300</v>
      </c>
      <c r="E130" s="6">
        <v>0</v>
      </c>
      <c r="F130" s="22">
        <v>0.98684870590508356</v>
      </c>
      <c r="G130" s="22">
        <f t="shared" ref="G130:G193" si="2">ROUND(F130, 2)</f>
        <v>0.99</v>
      </c>
      <c r="H130" s="22">
        <v>1.2199999999999998</v>
      </c>
      <c r="I130" s="22">
        <v>0.84</v>
      </c>
    </row>
    <row r="131" spans="1:9" x14ac:dyDescent="0.3">
      <c r="A131" s="4" t="s">
        <v>305</v>
      </c>
      <c r="B131" s="4" t="s">
        <v>320</v>
      </c>
      <c r="C131" s="4" t="s">
        <v>446</v>
      </c>
      <c r="D131" s="4" t="s">
        <v>300</v>
      </c>
      <c r="E131" s="6">
        <v>0</v>
      </c>
      <c r="F131" s="22">
        <v>0.92918938258917072</v>
      </c>
      <c r="G131" s="22">
        <f t="shared" si="2"/>
        <v>0.93</v>
      </c>
      <c r="H131" s="22">
        <v>0.93000000000000016</v>
      </c>
      <c r="I131" s="22">
        <v>0.86</v>
      </c>
    </row>
    <row r="132" spans="1:9" x14ac:dyDescent="0.3">
      <c r="A132" s="4" t="s">
        <v>301</v>
      </c>
      <c r="B132" s="4" t="s">
        <v>302</v>
      </c>
      <c r="C132" s="4" t="s">
        <v>447</v>
      </c>
      <c r="D132" s="4" t="s">
        <v>300</v>
      </c>
      <c r="E132" s="6">
        <v>0</v>
      </c>
      <c r="F132" s="22">
        <v>1.079293672350921</v>
      </c>
      <c r="G132" s="22">
        <f t="shared" si="2"/>
        <v>1.08</v>
      </c>
      <c r="H132" s="22">
        <v>0.91000000000000014</v>
      </c>
      <c r="I132" s="22">
        <v>0.82</v>
      </c>
    </row>
    <row r="133" spans="1:9" x14ac:dyDescent="0.3">
      <c r="A133" s="4" t="s">
        <v>310</v>
      </c>
      <c r="B133" s="4" t="s">
        <v>350</v>
      </c>
      <c r="C133" s="4" t="s">
        <v>448</v>
      </c>
      <c r="D133" s="4" t="s">
        <v>300</v>
      </c>
      <c r="E133" s="6">
        <v>0</v>
      </c>
      <c r="F133" s="22">
        <v>0.75</v>
      </c>
      <c r="G133" s="22">
        <f t="shared" si="2"/>
        <v>0.75</v>
      </c>
      <c r="H133" s="22">
        <v>0.75</v>
      </c>
      <c r="I133" s="22">
        <v>0.75</v>
      </c>
    </row>
    <row r="134" spans="1:9" x14ac:dyDescent="0.3">
      <c r="A134" s="4" t="s">
        <v>295</v>
      </c>
      <c r="B134" s="4" t="s">
        <v>360</v>
      </c>
      <c r="C134" s="4" t="s">
        <v>449</v>
      </c>
      <c r="D134" s="4" t="s">
        <v>300</v>
      </c>
      <c r="E134" s="6">
        <v>0</v>
      </c>
      <c r="F134" s="22">
        <v>0.82466619217484127</v>
      </c>
      <c r="G134" s="22">
        <f t="shared" si="2"/>
        <v>0.82</v>
      </c>
      <c r="H134" s="22">
        <v>0.75</v>
      </c>
      <c r="I134" s="22">
        <v>0.75</v>
      </c>
    </row>
    <row r="135" spans="1:9" x14ac:dyDescent="0.3">
      <c r="A135" s="4" t="s">
        <v>313</v>
      </c>
      <c r="B135" s="4" t="s">
        <v>330</v>
      </c>
      <c r="C135" s="4" t="s">
        <v>450</v>
      </c>
      <c r="D135" s="4" t="s">
        <v>304</v>
      </c>
      <c r="E135" s="6">
        <v>0</v>
      </c>
      <c r="F135" s="22">
        <v>1.5</v>
      </c>
      <c r="G135" s="22">
        <f t="shared" si="2"/>
        <v>1.5</v>
      </c>
      <c r="H135" s="22">
        <v>1.5</v>
      </c>
      <c r="I135" s="22">
        <v>1.5</v>
      </c>
    </row>
    <row r="136" spans="1:9" x14ac:dyDescent="0.3">
      <c r="A136" s="4" t="s">
        <v>313</v>
      </c>
      <c r="B136" s="4" t="s">
        <v>380</v>
      </c>
      <c r="C136" s="4" t="s">
        <v>451</v>
      </c>
      <c r="D136" s="4" t="s">
        <v>300</v>
      </c>
      <c r="E136" s="6">
        <v>0</v>
      </c>
      <c r="F136" s="22">
        <v>0.88423240154931226</v>
      </c>
      <c r="G136" s="22">
        <f t="shared" si="2"/>
        <v>0.88</v>
      </c>
      <c r="H136" s="22">
        <v>1.2800000000000002</v>
      </c>
      <c r="I136" s="22">
        <v>0.96</v>
      </c>
    </row>
    <row r="137" spans="1:9" x14ac:dyDescent="0.3">
      <c r="A137" s="4" t="s">
        <v>313</v>
      </c>
      <c r="B137" s="4" t="s">
        <v>314</v>
      </c>
      <c r="C137" s="4" t="s">
        <v>452</v>
      </c>
      <c r="D137" s="4" t="s">
        <v>300</v>
      </c>
      <c r="E137" s="6">
        <v>0</v>
      </c>
      <c r="F137" s="22">
        <v>1.2967387927815583</v>
      </c>
      <c r="G137" s="22">
        <f t="shared" si="2"/>
        <v>1.3</v>
      </c>
      <c r="H137" s="22">
        <v>1.5</v>
      </c>
      <c r="I137" s="22">
        <v>1.5</v>
      </c>
    </row>
    <row r="138" spans="1:9" x14ac:dyDescent="0.3">
      <c r="A138" s="4" t="s">
        <v>305</v>
      </c>
      <c r="B138" s="4" t="s">
        <v>305</v>
      </c>
      <c r="C138" s="4" t="s">
        <v>453</v>
      </c>
      <c r="D138" s="4" t="s">
        <v>300</v>
      </c>
      <c r="E138" s="6">
        <v>0</v>
      </c>
      <c r="F138" s="22">
        <v>1.2842872360770814</v>
      </c>
      <c r="G138" s="22">
        <f t="shared" si="2"/>
        <v>1.28</v>
      </c>
      <c r="H138" s="22">
        <v>1.17</v>
      </c>
      <c r="I138" s="22">
        <v>1.38</v>
      </c>
    </row>
    <row r="139" spans="1:9" x14ac:dyDescent="0.3">
      <c r="A139" s="4" t="s">
        <v>313</v>
      </c>
      <c r="B139" s="4" t="s">
        <v>380</v>
      </c>
      <c r="C139" s="4" t="s">
        <v>454</v>
      </c>
      <c r="D139" s="4" t="s">
        <v>300</v>
      </c>
      <c r="E139" s="6">
        <v>0</v>
      </c>
      <c r="F139" s="22">
        <v>0.83567395093138608</v>
      </c>
      <c r="G139" s="22">
        <f t="shared" si="2"/>
        <v>0.84</v>
      </c>
      <c r="H139" s="22">
        <v>0.95</v>
      </c>
      <c r="I139" s="22">
        <v>0.81</v>
      </c>
    </row>
    <row r="140" spans="1:9" x14ac:dyDescent="0.3">
      <c r="A140" s="4" t="s">
        <v>301</v>
      </c>
      <c r="B140" s="4" t="s">
        <v>302</v>
      </c>
      <c r="C140" s="4" t="s">
        <v>455</v>
      </c>
      <c r="D140" s="4" t="s">
        <v>300</v>
      </c>
      <c r="E140" s="6">
        <v>0</v>
      </c>
      <c r="F140" s="22">
        <v>0.74773977397484015</v>
      </c>
      <c r="G140" s="22">
        <f t="shared" si="2"/>
        <v>0.75</v>
      </c>
      <c r="H140" s="22">
        <v>0.75</v>
      </c>
      <c r="I140" s="22">
        <v>0.75</v>
      </c>
    </row>
    <row r="141" spans="1:9" x14ac:dyDescent="0.3">
      <c r="A141" s="4" t="s">
        <v>301</v>
      </c>
      <c r="B141" s="4" t="s">
        <v>302</v>
      </c>
      <c r="C141" s="10" t="s">
        <v>456</v>
      </c>
      <c r="D141" s="10" t="s">
        <v>309</v>
      </c>
      <c r="E141" s="11">
        <v>0.05</v>
      </c>
      <c r="F141" s="22">
        <v>1.1869545919779037</v>
      </c>
      <c r="G141" s="22">
        <f t="shared" si="2"/>
        <v>1.19</v>
      </c>
      <c r="H141" s="22">
        <v>1.1000000000000001</v>
      </c>
      <c r="I141" s="22">
        <v>1.1100000000000001</v>
      </c>
    </row>
    <row r="142" spans="1:9" x14ac:dyDescent="0.3">
      <c r="A142" s="4" t="s">
        <v>310</v>
      </c>
      <c r="B142" s="4" t="s">
        <v>311</v>
      </c>
      <c r="C142" s="4" t="s">
        <v>457</v>
      </c>
      <c r="D142" s="4" t="s">
        <v>300</v>
      </c>
      <c r="E142" s="6">
        <v>0</v>
      </c>
      <c r="F142" s="22">
        <v>0.75537243393290454</v>
      </c>
      <c r="G142" s="22">
        <f t="shared" si="2"/>
        <v>0.76</v>
      </c>
      <c r="H142" s="22">
        <v>0.75</v>
      </c>
      <c r="I142" s="22">
        <v>0.77</v>
      </c>
    </row>
    <row r="143" spans="1:9" x14ac:dyDescent="0.3">
      <c r="A143" s="4" t="s">
        <v>313</v>
      </c>
      <c r="B143" s="4" t="s">
        <v>316</v>
      </c>
      <c r="C143" s="7" t="s">
        <v>316</v>
      </c>
      <c r="D143" s="8" t="s">
        <v>297</v>
      </c>
      <c r="E143" s="9">
        <v>0.1</v>
      </c>
      <c r="F143" s="22">
        <v>0.94259002116835922</v>
      </c>
      <c r="G143" s="22">
        <f t="shared" si="2"/>
        <v>0.94</v>
      </c>
      <c r="H143" s="22">
        <v>0.87999999999999989</v>
      </c>
      <c r="I143" s="22">
        <v>0.84</v>
      </c>
    </row>
    <row r="144" spans="1:9" x14ac:dyDescent="0.3">
      <c r="A144" s="4" t="s">
        <v>301</v>
      </c>
      <c r="B144" s="4" t="s">
        <v>307</v>
      </c>
      <c r="C144" s="10" t="s">
        <v>458</v>
      </c>
      <c r="D144" s="10" t="s">
        <v>309</v>
      </c>
      <c r="E144" s="11">
        <v>0.05</v>
      </c>
      <c r="F144" s="22">
        <v>1.5</v>
      </c>
      <c r="G144" s="22">
        <f t="shared" si="2"/>
        <v>1.5</v>
      </c>
      <c r="H144" s="22">
        <v>1.5</v>
      </c>
      <c r="I144" s="22">
        <v>1.5</v>
      </c>
    </row>
    <row r="145" spans="1:9" x14ac:dyDescent="0.3">
      <c r="A145" s="4" t="s">
        <v>295</v>
      </c>
      <c r="B145" s="4" t="s">
        <v>345</v>
      </c>
      <c r="C145" s="4" t="s">
        <v>459</v>
      </c>
      <c r="D145" s="4" t="s">
        <v>300</v>
      </c>
      <c r="E145" s="6">
        <v>0</v>
      </c>
      <c r="F145" s="22">
        <v>1.1013616260332935</v>
      </c>
      <c r="G145" s="22">
        <f t="shared" si="2"/>
        <v>1.1000000000000001</v>
      </c>
      <c r="H145" s="22">
        <v>0.98</v>
      </c>
      <c r="I145" s="22">
        <v>1.1399999999999999</v>
      </c>
    </row>
    <row r="146" spans="1:9" x14ac:dyDescent="0.3">
      <c r="A146" s="4" t="s">
        <v>295</v>
      </c>
      <c r="B146" s="4" t="s">
        <v>360</v>
      </c>
      <c r="C146" s="4" t="s">
        <v>747</v>
      </c>
      <c r="D146" s="4" t="s">
        <v>300</v>
      </c>
      <c r="E146" s="6">
        <v>0</v>
      </c>
      <c r="F146" s="22">
        <v>1.0155543112601024</v>
      </c>
      <c r="G146" s="22">
        <f t="shared" si="2"/>
        <v>1.02</v>
      </c>
      <c r="H146" s="22">
        <v>0.98</v>
      </c>
      <c r="I146" s="22">
        <v>0.85</v>
      </c>
    </row>
    <row r="147" spans="1:9" x14ac:dyDescent="0.3">
      <c r="A147" s="4" t="s">
        <v>313</v>
      </c>
      <c r="B147" s="4" t="s">
        <v>316</v>
      </c>
      <c r="C147" s="4" t="s">
        <v>460</v>
      </c>
      <c r="D147" s="4" t="s">
        <v>333</v>
      </c>
      <c r="E147" s="6">
        <v>0</v>
      </c>
      <c r="F147" s="22">
        <v>0.90499200886152731</v>
      </c>
      <c r="G147" s="22">
        <f t="shared" si="2"/>
        <v>0.9</v>
      </c>
      <c r="H147" s="22">
        <v>0.98</v>
      </c>
      <c r="I147" s="22">
        <v>0.83</v>
      </c>
    </row>
    <row r="148" spans="1:9" x14ac:dyDescent="0.3">
      <c r="A148" s="4" t="s">
        <v>305</v>
      </c>
      <c r="B148" s="4" t="s">
        <v>320</v>
      </c>
      <c r="C148" s="4" t="s">
        <v>461</v>
      </c>
      <c r="D148" s="4" t="s">
        <v>300</v>
      </c>
      <c r="E148" s="6">
        <v>0</v>
      </c>
      <c r="F148" s="22">
        <v>0.80009920740030116</v>
      </c>
      <c r="G148" s="22">
        <f t="shared" si="2"/>
        <v>0.8</v>
      </c>
      <c r="H148" s="22">
        <v>0.75</v>
      </c>
      <c r="I148" s="22">
        <v>0.75</v>
      </c>
    </row>
    <row r="149" spans="1:9" x14ac:dyDescent="0.3">
      <c r="A149" s="4" t="s">
        <v>295</v>
      </c>
      <c r="B149" s="4" t="s">
        <v>341</v>
      </c>
      <c r="C149" s="4" t="s">
        <v>462</v>
      </c>
      <c r="D149" s="4" t="s">
        <v>300</v>
      </c>
      <c r="E149" s="6">
        <v>0</v>
      </c>
      <c r="F149" s="22">
        <v>1.118701371963494</v>
      </c>
      <c r="G149" s="22">
        <f t="shared" si="2"/>
        <v>1.1200000000000001</v>
      </c>
      <c r="H149" s="22">
        <v>1.0099999999999998</v>
      </c>
      <c r="I149" s="22">
        <v>1.07</v>
      </c>
    </row>
    <row r="150" spans="1:9" x14ac:dyDescent="0.3">
      <c r="A150" s="4" t="s">
        <v>310</v>
      </c>
      <c r="B150" s="4" t="s">
        <v>311</v>
      </c>
      <c r="C150" s="4" t="s">
        <v>463</v>
      </c>
      <c r="D150" s="4" t="s">
        <v>300</v>
      </c>
      <c r="E150" s="6">
        <v>0</v>
      </c>
      <c r="F150" s="22">
        <v>0.8071793691844571</v>
      </c>
      <c r="G150" s="22">
        <f t="shared" si="2"/>
        <v>0.81</v>
      </c>
      <c r="H150" s="22">
        <v>0.77</v>
      </c>
      <c r="I150" s="22">
        <v>0.78</v>
      </c>
    </row>
    <row r="151" spans="1:9" x14ac:dyDescent="0.3">
      <c r="A151" s="4" t="s">
        <v>301</v>
      </c>
      <c r="B151" s="4" t="s">
        <v>302</v>
      </c>
      <c r="C151" s="4" t="s">
        <v>464</v>
      </c>
      <c r="D151" s="4" t="s">
        <v>300</v>
      </c>
      <c r="E151" s="6">
        <v>0</v>
      </c>
      <c r="F151" s="22">
        <v>0.79078986895614045</v>
      </c>
      <c r="G151" s="22">
        <f t="shared" si="2"/>
        <v>0.79</v>
      </c>
      <c r="H151" s="22">
        <v>0.77</v>
      </c>
      <c r="I151" s="22">
        <v>0.75</v>
      </c>
    </row>
    <row r="152" spans="1:9" x14ac:dyDescent="0.3">
      <c r="A152" s="4" t="s">
        <v>313</v>
      </c>
      <c r="B152" s="4" t="s">
        <v>422</v>
      </c>
      <c r="C152" s="4" t="s">
        <v>465</v>
      </c>
      <c r="D152" s="4" t="s">
        <v>300</v>
      </c>
      <c r="E152" s="6">
        <v>0</v>
      </c>
      <c r="F152" s="22">
        <v>0.86160555503824099</v>
      </c>
      <c r="G152" s="22">
        <f t="shared" si="2"/>
        <v>0.86</v>
      </c>
      <c r="H152" s="22">
        <v>0.91000000000000014</v>
      </c>
      <c r="I152" s="22">
        <v>0.8</v>
      </c>
    </row>
    <row r="153" spans="1:9" x14ac:dyDescent="0.3">
      <c r="A153" s="4" t="s">
        <v>295</v>
      </c>
      <c r="B153" s="4" t="s">
        <v>341</v>
      </c>
      <c r="C153" s="4" t="s">
        <v>466</v>
      </c>
      <c r="D153" s="4" t="s">
        <v>300</v>
      </c>
      <c r="E153" s="6">
        <v>0</v>
      </c>
      <c r="F153" s="22">
        <v>0.9652143098175141</v>
      </c>
      <c r="G153" s="22">
        <f t="shared" si="2"/>
        <v>0.97</v>
      </c>
      <c r="H153" s="22">
        <v>0.89000000000000012</v>
      </c>
      <c r="I153" s="22">
        <v>0.83</v>
      </c>
    </row>
    <row r="154" spans="1:9" x14ac:dyDescent="0.3">
      <c r="A154" s="4" t="s">
        <v>295</v>
      </c>
      <c r="B154" s="4" t="s">
        <v>296</v>
      </c>
      <c r="C154" s="4" t="s">
        <v>467</v>
      </c>
      <c r="D154" s="4" t="s">
        <v>300</v>
      </c>
      <c r="E154" s="6">
        <v>0</v>
      </c>
      <c r="F154" s="22">
        <v>0.96247867649809382</v>
      </c>
      <c r="G154" s="22">
        <f t="shared" si="2"/>
        <v>0.96</v>
      </c>
      <c r="H154" s="22">
        <v>0.97</v>
      </c>
      <c r="I154" s="22">
        <v>0.83</v>
      </c>
    </row>
    <row r="155" spans="1:9" x14ac:dyDescent="0.3">
      <c r="A155" s="4" t="s">
        <v>313</v>
      </c>
      <c r="B155" s="4" t="s">
        <v>428</v>
      </c>
      <c r="C155" s="4" t="s">
        <v>468</v>
      </c>
      <c r="D155" s="4" t="s">
        <v>300</v>
      </c>
      <c r="E155" s="6">
        <v>0</v>
      </c>
      <c r="F155" s="22">
        <v>0.83435920990643797</v>
      </c>
      <c r="G155" s="22">
        <f t="shared" si="2"/>
        <v>0.83</v>
      </c>
      <c r="H155" s="22">
        <v>0.75</v>
      </c>
      <c r="I155" s="22">
        <v>0.75</v>
      </c>
    </row>
    <row r="156" spans="1:9" x14ac:dyDescent="0.3">
      <c r="A156" s="4" t="s">
        <v>313</v>
      </c>
      <c r="B156" s="4" t="s">
        <v>316</v>
      </c>
      <c r="C156" s="4" t="s">
        <v>469</v>
      </c>
      <c r="D156" s="4" t="s">
        <v>300</v>
      </c>
      <c r="E156" s="6">
        <v>0</v>
      </c>
      <c r="F156" s="22">
        <v>0.90492550445170494</v>
      </c>
      <c r="G156" s="22">
        <f t="shared" si="2"/>
        <v>0.9</v>
      </c>
      <c r="H156" s="22">
        <v>1.29</v>
      </c>
      <c r="I156" s="22">
        <v>1.1000000000000001</v>
      </c>
    </row>
    <row r="157" spans="1:9" x14ac:dyDescent="0.3">
      <c r="A157" s="4" t="s">
        <v>301</v>
      </c>
      <c r="B157" s="4" t="s">
        <v>307</v>
      </c>
      <c r="C157" s="10" t="s">
        <v>470</v>
      </c>
      <c r="D157" s="10" t="s">
        <v>309</v>
      </c>
      <c r="E157" s="11">
        <v>0.05</v>
      </c>
      <c r="F157" s="22">
        <v>1.1553680667466224</v>
      </c>
      <c r="G157" s="22">
        <f t="shared" si="2"/>
        <v>1.1599999999999999</v>
      </c>
      <c r="H157" s="22">
        <v>1.1000000000000001</v>
      </c>
      <c r="I157" s="22">
        <v>1.1000000000000001</v>
      </c>
    </row>
    <row r="158" spans="1:9" x14ac:dyDescent="0.3">
      <c r="A158" s="4" t="s">
        <v>310</v>
      </c>
      <c r="B158" s="4" t="s">
        <v>322</v>
      </c>
      <c r="C158" s="4" t="s">
        <v>471</v>
      </c>
      <c r="D158" s="4" t="s">
        <v>338</v>
      </c>
      <c r="E158" s="6">
        <v>0</v>
      </c>
      <c r="F158" s="22">
        <v>0.75</v>
      </c>
      <c r="G158" s="22">
        <f t="shared" si="2"/>
        <v>0.75</v>
      </c>
      <c r="H158" s="22">
        <v>0.75</v>
      </c>
      <c r="I158" s="22">
        <v>0.75</v>
      </c>
    </row>
    <row r="159" spans="1:9" x14ac:dyDescent="0.3">
      <c r="A159" s="4" t="s">
        <v>301</v>
      </c>
      <c r="B159" s="4" t="s">
        <v>302</v>
      </c>
      <c r="C159" s="7" t="s">
        <v>302</v>
      </c>
      <c r="D159" s="8" t="s">
        <v>297</v>
      </c>
      <c r="E159" s="9">
        <v>0.1</v>
      </c>
      <c r="F159" s="22">
        <v>1.5</v>
      </c>
      <c r="G159" s="22">
        <f t="shared" si="2"/>
        <v>1.5</v>
      </c>
      <c r="H159" s="22">
        <v>1.0899999999999999</v>
      </c>
      <c r="I159" s="22">
        <v>1.1599999999999999</v>
      </c>
    </row>
    <row r="160" spans="1:9" x14ac:dyDescent="0.3">
      <c r="A160" s="4" t="s">
        <v>313</v>
      </c>
      <c r="B160" s="4" t="s">
        <v>428</v>
      </c>
      <c r="C160" s="4" t="s">
        <v>472</v>
      </c>
      <c r="D160" s="4" t="s">
        <v>300</v>
      </c>
      <c r="E160" s="6">
        <v>0</v>
      </c>
      <c r="F160" s="22">
        <v>0.93534743515252183</v>
      </c>
      <c r="G160" s="22">
        <f t="shared" si="2"/>
        <v>0.94</v>
      </c>
      <c r="H160" s="22">
        <v>0.75</v>
      </c>
      <c r="I160" s="22">
        <v>0.75</v>
      </c>
    </row>
    <row r="161" spans="1:9" x14ac:dyDescent="0.3">
      <c r="A161" s="4" t="s">
        <v>301</v>
      </c>
      <c r="B161" s="4" t="s">
        <v>307</v>
      </c>
      <c r="C161" s="10" t="s">
        <v>473</v>
      </c>
      <c r="D161" s="10" t="s">
        <v>309</v>
      </c>
      <c r="E161" s="11">
        <v>0.05</v>
      </c>
      <c r="F161" s="22">
        <v>1.0441716703790109</v>
      </c>
      <c r="G161" s="22">
        <f t="shared" si="2"/>
        <v>1.04</v>
      </c>
      <c r="H161" s="22">
        <v>1.3200000000000003</v>
      </c>
      <c r="I161" s="22">
        <v>1.1000000000000001</v>
      </c>
    </row>
    <row r="162" spans="1:9" x14ac:dyDescent="0.3">
      <c r="A162" s="4" t="s">
        <v>305</v>
      </c>
      <c r="B162" s="4" t="s">
        <v>339</v>
      </c>
      <c r="C162" s="4" t="s">
        <v>474</v>
      </c>
      <c r="D162" s="4" t="s">
        <v>304</v>
      </c>
      <c r="E162" s="6">
        <v>0</v>
      </c>
      <c r="F162" s="22">
        <v>1.1730040130867232</v>
      </c>
      <c r="G162" s="22">
        <f t="shared" si="2"/>
        <v>1.17</v>
      </c>
      <c r="H162" s="22">
        <v>1.0899999999999999</v>
      </c>
      <c r="I162" s="22">
        <v>1.0900000000000001</v>
      </c>
    </row>
    <row r="163" spans="1:9" x14ac:dyDescent="0.3">
      <c r="A163" s="4" t="s">
        <v>295</v>
      </c>
      <c r="B163" s="4" t="s">
        <v>360</v>
      </c>
      <c r="C163" s="4" t="s">
        <v>475</v>
      </c>
      <c r="D163" s="4" t="s">
        <v>300</v>
      </c>
      <c r="E163" s="6">
        <v>0</v>
      </c>
      <c r="F163" s="22">
        <v>0.8187997358699417</v>
      </c>
      <c r="G163" s="22">
        <f t="shared" si="2"/>
        <v>0.82</v>
      </c>
      <c r="H163" s="22">
        <v>0.75</v>
      </c>
      <c r="I163" s="22">
        <v>0.75</v>
      </c>
    </row>
    <row r="164" spans="1:9" x14ac:dyDescent="0.3">
      <c r="A164" s="4" t="s">
        <v>295</v>
      </c>
      <c r="B164" s="4" t="s">
        <v>298</v>
      </c>
      <c r="C164" s="4" t="s">
        <v>748</v>
      </c>
      <c r="D164" s="4" t="s">
        <v>300</v>
      </c>
      <c r="E164" s="6">
        <v>0</v>
      </c>
      <c r="F164" s="22">
        <v>1.0717032171144749</v>
      </c>
      <c r="G164" s="22">
        <f t="shared" si="2"/>
        <v>1.07</v>
      </c>
      <c r="H164" s="22">
        <v>0.97</v>
      </c>
      <c r="I164" s="22">
        <v>1.06</v>
      </c>
    </row>
    <row r="165" spans="1:9" x14ac:dyDescent="0.3">
      <c r="A165" s="4" t="s">
        <v>305</v>
      </c>
      <c r="B165" s="4" t="s">
        <v>320</v>
      </c>
      <c r="C165" s="4" t="s">
        <v>476</v>
      </c>
      <c r="D165" s="4" t="s">
        <v>300</v>
      </c>
      <c r="E165" s="6">
        <v>0</v>
      </c>
      <c r="F165" s="22">
        <v>0.95821983640755204</v>
      </c>
      <c r="G165" s="22">
        <f t="shared" si="2"/>
        <v>0.96</v>
      </c>
      <c r="H165" s="22">
        <v>1.1600000000000001</v>
      </c>
      <c r="I165" s="22">
        <v>1.03</v>
      </c>
    </row>
    <row r="166" spans="1:9" x14ac:dyDescent="0.3">
      <c r="A166" s="4" t="s">
        <v>301</v>
      </c>
      <c r="B166" s="4" t="s">
        <v>307</v>
      </c>
      <c r="C166" s="10" t="s">
        <v>477</v>
      </c>
      <c r="D166" s="10" t="s">
        <v>309</v>
      </c>
      <c r="E166" s="11">
        <v>0.05</v>
      </c>
      <c r="F166" s="22">
        <v>1.5</v>
      </c>
      <c r="G166" s="22">
        <f t="shared" si="2"/>
        <v>1.5</v>
      </c>
      <c r="H166" s="22">
        <v>1.2599999999999998</v>
      </c>
      <c r="I166" s="22">
        <v>1.27</v>
      </c>
    </row>
    <row r="167" spans="1:9" x14ac:dyDescent="0.3">
      <c r="A167" s="4" t="s">
        <v>305</v>
      </c>
      <c r="B167" s="4" t="s">
        <v>305</v>
      </c>
      <c r="C167" s="4" t="s">
        <v>478</v>
      </c>
      <c r="D167" s="4" t="s">
        <v>300</v>
      </c>
      <c r="E167" s="6">
        <v>0</v>
      </c>
      <c r="F167" s="22">
        <v>1.2381131092336892</v>
      </c>
      <c r="G167" s="22">
        <f t="shared" si="2"/>
        <v>1.24</v>
      </c>
      <c r="H167" s="22">
        <v>1.5</v>
      </c>
      <c r="I167" s="22">
        <v>1.5</v>
      </c>
    </row>
    <row r="168" spans="1:9" x14ac:dyDescent="0.3">
      <c r="A168" s="4" t="s">
        <v>301</v>
      </c>
      <c r="B168" s="4" t="s">
        <v>302</v>
      </c>
      <c r="C168" s="4" t="s">
        <v>479</v>
      </c>
      <c r="D168" s="4" t="s">
        <v>300</v>
      </c>
      <c r="E168" s="6">
        <v>0</v>
      </c>
      <c r="F168" s="22">
        <v>0.76971308676631178</v>
      </c>
      <c r="G168" s="22">
        <f t="shared" si="2"/>
        <v>0.77</v>
      </c>
      <c r="H168" s="22">
        <v>0.75</v>
      </c>
      <c r="I168" s="22">
        <v>0.75</v>
      </c>
    </row>
    <row r="169" spans="1:9" x14ac:dyDescent="0.3">
      <c r="A169" s="4" t="s">
        <v>295</v>
      </c>
      <c r="B169" s="4" t="s">
        <v>298</v>
      </c>
      <c r="C169" s="4" t="s">
        <v>480</v>
      </c>
      <c r="D169" s="4" t="s">
        <v>300</v>
      </c>
      <c r="E169" s="6">
        <v>0</v>
      </c>
      <c r="F169" s="22">
        <v>1.1278137550401037</v>
      </c>
      <c r="G169" s="22">
        <f t="shared" si="2"/>
        <v>1.1299999999999999</v>
      </c>
      <c r="H169" s="22">
        <v>1.1299999999999999</v>
      </c>
      <c r="I169" s="22">
        <v>1.08</v>
      </c>
    </row>
    <row r="170" spans="1:9" x14ac:dyDescent="0.3">
      <c r="A170" s="4" t="s">
        <v>295</v>
      </c>
      <c r="B170" s="4" t="s">
        <v>345</v>
      </c>
      <c r="C170" s="4" t="s">
        <v>481</v>
      </c>
      <c r="D170" s="4" t="s">
        <v>304</v>
      </c>
      <c r="E170" s="6">
        <v>0</v>
      </c>
      <c r="F170" s="22">
        <v>1.0292043413761245</v>
      </c>
      <c r="G170" s="22">
        <f t="shared" si="2"/>
        <v>1.03</v>
      </c>
      <c r="H170" s="22">
        <v>0.87000000000000011</v>
      </c>
      <c r="I170" s="22">
        <v>0.85</v>
      </c>
    </row>
    <row r="171" spans="1:9" x14ac:dyDescent="0.3">
      <c r="A171" s="4" t="s">
        <v>310</v>
      </c>
      <c r="B171" s="4" t="s">
        <v>350</v>
      </c>
      <c r="C171" s="4" t="s">
        <v>482</v>
      </c>
      <c r="D171" s="4" t="s">
        <v>338</v>
      </c>
      <c r="E171" s="6">
        <v>0</v>
      </c>
      <c r="F171" s="22">
        <v>0.7543364998568266</v>
      </c>
      <c r="G171" s="22">
        <f t="shared" si="2"/>
        <v>0.75</v>
      </c>
      <c r="H171" s="22">
        <v>0.89999999999999991</v>
      </c>
      <c r="I171" s="22">
        <v>0.83</v>
      </c>
    </row>
    <row r="172" spans="1:9" x14ac:dyDescent="0.3">
      <c r="A172" s="4" t="s">
        <v>301</v>
      </c>
      <c r="B172" s="4" t="s">
        <v>307</v>
      </c>
      <c r="C172" s="10" t="s">
        <v>483</v>
      </c>
      <c r="D172" s="10" t="s">
        <v>309</v>
      </c>
      <c r="E172" s="11">
        <v>0.05</v>
      </c>
      <c r="F172" s="22">
        <v>1.119658012320168</v>
      </c>
      <c r="G172" s="22">
        <f t="shared" si="2"/>
        <v>1.1200000000000001</v>
      </c>
      <c r="H172" s="22">
        <v>1.1799999999999997</v>
      </c>
      <c r="I172" s="22">
        <v>1.1000000000000001</v>
      </c>
    </row>
    <row r="173" spans="1:9" x14ac:dyDescent="0.3">
      <c r="A173" s="4" t="s">
        <v>313</v>
      </c>
      <c r="B173" s="4" t="s">
        <v>380</v>
      </c>
      <c r="C173" s="4" t="s">
        <v>484</v>
      </c>
      <c r="D173" s="4" t="s">
        <v>300</v>
      </c>
      <c r="E173" s="6">
        <v>0</v>
      </c>
      <c r="F173" s="22">
        <v>0.84461367832864975</v>
      </c>
      <c r="G173" s="22">
        <f t="shared" si="2"/>
        <v>0.84</v>
      </c>
      <c r="H173" s="22">
        <v>0.75</v>
      </c>
      <c r="I173" s="22">
        <v>0.83</v>
      </c>
    </row>
    <row r="174" spans="1:9" x14ac:dyDescent="0.3">
      <c r="A174" s="4" t="s">
        <v>301</v>
      </c>
      <c r="B174" s="4" t="s">
        <v>302</v>
      </c>
      <c r="C174" s="4" t="s">
        <v>485</v>
      </c>
      <c r="D174" s="4" t="s">
        <v>300</v>
      </c>
      <c r="E174" s="6">
        <v>0</v>
      </c>
      <c r="F174" s="22">
        <v>1.1001108315562516</v>
      </c>
      <c r="G174" s="22">
        <f t="shared" si="2"/>
        <v>1.1000000000000001</v>
      </c>
      <c r="H174" s="22">
        <v>1.2400000000000002</v>
      </c>
      <c r="I174" s="22">
        <v>1.1499999999999999</v>
      </c>
    </row>
    <row r="175" spans="1:9" x14ac:dyDescent="0.3">
      <c r="A175" s="4" t="s">
        <v>310</v>
      </c>
      <c r="B175" s="4" t="s">
        <v>322</v>
      </c>
      <c r="C175" s="4" t="s">
        <v>486</v>
      </c>
      <c r="D175" s="4" t="s">
        <v>300</v>
      </c>
      <c r="E175" s="6">
        <v>0</v>
      </c>
      <c r="F175" s="22">
        <v>0.77765269015432503</v>
      </c>
      <c r="G175" s="22">
        <f t="shared" si="2"/>
        <v>0.78</v>
      </c>
      <c r="H175" s="22">
        <v>0.79</v>
      </c>
      <c r="I175" s="22">
        <v>0.75</v>
      </c>
    </row>
    <row r="176" spans="1:9" x14ac:dyDescent="0.3">
      <c r="A176" s="4" t="s">
        <v>295</v>
      </c>
      <c r="B176" s="4" t="s">
        <v>360</v>
      </c>
      <c r="C176" s="4" t="s">
        <v>487</v>
      </c>
      <c r="D176" s="4" t="s">
        <v>300</v>
      </c>
      <c r="E176" s="6">
        <v>0</v>
      </c>
      <c r="F176" s="22">
        <v>0.91732218222876882</v>
      </c>
      <c r="G176" s="22">
        <f t="shared" si="2"/>
        <v>0.92</v>
      </c>
      <c r="H176" s="22">
        <v>0.75</v>
      </c>
      <c r="I176" s="22">
        <v>0.75</v>
      </c>
    </row>
    <row r="177" spans="1:9" x14ac:dyDescent="0.3">
      <c r="A177" s="4" t="s">
        <v>310</v>
      </c>
      <c r="B177" s="4" t="s">
        <v>350</v>
      </c>
      <c r="C177" s="4" t="s">
        <v>350</v>
      </c>
      <c r="D177" s="4" t="s">
        <v>338</v>
      </c>
      <c r="E177" s="6">
        <v>0</v>
      </c>
      <c r="F177" s="22">
        <v>0.75</v>
      </c>
      <c r="G177" s="22">
        <f t="shared" si="2"/>
        <v>0.75</v>
      </c>
      <c r="H177" s="22">
        <v>0.75</v>
      </c>
      <c r="I177" s="22">
        <v>0.75</v>
      </c>
    </row>
    <row r="178" spans="1:9" x14ac:dyDescent="0.3">
      <c r="A178" s="4" t="s">
        <v>310</v>
      </c>
      <c r="B178" s="4" t="s">
        <v>311</v>
      </c>
      <c r="C178" s="4" t="s">
        <v>488</v>
      </c>
      <c r="D178" s="4" t="s">
        <v>338</v>
      </c>
      <c r="E178" s="6">
        <v>0</v>
      </c>
      <c r="F178" s="22">
        <v>0.75</v>
      </c>
      <c r="G178" s="22">
        <f t="shared" si="2"/>
        <v>0.75</v>
      </c>
      <c r="H178" s="22">
        <v>0.75</v>
      </c>
      <c r="I178" s="22">
        <v>0.75</v>
      </c>
    </row>
    <row r="179" spans="1:9" x14ac:dyDescent="0.3">
      <c r="A179" s="4" t="s">
        <v>301</v>
      </c>
      <c r="B179" s="4" t="s">
        <v>307</v>
      </c>
      <c r="C179" s="10" t="s">
        <v>489</v>
      </c>
      <c r="D179" s="10" t="s">
        <v>309</v>
      </c>
      <c r="E179" s="11">
        <v>0.05</v>
      </c>
      <c r="F179" s="22">
        <v>1.2602700765107469</v>
      </c>
      <c r="G179" s="22">
        <f t="shared" si="2"/>
        <v>1.26</v>
      </c>
      <c r="H179" s="22">
        <v>1.5</v>
      </c>
      <c r="I179" s="22">
        <v>1.5</v>
      </c>
    </row>
    <row r="180" spans="1:9" x14ac:dyDescent="0.3">
      <c r="A180" s="4" t="s">
        <v>295</v>
      </c>
      <c r="B180" s="4" t="s">
        <v>325</v>
      </c>
      <c r="C180" s="4" t="s">
        <v>490</v>
      </c>
      <c r="D180" s="4" t="s">
        <v>300</v>
      </c>
      <c r="E180" s="6">
        <v>0</v>
      </c>
      <c r="F180" s="22">
        <v>0.97835020968837161</v>
      </c>
      <c r="G180" s="22">
        <f t="shared" si="2"/>
        <v>0.98</v>
      </c>
      <c r="H180" s="22">
        <v>1.02</v>
      </c>
      <c r="I180" s="22">
        <v>0.89</v>
      </c>
    </row>
    <row r="181" spans="1:9" x14ac:dyDescent="0.3">
      <c r="A181" s="4" t="s">
        <v>305</v>
      </c>
      <c r="B181" s="4" t="s">
        <v>305</v>
      </c>
      <c r="C181" s="4" t="s">
        <v>491</v>
      </c>
      <c r="D181" s="4" t="s">
        <v>300</v>
      </c>
      <c r="E181" s="6">
        <v>0</v>
      </c>
      <c r="F181" s="22">
        <v>1.0315256010651135</v>
      </c>
      <c r="G181" s="22">
        <f t="shared" si="2"/>
        <v>1.03</v>
      </c>
      <c r="H181" s="22">
        <v>1.0899999999999999</v>
      </c>
      <c r="I181" s="22">
        <v>1.05</v>
      </c>
    </row>
    <row r="182" spans="1:9" x14ac:dyDescent="0.3">
      <c r="A182" s="4" t="s">
        <v>305</v>
      </c>
      <c r="B182" s="4" t="s">
        <v>339</v>
      </c>
      <c r="C182" s="7" t="s">
        <v>339</v>
      </c>
      <c r="D182" s="8" t="s">
        <v>297</v>
      </c>
      <c r="E182" s="9">
        <v>0.1</v>
      </c>
      <c r="F182" s="22">
        <v>1.2484321636692861</v>
      </c>
      <c r="G182" s="22">
        <f t="shared" si="2"/>
        <v>1.25</v>
      </c>
      <c r="H182" s="22">
        <v>1.33</v>
      </c>
      <c r="I182" s="22">
        <v>1.2</v>
      </c>
    </row>
    <row r="183" spans="1:9" x14ac:dyDescent="0.3">
      <c r="A183" s="4" t="s">
        <v>305</v>
      </c>
      <c r="B183" s="4" t="s">
        <v>320</v>
      </c>
      <c r="C183" s="4" t="s">
        <v>492</v>
      </c>
      <c r="D183" s="4" t="s">
        <v>300</v>
      </c>
      <c r="E183" s="6">
        <v>0</v>
      </c>
      <c r="F183" s="22">
        <v>0.82634159172997945</v>
      </c>
      <c r="G183" s="22">
        <f t="shared" si="2"/>
        <v>0.83</v>
      </c>
      <c r="H183" s="22">
        <v>0.75</v>
      </c>
      <c r="I183" s="22">
        <v>0.75</v>
      </c>
    </row>
    <row r="184" spans="1:9" x14ac:dyDescent="0.3">
      <c r="A184" s="4" t="s">
        <v>301</v>
      </c>
      <c r="B184" s="4" t="s">
        <v>307</v>
      </c>
      <c r="C184" s="10" t="s">
        <v>493</v>
      </c>
      <c r="D184" s="10" t="s">
        <v>309</v>
      </c>
      <c r="E184" s="11">
        <v>0.05</v>
      </c>
      <c r="F184" s="22">
        <v>1.2679837311663888</v>
      </c>
      <c r="G184" s="22">
        <f t="shared" si="2"/>
        <v>1.27</v>
      </c>
      <c r="H184" s="22">
        <v>1.5</v>
      </c>
      <c r="I184" s="22">
        <v>1.5</v>
      </c>
    </row>
    <row r="185" spans="1:9" x14ac:dyDescent="0.3">
      <c r="A185" s="4" t="s">
        <v>295</v>
      </c>
      <c r="B185" s="4" t="s">
        <v>298</v>
      </c>
      <c r="C185" s="4" t="s">
        <v>494</v>
      </c>
      <c r="D185" s="4" t="s">
        <v>300</v>
      </c>
      <c r="E185" s="6">
        <v>0</v>
      </c>
      <c r="F185" s="22">
        <v>1.2098613964757075</v>
      </c>
      <c r="G185" s="22">
        <f t="shared" si="2"/>
        <v>1.21</v>
      </c>
      <c r="H185" s="22">
        <v>1.1799999999999997</v>
      </c>
      <c r="I185" s="22">
        <v>1.1499999999999999</v>
      </c>
    </row>
    <row r="186" spans="1:9" x14ac:dyDescent="0.3">
      <c r="A186" s="4" t="s">
        <v>313</v>
      </c>
      <c r="B186" s="4" t="s">
        <v>316</v>
      </c>
      <c r="C186" s="4" t="s">
        <v>495</v>
      </c>
      <c r="D186" s="4" t="s">
        <v>338</v>
      </c>
      <c r="E186" s="6">
        <v>0</v>
      </c>
      <c r="F186" s="22">
        <v>0.7555003270287165</v>
      </c>
      <c r="G186" s="22">
        <f t="shared" si="2"/>
        <v>0.76</v>
      </c>
      <c r="H186" s="22">
        <v>0.75</v>
      </c>
      <c r="I186" s="22">
        <v>0.75</v>
      </c>
    </row>
    <row r="187" spans="1:9" x14ac:dyDescent="0.3">
      <c r="A187" s="4" t="s">
        <v>301</v>
      </c>
      <c r="B187" s="4" t="s">
        <v>307</v>
      </c>
      <c r="C187" s="10" t="s">
        <v>496</v>
      </c>
      <c r="D187" s="10" t="s">
        <v>309</v>
      </c>
      <c r="E187" s="11">
        <v>0.05</v>
      </c>
      <c r="F187" s="22">
        <v>1.1820081986042763</v>
      </c>
      <c r="G187" s="22">
        <f t="shared" si="2"/>
        <v>1.18</v>
      </c>
      <c r="H187" s="22">
        <v>1.23</v>
      </c>
      <c r="I187" s="22">
        <v>1.1200000000000001</v>
      </c>
    </row>
    <row r="188" spans="1:9" x14ac:dyDescent="0.3">
      <c r="A188" s="4" t="s">
        <v>295</v>
      </c>
      <c r="B188" s="4" t="s">
        <v>298</v>
      </c>
      <c r="C188" s="4" t="s">
        <v>497</v>
      </c>
      <c r="D188" s="4" t="s">
        <v>300</v>
      </c>
      <c r="E188" s="6">
        <v>0</v>
      </c>
      <c r="F188" s="22">
        <v>1.2374641796655388</v>
      </c>
      <c r="G188" s="22">
        <f t="shared" si="2"/>
        <v>1.24</v>
      </c>
      <c r="H188" s="22">
        <v>1.1600000000000001</v>
      </c>
      <c r="I188" s="22">
        <v>1.1399999999999999</v>
      </c>
    </row>
    <row r="189" spans="1:9" x14ac:dyDescent="0.3">
      <c r="A189" s="4" t="s">
        <v>305</v>
      </c>
      <c r="B189" s="4" t="s">
        <v>320</v>
      </c>
      <c r="C189" s="4" t="s">
        <v>498</v>
      </c>
      <c r="D189" s="4" t="s">
        <v>300</v>
      </c>
      <c r="E189" s="6">
        <v>0</v>
      </c>
      <c r="F189" s="22">
        <v>0.9732741327155906</v>
      </c>
      <c r="G189" s="22">
        <f t="shared" si="2"/>
        <v>0.97</v>
      </c>
      <c r="H189" s="22">
        <v>1.3899999999999997</v>
      </c>
      <c r="I189" s="22">
        <v>1.18</v>
      </c>
    </row>
    <row r="190" spans="1:9" x14ac:dyDescent="0.3">
      <c r="A190" s="4" t="s">
        <v>313</v>
      </c>
      <c r="B190" s="4" t="s">
        <v>422</v>
      </c>
      <c r="C190" s="4" t="s">
        <v>499</v>
      </c>
      <c r="D190" s="4" t="s">
        <v>300</v>
      </c>
      <c r="E190" s="6">
        <v>0</v>
      </c>
      <c r="F190" s="22">
        <v>0.75</v>
      </c>
      <c r="G190" s="22">
        <f t="shared" si="2"/>
        <v>0.75</v>
      </c>
      <c r="H190" s="22">
        <v>0.75</v>
      </c>
      <c r="I190" s="22">
        <v>0.75</v>
      </c>
    </row>
    <row r="191" spans="1:9" x14ac:dyDescent="0.3">
      <c r="A191" s="4" t="s">
        <v>313</v>
      </c>
      <c r="B191" s="4" t="s">
        <v>318</v>
      </c>
      <c r="C191" s="4" t="s">
        <v>500</v>
      </c>
      <c r="D191" s="4" t="s">
        <v>300</v>
      </c>
      <c r="E191" s="6">
        <v>0</v>
      </c>
      <c r="F191" s="22">
        <v>0.83429270549661572</v>
      </c>
      <c r="G191" s="22">
        <f t="shared" si="2"/>
        <v>0.83</v>
      </c>
      <c r="H191" s="22">
        <v>1.27</v>
      </c>
      <c r="I191" s="22">
        <v>1.26</v>
      </c>
    </row>
    <row r="192" spans="1:9" x14ac:dyDescent="0.3">
      <c r="A192" s="4" t="s">
        <v>313</v>
      </c>
      <c r="B192" s="4" t="s">
        <v>364</v>
      </c>
      <c r="C192" s="4" t="s">
        <v>501</v>
      </c>
      <c r="D192" s="4" t="s">
        <v>333</v>
      </c>
      <c r="E192" s="6">
        <v>0</v>
      </c>
      <c r="F192" s="22">
        <v>1.0133903600789622</v>
      </c>
      <c r="G192" s="22">
        <f t="shared" si="2"/>
        <v>1.01</v>
      </c>
      <c r="H192" s="22">
        <v>1.5</v>
      </c>
      <c r="I192" s="22">
        <v>1.5</v>
      </c>
    </row>
    <row r="193" spans="1:9" x14ac:dyDescent="0.3">
      <c r="A193" s="4" t="s">
        <v>295</v>
      </c>
      <c r="B193" s="4" t="s">
        <v>298</v>
      </c>
      <c r="C193" s="4" t="s">
        <v>502</v>
      </c>
      <c r="D193" s="4" t="s">
        <v>300</v>
      </c>
      <c r="E193" s="6">
        <v>0</v>
      </c>
      <c r="F193" s="22">
        <v>0.97351968745954987</v>
      </c>
      <c r="G193" s="22">
        <f t="shared" si="2"/>
        <v>0.97</v>
      </c>
      <c r="H193" s="22">
        <v>1.25</v>
      </c>
      <c r="I193" s="22">
        <v>1.17</v>
      </c>
    </row>
    <row r="194" spans="1:9" x14ac:dyDescent="0.3">
      <c r="A194" s="4" t="s">
        <v>305</v>
      </c>
      <c r="B194" s="4" t="s">
        <v>320</v>
      </c>
      <c r="C194" s="4" t="s">
        <v>503</v>
      </c>
      <c r="D194" s="4" t="s">
        <v>304</v>
      </c>
      <c r="E194" s="6">
        <v>0</v>
      </c>
      <c r="F194" s="22">
        <v>0.85516230087122913</v>
      </c>
      <c r="G194" s="22">
        <f t="shared" ref="G194:G257" si="3">ROUND(F194, 2)</f>
        <v>0.86</v>
      </c>
      <c r="H194" s="22">
        <v>0.87999999999999989</v>
      </c>
      <c r="I194" s="22">
        <v>0.78</v>
      </c>
    </row>
    <row r="195" spans="1:9" x14ac:dyDescent="0.3">
      <c r="A195" s="4" t="s">
        <v>313</v>
      </c>
      <c r="B195" s="4" t="s">
        <v>428</v>
      </c>
      <c r="C195" s="4" t="s">
        <v>504</v>
      </c>
      <c r="D195" s="4" t="s">
        <v>300</v>
      </c>
      <c r="E195" s="6">
        <v>0</v>
      </c>
      <c r="F195" s="22">
        <v>0.8409469832717178</v>
      </c>
      <c r="G195" s="22">
        <f t="shared" si="3"/>
        <v>0.84</v>
      </c>
      <c r="H195" s="22">
        <v>0.75</v>
      </c>
      <c r="I195" s="22">
        <v>0.75</v>
      </c>
    </row>
    <row r="196" spans="1:9" x14ac:dyDescent="0.3">
      <c r="A196" s="4" t="s">
        <v>305</v>
      </c>
      <c r="B196" s="4" t="s">
        <v>305</v>
      </c>
      <c r="C196" s="4" t="s">
        <v>505</v>
      </c>
      <c r="D196" s="4" t="s">
        <v>300</v>
      </c>
      <c r="E196" s="6">
        <v>0</v>
      </c>
      <c r="F196" s="22">
        <v>1.4063192598835841</v>
      </c>
      <c r="G196" s="22">
        <f t="shared" si="3"/>
        <v>1.41</v>
      </c>
      <c r="H196" s="22">
        <v>1.5</v>
      </c>
      <c r="I196" s="22">
        <v>1.5</v>
      </c>
    </row>
    <row r="197" spans="1:9" x14ac:dyDescent="0.3">
      <c r="A197" s="4" t="s">
        <v>295</v>
      </c>
      <c r="B197" s="4" t="s">
        <v>298</v>
      </c>
      <c r="C197" s="4" t="s">
        <v>506</v>
      </c>
      <c r="D197" s="4" t="s">
        <v>300</v>
      </c>
      <c r="E197" s="6">
        <v>0</v>
      </c>
      <c r="F197" s="22">
        <v>1.0847368025086828</v>
      </c>
      <c r="G197" s="22">
        <f t="shared" si="3"/>
        <v>1.08</v>
      </c>
      <c r="H197" s="22">
        <v>0.77</v>
      </c>
      <c r="I197" s="22">
        <v>1.08</v>
      </c>
    </row>
    <row r="198" spans="1:9" x14ac:dyDescent="0.3">
      <c r="A198" s="4" t="s">
        <v>305</v>
      </c>
      <c r="B198" s="4" t="s">
        <v>305</v>
      </c>
      <c r="C198" s="4" t="s">
        <v>507</v>
      </c>
      <c r="D198" s="4" t="s">
        <v>300</v>
      </c>
      <c r="E198" s="6">
        <v>0</v>
      </c>
      <c r="F198" s="22">
        <v>1.0695929810335758</v>
      </c>
      <c r="G198" s="22">
        <f t="shared" si="3"/>
        <v>1.07</v>
      </c>
      <c r="H198" s="22">
        <v>1.5</v>
      </c>
      <c r="I198" s="22">
        <v>1.5</v>
      </c>
    </row>
    <row r="199" spans="1:9" x14ac:dyDescent="0.3">
      <c r="A199" s="4" t="s">
        <v>310</v>
      </c>
      <c r="B199" s="4" t="s">
        <v>322</v>
      </c>
      <c r="C199" s="4" t="s">
        <v>508</v>
      </c>
      <c r="D199" s="4" t="s">
        <v>300</v>
      </c>
      <c r="E199" s="6">
        <v>0</v>
      </c>
      <c r="F199" s="22">
        <v>0.75</v>
      </c>
      <c r="G199" s="22">
        <f t="shared" si="3"/>
        <v>0.75</v>
      </c>
      <c r="H199" s="22">
        <v>0.89999999999999991</v>
      </c>
      <c r="I199" s="22">
        <v>0.78</v>
      </c>
    </row>
    <row r="200" spans="1:9" x14ac:dyDescent="0.3">
      <c r="A200" s="4" t="s">
        <v>313</v>
      </c>
      <c r="B200" s="4" t="s">
        <v>314</v>
      </c>
      <c r="C200" s="4" t="s">
        <v>509</v>
      </c>
      <c r="D200" s="4" t="s">
        <v>300</v>
      </c>
      <c r="E200" s="6">
        <v>0</v>
      </c>
      <c r="F200" s="22">
        <v>1.1293101042611049</v>
      </c>
      <c r="G200" s="22">
        <f t="shared" si="3"/>
        <v>1.1299999999999999</v>
      </c>
      <c r="H200" s="22">
        <v>1.3899999999999997</v>
      </c>
      <c r="I200" s="22">
        <v>1.03</v>
      </c>
    </row>
    <row r="201" spans="1:9" x14ac:dyDescent="0.3">
      <c r="A201" s="4" t="s">
        <v>305</v>
      </c>
      <c r="B201" s="4" t="s">
        <v>339</v>
      </c>
      <c r="C201" s="4" t="s">
        <v>510</v>
      </c>
      <c r="D201" s="4" t="s">
        <v>300</v>
      </c>
      <c r="E201" s="6">
        <v>0</v>
      </c>
      <c r="F201" s="22">
        <v>1.0393769582170165</v>
      </c>
      <c r="G201" s="22">
        <f t="shared" si="3"/>
        <v>1.04</v>
      </c>
      <c r="H201" s="22">
        <v>1.2199999999999998</v>
      </c>
      <c r="I201" s="22">
        <v>1.18</v>
      </c>
    </row>
    <row r="202" spans="1:9" x14ac:dyDescent="0.3">
      <c r="A202" s="4" t="s">
        <v>295</v>
      </c>
      <c r="B202" s="4" t="s">
        <v>296</v>
      </c>
      <c r="C202" s="4" t="s">
        <v>511</v>
      </c>
      <c r="D202" s="4" t="s">
        <v>338</v>
      </c>
      <c r="E202" s="6">
        <v>0</v>
      </c>
      <c r="F202" s="22">
        <v>0.95234442758594562</v>
      </c>
      <c r="G202" s="22">
        <f t="shared" si="3"/>
        <v>0.95</v>
      </c>
      <c r="H202" s="22">
        <v>0.85000000000000009</v>
      </c>
      <c r="I202" s="22">
        <v>0.83</v>
      </c>
    </row>
    <row r="203" spans="1:9" x14ac:dyDescent="0.3">
      <c r="A203" s="4" t="s">
        <v>305</v>
      </c>
      <c r="B203" s="4" t="s">
        <v>320</v>
      </c>
      <c r="C203" s="4" t="s">
        <v>512</v>
      </c>
      <c r="D203" s="4" t="s">
        <v>300</v>
      </c>
      <c r="E203" s="6">
        <v>0</v>
      </c>
      <c r="F203" s="22">
        <v>0.93176898633170002</v>
      </c>
      <c r="G203" s="22">
        <f t="shared" si="3"/>
        <v>0.93</v>
      </c>
      <c r="H203" s="22">
        <v>0.78</v>
      </c>
      <c r="I203" s="22">
        <v>0.81</v>
      </c>
    </row>
    <row r="204" spans="1:9" x14ac:dyDescent="0.3">
      <c r="A204" s="4" t="s">
        <v>313</v>
      </c>
      <c r="B204" s="4" t="s">
        <v>364</v>
      </c>
      <c r="C204" s="7" t="s">
        <v>364</v>
      </c>
      <c r="D204" s="8" t="s">
        <v>297</v>
      </c>
      <c r="E204" s="9">
        <v>0.1</v>
      </c>
      <c r="F204" s="22">
        <v>1.025203845339123</v>
      </c>
      <c r="G204" s="22">
        <f t="shared" si="3"/>
        <v>1.03</v>
      </c>
      <c r="H204" s="22">
        <v>1.27</v>
      </c>
      <c r="I204" s="22">
        <v>1.47</v>
      </c>
    </row>
    <row r="205" spans="1:9" x14ac:dyDescent="0.3">
      <c r="A205" s="4" t="s">
        <v>295</v>
      </c>
      <c r="B205" s="4" t="s">
        <v>298</v>
      </c>
      <c r="C205" s="4" t="s">
        <v>513</v>
      </c>
      <c r="D205" s="4" t="s">
        <v>300</v>
      </c>
      <c r="E205" s="6">
        <v>0</v>
      </c>
      <c r="F205" s="22">
        <v>1.0274790635136197</v>
      </c>
      <c r="G205" s="22">
        <f t="shared" si="3"/>
        <v>1.03</v>
      </c>
      <c r="H205" s="22">
        <v>1.1299999999999999</v>
      </c>
      <c r="I205" s="22">
        <v>1.2</v>
      </c>
    </row>
    <row r="206" spans="1:9" x14ac:dyDescent="0.3">
      <c r="A206" s="4" t="s">
        <v>313</v>
      </c>
      <c r="B206" s="4" t="s">
        <v>330</v>
      </c>
      <c r="C206" s="4" t="s">
        <v>514</v>
      </c>
      <c r="D206" s="4" t="s">
        <v>333</v>
      </c>
      <c r="E206" s="6">
        <v>0</v>
      </c>
      <c r="F206" s="22">
        <v>1.078698969455395</v>
      </c>
      <c r="G206" s="22">
        <f t="shared" si="3"/>
        <v>1.08</v>
      </c>
      <c r="H206" s="22">
        <v>1.0300000000000002</v>
      </c>
      <c r="I206" s="22">
        <v>0.89</v>
      </c>
    </row>
    <row r="207" spans="1:9" x14ac:dyDescent="0.3">
      <c r="A207" s="4" t="s">
        <v>313</v>
      </c>
      <c r="B207" s="4" t="s">
        <v>318</v>
      </c>
      <c r="C207" s="4" t="s">
        <v>515</v>
      </c>
      <c r="D207" s="4" t="s">
        <v>300</v>
      </c>
      <c r="E207" s="6">
        <v>0</v>
      </c>
      <c r="F207" s="22">
        <v>0.88382314364271364</v>
      </c>
      <c r="G207" s="22">
        <f t="shared" si="3"/>
        <v>0.88</v>
      </c>
      <c r="H207" s="22">
        <v>0.75</v>
      </c>
      <c r="I207" s="22">
        <v>0.75</v>
      </c>
    </row>
    <row r="208" spans="1:9" x14ac:dyDescent="0.3">
      <c r="A208" s="4" t="s">
        <v>301</v>
      </c>
      <c r="B208" s="4" t="s">
        <v>307</v>
      </c>
      <c r="C208" s="10" t="s">
        <v>516</v>
      </c>
      <c r="D208" s="10" t="s">
        <v>309</v>
      </c>
      <c r="E208" s="11">
        <v>0.05</v>
      </c>
      <c r="F208" s="22">
        <v>1.0807222382311419</v>
      </c>
      <c r="G208" s="22">
        <f t="shared" si="3"/>
        <v>1.08</v>
      </c>
      <c r="H208" s="22">
        <v>1.1000000000000001</v>
      </c>
      <c r="I208" s="22">
        <v>1.1000000000000001</v>
      </c>
    </row>
    <row r="209" spans="1:9" x14ac:dyDescent="0.3">
      <c r="A209" s="4" t="s">
        <v>295</v>
      </c>
      <c r="B209" s="4" t="s">
        <v>360</v>
      </c>
      <c r="C209" s="4" t="s">
        <v>360</v>
      </c>
      <c r="D209" s="4" t="s">
        <v>304</v>
      </c>
      <c r="E209" s="6">
        <v>0</v>
      </c>
      <c r="F209" s="22">
        <v>0.96255924914845548</v>
      </c>
      <c r="G209" s="22">
        <f t="shared" si="3"/>
        <v>0.96</v>
      </c>
      <c r="H209" s="22">
        <v>0.83999999999999986</v>
      </c>
      <c r="I209" s="22">
        <v>0.77</v>
      </c>
    </row>
    <row r="210" spans="1:9" x14ac:dyDescent="0.3">
      <c r="A210" s="4" t="s">
        <v>313</v>
      </c>
      <c r="B210" s="4" t="s">
        <v>364</v>
      </c>
      <c r="C210" s="4" t="s">
        <v>517</v>
      </c>
      <c r="D210" s="4" t="s">
        <v>300</v>
      </c>
      <c r="E210" s="6">
        <v>0</v>
      </c>
      <c r="F210" s="22">
        <v>0.96882345298133066</v>
      </c>
      <c r="G210" s="22">
        <f t="shared" si="3"/>
        <v>0.97</v>
      </c>
      <c r="H210" s="22">
        <v>1.1299999999999999</v>
      </c>
      <c r="I210" s="22">
        <v>1.18</v>
      </c>
    </row>
    <row r="211" spans="1:9" x14ac:dyDescent="0.3">
      <c r="A211" s="4" t="s">
        <v>301</v>
      </c>
      <c r="B211" s="4" t="s">
        <v>302</v>
      </c>
      <c r="C211" s="4" t="s">
        <v>518</v>
      </c>
      <c r="D211" s="4" t="s">
        <v>300</v>
      </c>
      <c r="E211" s="6">
        <v>0</v>
      </c>
      <c r="F211" s="22">
        <v>1.223817346876912</v>
      </c>
      <c r="G211" s="22">
        <f t="shared" si="3"/>
        <v>1.22</v>
      </c>
      <c r="H211" s="22">
        <v>1.31</v>
      </c>
      <c r="I211" s="22">
        <v>1.1200000000000001</v>
      </c>
    </row>
    <row r="212" spans="1:9" x14ac:dyDescent="0.3">
      <c r="A212" s="4" t="s">
        <v>310</v>
      </c>
      <c r="B212" s="4" t="s">
        <v>322</v>
      </c>
      <c r="C212" s="4" t="s">
        <v>749</v>
      </c>
      <c r="D212" s="4" t="s">
        <v>300</v>
      </c>
      <c r="E212" s="6">
        <v>0</v>
      </c>
      <c r="F212" s="22">
        <v>0.75</v>
      </c>
      <c r="G212" s="22">
        <f t="shared" si="3"/>
        <v>0.75</v>
      </c>
      <c r="H212" s="22">
        <v>0.85000000000000009</v>
      </c>
      <c r="I212" s="22">
        <v>0.75</v>
      </c>
    </row>
    <row r="213" spans="1:9" x14ac:dyDescent="0.3">
      <c r="A213" s="4" t="s">
        <v>305</v>
      </c>
      <c r="B213" s="4" t="s">
        <v>320</v>
      </c>
      <c r="C213" s="4" t="s">
        <v>519</v>
      </c>
      <c r="D213" s="4" t="s">
        <v>333</v>
      </c>
      <c r="E213" s="6">
        <v>0</v>
      </c>
      <c r="F213" s="22">
        <v>0.92622737849016323</v>
      </c>
      <c r="G213" s="22">
        <f t="shared" si="3"/>
        <v>0.93</v>
      </c>
      <c r="H213" s="22">
        <v>0.93000000000000016</v>
      </c>
      <c r="I213" s="22">
        <v>0.95</v>
      </c>
    </row>
    <row r="214" spans="1:9" x14ac:dyDescent="0.3">
      <c r="A214" s="4" t="s">
        <v>301</v>
      </c>
      <c r="B214" s="4" t="s">
        <v>307</v>
      </c>
      <c r="C214" s="10" t="s">
        <v>520</v>
      </c>
      <c r="D214" s="10" t="s">
        <v>309</v>
      </c>
      <c r="E214" s="11">
        <v>0.05</v>
      </c>
      <c r="F214" s="22">
        <v>1.3301126240268135</v>
      </c>
      <c r="G214" s="22">
        <f t="shared" si="3"/>
        <v>1.33</v>
      </c>
      <c r="H214" s="22">
        <v>1.2800000000000002</v>
      </c>
      <c r="I214" s="22">
        <v>1.1000000000000001</v>
      </c>
    </row>
    <row r="215" spans="1:9" x14ac:dyDescent="0.3">
      <c r="A215" s="4" t="s">
        <v>310</v>
      </c>
      <c r="B215" s="4" t="s">
        <v>350</v>
      </c>
      <c r="C215" s="4" t="s">
        <v>521</v>
      </c>
      <c r="D215" s="4" t="s">
        <v>300</v>
      </c>
      <c r="E215" s="6">
        <v>0</v>
      </c>
      <c r="F215" s="22">
        <v>0.75</v>
      </c>
      <c r="G215" s="22">
        <f t="shared" si="3"/>
        <v>0.75</v>
      </c>
      <c r="H215" s="22">
        <v>0.83999999999999986</v>
      </c>
      <c r="I215" s="22">
        <v>0.75</v>
      </c>
    </row>
    <row r="216" spans="1:9" x14ac:dyDescent="0.3">
      <c r="A216" s="4" t="s">
        <v>310</v>
      </c>
      <c r="B216" s="4" t="s">
        <v>350</v>
      </c>
      <c r="C216" s="4" t="s">
        <v>750</v>
      </c>
      <c r="D216" s="4" t="s">
        <v>338</v>
      </c>
      <c r="E216" s="6">
        <v>0</v>
      </c>
      <c r="F216" s="22">
        <v>0.75</v>
      </c>
      <c r="G216" s="22">
        <f t="shared" si="3"/>
        <v>0.75</v>
      </c>
      <c r="H216" s="22">
        <v>0.83999999999999986</v>
      </c>
      <c r="I216" s="22">
        <v>0.75</v>
      </c>
    </row>
    <row r="217" spans="1:9" x14ac:dyDescent="0.3">
      <c r="A217" s="4" t="s">
        <v>301</v>
      </c>
      <c r="B217" s="4" t="s">
        <v>307</v>
      </c>
      <c r="C217" s="10" t="s">
        <v>522</v>
      </c>
      <c r="D217" s="10" t="s">
        <v>309</v>
      </c>
      <c r="E217" s="11">
        <v>0.05</v>
      </c>
      <c r="F217" s="22">
        <v>1.1129730402020714</v>
      </c>
      <c r="G217" s="22">
        <f t="shared" si="3"/>
        <v>1.1100000000000001</v>
      </c>
      <c r="H217" s="22">
        <v>1.1000000000000001</v>
      </c>
      <c r="I217" s="22">
        <v>1.1000000000000001</v>
      </c>
    </row>
    <row r="218" spans="1:9" x14ac:dyDescent="0.3">
      <c r="A218" s="4" t="s">
        <v>313</v>
      </c>
      <c r="B218" s="4" t="s">
        <v>318</v>
      </c>
      <c r="C218" s="4" t="s">
        <v>523</v>
      </c>
      <c r="D218" s="4" t="s">
        <v>300</v>
      </c>
      <c r="E218" s="6">
        <v>0</v>
      </c>
      <c r="F218" s="22">
        <v>0.92637061875747262</v>
      </c>
      <c r="G218" s="22">
        <f t="shared" si="3"/>
        <v>0.93</v>
      </c>
      <c r="H218" s="22">
        <v>0.87000000000000011</v>
      </c>
      <c r="I218" s="22">
        <v>1.27</v>
      </c>
    </row>
    <row r="219" spans="1:9" x14ac:dyDescent="0.3">
      <c r="A219" s="4" t="s">
        <v>313</v>
      </c>
      <c r="B219" s="4" t="s">
        <v>422</v>
      </c>
      <c r="C219" s="4" t="s">
        <v>524</v>
      </c>
      <c r="D219" s="4" t="s">
        <v>338</v>
      </c>
      <c r="E219" s="6">
        <v>0</v>
      </c>
      <c r="F219" s="22">
        <v>0.82639914362309475</v>
      </c>
      <c r="G219" s="22">
        <f t="shared" si="3"/>
        <v>0.83</v>
      </c>
      <c r="H219" s="22">
        <v>0.75</v>
      </c>
      <c r="I219" s="22">
        <v>0.75</v>
      </c>
    </row>
    <row r="220" spans="1:9" x14ac:dyDescent="0.3">
      <c r="A220" s="4" t="s">
        <v>305</v>
      </c>
      <c r="B220" s="4" t="s">
        <v>339</v>
      </c>
      <c r="C220" s="4" t="s">
        <v>525</v>
      </c>
      <c r="D220" s="4" t="s">
        <v>300</v>
      </c>
      <c r="E220" s="6">
        <v>0</v>
      </c>
      <c r="F220" s="22">
        <v>0.99053330599542933</v>
      </c>
      <c r="G220" s="22">
        <f t="shared" si="3"/>
        <v>0.99</v>
      </c>
      <c r="H220" s="22">
        <v>0.99</v>
      </c>
      <c r="I220" s="22">
        <v>0.86</v>
      </c>
    </row>
    <row r="221" spans="1:9" x14ac:dyDescent="0.3">
      <c r="A221" s="4" t="s">
        <v>305</v>
      </c>
      <c r="B221" s="4" t="s">
        <v>339</v>
      </c>
      <c r="C221" s="4" t="s">
        <v>751</v>
      </c>
      <c r="D221" s="4" t="s">
        <v>300</v>
      </c>
      <c r="E221" s="6">
        <v>0</v>
      </c>
      <c r="F221" s="22">
        <v>1.0954337810424042</v>
      </c>
      <c r="G221" s="22">
        <f t="shared" si="3"/>
        <v>1.1000000000000001</v>
      </c>
      <c r="H221" s="22">
        <v>1.42</v>
      </c>
      <c r="I221" s="22">
        <v>1.24</v>
      </c>
    </row>
    <row r="222" spans="1:9" x14ac:dyDescent="0.3">
      <c r="A222" s="4" t="s">
        <v>305</v>
      </c>
      <c r="B222" s="4" t="s">
        <v>305</v>
      </c>
      <c r="C222" s="4" t="s">
        <v>526</v>
      </c>
      <c r="D222" s="4" t="s">
        <v>300</v>
      </c>
      <c r="E222" s="6">
        <v>0</v>
      </c>
      <c r="F222" s="22">
        <v>1.1387140835961664</v>
      </c>
      <c r="G222" s="22">
        <f t="shared" si="3"/>
        <v>1.1399999999999999</v>
      </c>
      <c r="H222" s="22">
        <v>1.1200000000000001</v>
      </c>
      <c r="I222" s="22">
        <v>1.1000000000000001</v>
      </c>
    </row>
    <row r="223" spans="1:9" x14ac:dyDescent="0.3">
      <c r="A223" s="4" t="s">
        <v>305</v>
      </c>
      <c r="B223" s="4" t="s">
        <v>320</v>
      </c>
      <c r="C223" s="4" t="s">
        <v>527</v>
      </c>
      <c r="D223" s="4" t="s">
        <v>300</v>
      </c>
      <c r="E223" s="6">
        <v>0</v>
      </c>
      <c r="F223" s="22">
        <v>0.86751293713380051</v>
      </c>
      <c r="G223" s="22">
        <f t="shared" si="3"/>
        <v>0.87</v>
      </c>
      <c r="H223" s="22">
        <v>1.21</v>
      </c>
      <c r="I223" s="22">
        <v>1.1200000000000001</v>
      </c>
    </row>
    <row r="224" spans="1:9" x14ac:dyDescent="0.3">
      <c r="A224" s="4" t="s">
        <v>305</v>
      </c>
      <c r="B224" s="4" t="s">
        <v>320</v>
      </c>
      <c r="C224" s="4" t="s">
        <v>528</v>
      </c>
      <c r="D224" s="4" t="s">
        <v>300</v>
      </c>
      <c r="E224" s="6">
        <v>0</v>
      </c>
      <c r="F224" s="22">
        <v>0.8671868097394797</v>
      </c>
      <c r="G224" s="22">
        <f t="shared" si="3"/>
        <v>0.87</v>
      </c>
      <c r="H224" s="22">
        <v>0.87000000000000011</v>
      </c>
      <c r="I224" s="22">
        <v>0.78</v>
      </c>
    </row>
    <row r="225" spans="1:9" x14ac:dyDescent="0.3">
      <c r="A225" s="4" t="s">
        <v>310</v>
      </c>
      <c r="B225" s="4" t="s">
        <v>311</v>
      </c>
      <c r="C225" s="4" t="s">
        <v>529</v>
      </c>
      <c r="D225" s="4" t="s">
        <v>300</v>
      </c>
      <c r="E225" s="6">
        <v>0</v>
      </c>
      <c r="F225" s="22">
        <v>0.75</v>
      </c>
      <c r="G225" s="22">
        <f t="shared" si="3"/>
        <v>0.75</v>
      </c>
      <c r="H225" s="22">
        <v>0.75</v>
      </c>
      <c r="I225" s="22">
        <v>0.75</v>
      </c>
    </row>
    <row r="226" spans="1:9" x14ac:dyDescent="0.3">
      <c r="A226" s="4" t="s">
        <v>305</v>
      </c>
      <c r="B226" s="4" t="s">
        <v>320</v>
      </c>
      <c r="C226" s="4" t="s">
        <v>530</v>
      </c>
      <c r="D226" s="4" t="s">
        <v>300</v>
      </c>
      <c r="E226" s="6">
        <v>0</v>
      </c>
      <c r="F226" s="22">
        <v>1.0118658743768825</v>
      </c>
      <c r="G226" s="22">
        <f t="shared" si="3"/>
        <v>1.01</v>
      </c>
      <c r="H226" s="22">
        <v>0.81999999999999984</v>
      </c>
      <c r="I226" s="22">
        <v>1.1399999999999999</v>
      </c>
    </row>
    <row r="227" spans="1:9" x14ac:dyDescent="0.3">
      <c r="A227" s="4" t="s">
        <v>313</v>
      </c>
      <c r="B227" s="4" t="s">
        <v>428</v>
      </c>
      <c r="C227" s="7" t="s">
        <v>428</v>
      </c>
      <c r="D227" s="8" t="s">
        <v>297</v>
      </c>
      <c r="E227" s="9">
        <v>0.1</v>
      </c>
      <c r="F227" s="22">
        <v>0.92037882721867714</v>
      </c>
      <c r="G227" s="22">
        <f t="shared" si="3"/>
        <v>0.92</v>
      </c>
      <c r="H227" s="22">
        <v>1.02</v>
      </c>
      <c r="I227" s="22">
        <v>0.92</v>
      </c>
    </row>
    <row r="228" spans="1:9" x14ac:dyDescent="0.3">
      <c r="A228" s="4" t="s">
        <v>295</v>
      </c>
      <c r="B228" s="4" t="s">
        <v>360</v>
      </c>
      <c r="C228" s="4" t="s">
        <v>531</v>
      </c>
      <c r="D228" s="4" t="s">
        <v>304</v>
      </c>
      <c r="E228" s="6">
        <v>0</v>
      </c>
      <c r="F228" s="22">
        <v>0.746201220032221</v>
      </c>
      <c r="G228" s="22">
        <f t="shared" si="3"/>
        <v>0.75</v>
      </c>
      <c r="H228" s="22">
        <v>0.75</v>
      </c>
      <c r="I228" s="22">
        <v>0.75</v>
      </c>
    </row>
    <row r="229" spans="1:9" x14ac:dyDescent="0.3">
      <c r="A229" s="4" t="s">
        <v>301</v>
      </c>
      <c r="B229" s="4" t="s">
        <v>307</v>
      </c>
      <c r="C229" s="10" t="s">
        <v>532</v>
      </c>
      <c r="D229" s="10" t="s">
        <v>309</v>
      </c>
      <c r="E229" s="11">
        <v>0.05</v>
      </c>
      <c r="F229" s="22">
        <v>1.0450093701565799</v>
      </c>
      <c r="G229" s="22">
        <f t="shared" si="3"/>
        <v>1.05</v>
      </c>
      <c r="H229" s="22">
        <v>1.1000000000000001</v>
      </c>
      <c r="I229" s="22">
        <v>1.1000000000000001</v>
      </c>
    </row>
    <row r="230" spans="1:9" x14ac:dyDescent="0.3">
      <c r="A230" s="4" t="s">
        <v>301</v>
      </c>
      <c r="B230" s="4" t="s">
        <v>302</v>
      </c>
      <c r="C230" s="4" t="s">
        <v>533</v>
      </c>
      <c r="D230" s="4" t="s">
        <v>300</v>
      </c>
      <c r="E230" s="6">
        <v>0</v>
      </c>
      <c r="F230" s="22">
        <v>1.0380929115350632</v>
      </c>
      <c r="G230" s="22">
        <f t="shared" si="3"/>
        <v>1.04</v>
      </c>
      <c r="H230" s="22">
        <v>1.0300000000000002</v>
      </c>
      <c r="I230" s="22">
        <v>0.87</v>
      </c>
    </row>
    <row r="231" spans="1:9" x14ac:dyDescent="0.3">
      <c r="A231" s="4" t="s">
        <v>313</v>
      </c>
      <c r="B231" s="4" t="s">
        <v>318</v>
      </c>
      <c r="C231" s="4" t="s">
        <v>534</v>
      </c>
      <c r="D231" s="4" t="s">
        <v>300</v>
      </c>
      <c r="E231" s="6">
        <v>0</v>
      </c>
      <c r="F231" s="22">
        <v>0.93514664299209682</v>
      </c>
      <c r="G231" s="22">
        <f t="shared" si="3"/>
        <v>0.94</v>
      </c>
      <c r="H231" s="22">
        <v>1.2400000000000002</v>
      </c>
      <c r="I231" s="22">
        <v>1.29</v>
      </c>
    </row>
    <row r="232" spans="1:9" x14ac:dyDescent="0.3">
      <c r="A232" s="4" t="s">
        <v>305</v>
      </c>
      <c r="B232" s="4" t="s">
        <v>305</v>
      </c>
      <c r="C232" s="4" t="s">
        <v>535</v>
      </c>
      <c r="D232" s="4" t="s">
        <v>300</v>
      </c>
      <c r="E232" s="6">
        <v>0</v>
      </c>
      <c r="F232" s="22">
        <v>1.1407002633741279</v>
      </c>
      <c r="G232" s="22">
        <f t="shared" si="3"/>
        <v>1.1399999999999999</v>
      </c>
      <c r="H232" s="22">
        <v>0.91000000000000014</v>
      </c>
      <c r="I232" s="22">
        <v>1.23</v>
      </c>
    </row>
    <row r="233" spans="1:9" x14ac:dyDescent="0.3">
      <c r="A233" s="4" t="s">
        <v>305</v>
      </c>
      <c r="B233" s="4" t="s">
        <v>305</v>
      </c>
      <c r="C233" s="4" t="s">
        <v>536</v>
      </c>
      <c r="D233" s="4" t="s">
        <v>300</v>
      </c>
      <c r="E233" s="6">
        <v>0</v>
      </c>
      <c r="F233" s="22">
        <v>1.1570329790679039</v>
      </c>
      <c r="G233" s="22">
        <f t="shared" si="3"/>
        <v>1.1599999999999999</v>
      </c>
      <c r="H233" s="22">
        <v>1.5</v>
      </c>
      <c r="I233" s="22">
        <v>0.79</v>
      </c>
    </row>
    <row r="234" spans="1:9" x14ac:dyDescent="0.3">
      <c r="A234" s="4" t="s">
        <v>301</v>
      </c>
      <c r="B234" s="4" t="s">
        <v>302</v>
      </c>
      <c r="C234" s="4" t="s">
        <v>537</v>
      </c>
      <c r="D234" s="4" t="s">
        <v>300</v>
      </c>
      <c r="E234" s="6">
        <v>0</v>
      </c>
      <c r="F234" s="22">
        <v>0.84461751512152405</v>
      </c>
      <c r="G234" s="22">
        <f t="shared" si="3"/>
        <v>0.84</v>
      </c>
      <c r="H234" s="22">
        <v>0.8</v>
      </c>
      <c r="I234" s="22">
        <v>0.75</v>
      </c>
    </row>
    <row r="235" spans="1:9" x14ac:dyDescent="0.3">
      <c r="A235" s="4" t="s">
        <v>305</v>
      </c>
      <c r="B235" s="4" t="s">
        <v>305</v>
      </c>
      <c r="C235" s="4" t="s">
        <v>538</v>
      </c>
      <c r="D235" s="4" t="s">
        <v>300</v>
      </c>
      <c r="E235" s="6">
        <v>0</v>
      </c>
      <c r="F235" s="22">
        <v>1.2347408240833166</v>
      </c>
      <c r="G235" s="22">
        <f t="shared" si="3"/>
        <v>1.23</v>
      </c>
      <c r="H235" s="22">
        <v>1.23</v>
      </c>
      <c r="I235" s="22">
        <v>1.1100000000000001</v>
      </c>
    </row>
    <row r="236" spans="1:9" x14ac:dyDescent="0.3">
      <c r="A236" s="4" t="s">
        <v>305</v>
      </c>
      <c r="B236" s="4" t="s">
        <v>305</v>
      </c>
      <c r="C236" s="4" t="s">
        <v>539</v>
      </c>
      <c r="D236" s="4" t="s">
        <v>300</v>
      </c>
      <c r="E236" s="6">
        <v>0</v>
      </c>
      <c r="F236" s="22">
        <v>1.2402614574571404</v>
      </c>
      <c r="G236" s="22">
        <f t="shared" si="3"/>
        <v>1.24</v>
      </c>
      <c r="H236" s="22">
        <v>1.35</v>
      </c>
      <c r="I236" s="22">
        <v>1.18</v>
      </c>
    </row>
    <row r="237" spans="1:9" x14ac:dyDescent="0.3">
      <c r="A237" s="4" t="s">
        <v>301</v>
      </c>
      <c r="B237" s="4" t="s">
        <v>307</v>
      </c>
      <c r="C237" s="10" t="s">
        <v>540</v>
      </c>
      <c r="D237" s="10" t="s">
        <v>309</v>
      </c>
      <c r="E237" s="11">
        <v>0.05</v>
      </c>
      <c r="F237" s="22">
        <v>1.4730854668729871</v>
      </c>
      <c r="G237" s="22">
        <f t="shared" si="3"/>
        <v>1.47</v>
      </c>
      <c r="H237" s="22">
        <v>1.4299999999999997</v>
      </c>
      <c r="I237" s="22">
        <v>1.25</v>
      </c>
    </row>
    <row r="238" spans="1:9" x14ac:dyDescent="0.3">
      <c r="A238" s="4" t="s">
        <v>295</v>
      </c>
      <c r="B238" s="4" t="s">
        <v>345</v>
      </c>
      <c r="C238" s="4" t="s">
        <v>541</v>
      </c>
      <c r="D238" s="4" t="s">
        <v>300</v>
      </c>
      <c r="E238" s="6">
        <v>0</v>
      </c>
      <c r="F238" s="22">
        <v>0.99419488532852873</v>
      </c>
      <c r="G238" s="22">
        <f t="shared" si="3"/>
        <v>0.99</v>
      </c>
      <c r="H238" s="22">
        <v>0.81</v>
      </c>
      <c r="I238" s="22">
        <v>0.91</v>
      </c>
    </row>
    <row r="239" spans="1:9" x14ac:dyDescent="0.3">
      <c r="A239" s="4" t="s">
        <v>305</v>
      </c>
      <c r="B239" s="4" t="s">
        <v>339</v>
      </c>
      <c r="C239" s="4" t="s">
        <v>542</v>
      </c>
      <c r="D239" s="4" t="s">
        <v>333</v>
      </c>
      <c r="E239" s="6">
        <v>0</v>
      </c>
      <c r="F239" s="22">
        <v>1.1399329047992555</v>
      </c>
      <c r="G239" s="22">
        <f t="shared" si="3"/>
        <v>1.1399999999999999</v>
      </c>
      <c r="H239" s="22">
        <v>1.1399999999999997</v>
      </c>
      <c r="I239" s="22">
        <v>1.04</v>
      </c>
    </row>
    <row r="240" spans="1:9" x14ac:dyDescent="0.3">
      <c r="A240" s="4" t="s">
        <v>295</v>
      </c>
      <c r="B240" s="4" t="s">
        <v>325</v>
      </c>
      <c r="C240" s="4" t="s">
        <v>543</v>
      </c>
      <c r="D240" s="4" t="s">
        <v>300</v>
      </c>
      <c r="E240" s="6">
        <v>0</v>
      </c>
      <c r="F240" s="22">
        <v>0.86907962755749846</v>
      </c>
      <c r="G240" s="22">
        <f t="shared" si="3"/>
        <v>0.87</v>
      </c>
      <c r="H240" s="22">
        <v>0.8</v>
      </c>
      <c r="I240" s="22">
        <v>0.8</v>
      </c>
    </row>
    <row r="241" spans="1:9" x14ac:dyDescent="0.3">
      <c r="A241" s="4" t="s">
        <v>295</v>
      </c>
      <c r="B241" s="4" t="s">
        <v>296</v>
      </c>
      <c r="C241" s="4" t="s">
        <v>544</v>
      </c>
      <c r="D241" s="4" t="s">
        <v>300</v>
      </c>
      <c r="E241" s="6">
        <v>0</v>
      </c>
      <c r="F241" s="22">
        <v>0.93587051791439302</v>
      </c>
      <c r="G241" s="22">
        <f t="shared" si="3"/>
        <v>0.94</v>
      </c>
      <c r="H241" s="22">
        <v>0.91999999999999993</v>
      </c>
      <c r="I241" s="22">
        <v>0.83</v>
      </c>
    </row>
    <row r="242" spans="1:9" x14ac:dyDescent="0.3">
      <c r="A242" s="4" t="s">
        <v>295</v>
      </c>
      <c r="B242" s="4" t="s">
        <v>298</v>
      </c>
      <c r="C242" s="4" t="s">
        <v>545</v>
      </c>
      <c r="D242" s="4" t="s">
        <v>300</v>
      </c>
      <c r="E242" s="6">
        <v>0</v>
      </c>
      <c r="F242" s="22">
        <v>1.5</v>
      </c>
      <c r="G242" s="22">
        <f t="shared" si="3"/>
        <v>1.5</v>
      </c>
      <c r="H242" s="22">
        <v>1.5</v>
      </c>
      <c r="I242" s="22">
        <v>1.3</v>
      </c>
    </row>
    <row r="243" spans="1:9" x14ac:dyDescent="0.3">
      <c r="A243" s="4" t="s">
        <v>295</v>
      </c>
      <c r="B243" s="4" t="s">
        <v>345</v>
      </c>
      <c r="C243" s="7" t="s">
        <v>345</v>
      </c>
      <c r="D243" s="8" t="s">
        <v>297</v>
      </c>
      <c r="E243" s="9">
        <v>0.1</v>
      </c>
      <c r="F243" s="22">
        <v>1.0501877616060107</v>
      </c>
      <c r="G243" s="22">
        <f t="shared" si="3"/>
        <v>1.05</v>
      </c>
      <c r="H243" s="22">
        <v>0.97</v>
      </c>
      <c r="I243" s="22">
        <v>0.91</v>
      </c>
    </row>
    <row r="244" spans="1:9" x14ac:dyDescent="0.3">
      <c r="A244" s="4" t="s">
        <v>301</v>
      </c>
      <c r="B244" s="4" t="s">
        <v>307</v>
      </c>
      <c r="C244" s="10" t="s">
        <v>546</v>
      </c>
      <c r="D244" s="10" t="s">
        <v>309</v>
      </c>
      <c r="E244" s="11">
        <v>0.05</v>
      </c>
      <c r="F244" s="22">
        <v>1.2281495976044501</v>
      </c>
      <c r="G244" s="22">
        <f t="shared" si="3"/>
        <v>1.23</v>
      </c>
      <c r="H244" s="22">
        <v>1.1499999999999999</v>
      </c>
      <c r="I244" s="22">
        <v>1.1599999999999999</v>
      </c>
    </row>
    <row r="245" spans="1:9" x14ac:dyDescent="0.3">
      <c r="A245" s="4" t="s">
        <v>310</v>
      </c>
      <c r="B245" s="4" t="s">
        <v>322</v>
      </c>
      <c r="C245" s="4" t="s">
        <v>547</v>
      </c>
      <c r="D245" s="4" t="s">
        <v>304</v>
      </c>
      <c r="E245" s="6">
        <v>0</v>
      </c>
      <c r="F245" s="22">
        <v>0.8039232109650819</v>
      </c>
      <c r="G245" s="22">
        <f t="shared" si="3"/>
        <v>0.8</v>
      </c>
      <c r="H245" s="22">
        <v>0.75</v>
      </c>
      <c r="I245" s="22">
        <v>0.75</v>
      </c>
    </row>
    <row r="246" spans="1:9" x14ac:dyDescent="0.3">
      <c r="A246" s="4" t="s">
        <v>313</v>
      </c>
      <c r="B246" s="4" t="s">
        <v>316</v>
      </c>
      <c r="C246" s="4" t="s">
        <v>548</v>
      </c>
      <c r="D246" s="4" t="s">
        <v>300</v>
      </c>
      <c r="E246" s="6">
        <v>0</v>
      </c>
      <c r="F246" s="22">
        <v>0.79539529933633313</v>
      </c>
      <c r="G246" s="22">
        <f t="shared" si="3"/>
        <v>0.8</v>
      </c>
      <c r="H246" s="22">
        <v>0.83000000000000007</v>
      </c>
      <c r="I246" s="22">
        <v>0.78</v>
      </c>
    </row>
    <row r="247" spans="1:9" x14ac:dyDescent="0.3">
      <c r="A247" s="4" t="s">
        <v>305</v>
      </c>
      <c r="B247" s="4" t="s">
        <v>305</v>
      </c>
      <c r="C247" s="4" t="s">
        <v>549</v>
      </c>
      <c r="D247" s="4" t="s">
        <v>300</v>
      </c>
      <c r="E247" s="6">
        <v>0</v>
      </c>
      <c r="F247" s="22">
        <v>1.1208218394920579</v>
      </c>
      <c r="G247" s="22">
        <f t="shared" si="3"/>
        <v>1.1200000000000001</v>
      </c>
      <c r="H247" s="22">
        <v>1.4699999999999998</v>
      </c>
      <c r="I247" s="22">
        <v>1.2</v>
      </c>
    </row>
    <row r="248" spans="1:9" x14ac:dyDescent="0.3">
      <c r="A248" s="4" t="s">
        <v>313</v>
      </c>
      <c r="B248" s="4" t="s">
        <v>428</v>
      </c>
      <c r="C248" s="4" t="s">
        <v>550</v>
      </c>
      <c r="D248" s="4" t="s">
        <v>300</v>
      </c>
      <c r="E248" s="6">
        <v>0</v>
      </c>
      <c r="F248" s="22">
        <v>0.84337950995406308</v>
      </c>
      <c r="G248" s="22">
        <f t="shared" si="3"/>
        <v>0.84</v>
      </c>
      <c r="H248" s="22">
        <v>0.76</v>
      </c>
      <c r="I248" s="22">
        <v>0.75</v>
      </c>
    </row>
    <row r="249" spans="1:9" x14ac:dyDescent="0.3">
      <c r="A249" s="4" t="s">
        <v>301</v>
      </c>
      <c r="B249" s="4" t="s">
        <v>307</v>
      </c>
      <c r="C249" s="10" t="s">
        <v>551</v>
      </c>
      <c r="D249" s="10" t="s">
        <v>309</v>
      </c>
      <c r="E249" s="11">
        <v>0.05</v>
      </c>
      <c r="F249" s="22">
        <v>1.1386744367364647</v>
      </c>
      <c r="G249" s="22">
        <f t="shared" si="3"/>
        <v>1.1399999999999999</v>
      </c>
      <c r="H249" s="22">
        <v>1.37</v>
      </c>
      <c r="I249" s="22">
        <v>1.5</v>
      </c>
    </row>
    <row r="250" spans="1:9" x14ac:dyDescent="0.3">
      <c r="A250" s="4" t="s">
        <v>295</v>
      </c>
      <c r="B250" s="4" t="s">
        <v>345</v>
      </c>
      <c r="C250" s="4" t="s">
        <v>552</v>
      </c>
      <c r="D250" s="4" t="s">
        <v>300</v>
      </c>
      <c r="E250" s="6">
        <v>0</v>
      </c>
      <c r="F250" s="22">
        <v>0.98988488799966212</v>
      </c>
      <c r="G250" s="22">
        <f t="shared" si="3"/>
        <v>0.99</v>
      </c>
      <c r="H250" s="22">
        <v>1.04</v>
      </c>
      <c r="I250" s="22">
        <v>0.92</v>
      </c>
    </row>
    <row r="251" spans="1:9" x14ac:dyDescent="0.3">
      <c r="A251" s="4" t="s">
        <v>295</v>
      </c>
      <c r="B251" s="4" t="s">
        <v>345</v>
      </c>
      <c r="C251" s="4" t="s">
        <v>553</v>
      </c>
      <c r="D251" s="4" t="s">
        <v>338</v>
      </c>
      <c r="E251" s="6">
        <v>0</v>
      </c>
      <c r="F251" s="22">
        <v>1.028361525874723</v>
      </c>
      <c r="G251" s="22">
        <f t="shared" si="3"/>
        <v>1.03</v>
      </c>
      <c r="H251" s="22">
        <v>0.85999999999999988</v>
      </c>
      <c r="I251" s="22">
        <v>0.84</v>
      </c>
    </row>
    <row r="252" spans="1:9" x14ac:dyDescent="0.3">
      <c r="A252" s="4" t="s">
        <v>301</v>
      </c>
      <c r="B252" s="4" t="s">
        <v>307</v>
      </c>
      <c r="C252" s="10" t="s">
        <v>554</v>
      </c>
      <c r="D252" s="10" t="s">
        <v>309</v>
      </c>
      <c r="E252" s="11">
        <v>0.05</v>
      </c>
      <c r="F252" s="22">
        <v>1.1263327529906</v>
      </c>
      <c r="G252" s="22">
        <f t="shared" si="3"/>
        <v>1.1299999999999999</v>
      </c>
      <c r="H252" s="22">
        <v>1.1299999999999999</v>
      </c>
      <c r="I252" s="22">
        <v>1.1000000000000001</v>
      </c>
    </row>
    <row r="253" spans="1:9" x14ac:dyDescent="0.3">
      <c r="A253" s="4" t="s">
        <v>301</v>
      </c>
      <c r="B253" s="4" t="s">
        <v>302</v>
      </c>
      <c r="C253" s="10" t="s">
        <v>555</v>
      </c>
      <c r="D253" s="10" t="s">
        <v>309</v>
      </c>
      <c r="E253" s="11">
        <v>0.05</v>
      </c>
      <c r="F253" s="22">
        <v>1.468454457873632</v>
      </c>
      <c r="G253" s="22">
        <f t="shared" si="3"/>
        <v>1.47</v>
      </c>
      <c r="H253" s="22">
        <v>1.5</v>
      </c>
      <c r="I253" s="22">
        <v>1.5</v>
      </c>
    </row>
    <row r="254" spans="1:9" x14ac:dyDescent="0.3">
      <c r="A254" s="4" t="s">
        <v>310</v>
      </c>
      <c r="B254" s="4" t="s">
        <v>322</v>
      </c>
      <c r="C254" s="4" t="s">
        <v>556</v>
      </c>
      <c r="D254" s="4" t="s">
        <v>300</v>
      </c>
      <c r="E254" s="6">
        <v>0</v>
      </c>
      <c r="F254" s="22">
        <v>0.78247809665931434</v>
      </c>
      <c r="G254" s="22">
        <f t="shared" si="3"/>
        <v>0.78</v>
      </c>
      <c r="H254" s="22">
        <v>0.75</v>
      </c>
      <c r="I254" s="22">
        <v>0.75</v>
      </c>
    </row>
    <row r="255" spans="1:9" x14ac:dyDescent="0.3">
      <c r="A255" s="4" t="s">
        <v>313</v>
      </c>
      <c r="B255" s="4" t="s">
        <v>318</v>
      </c>
      <c r="C255" s="4" t="s">
        <v>318</v>
      </c>
      <c r="D255" s="4" t="s">
        <v>304</v>
      </c>
      <c r="E255" s="6">
        <v>0</v>
      </c>
      <c r="F255" s="22">
        <v>0.92981094303481737</v>
      </c>
      <c r="G255" s="22">
        <f t="shared" si="3"/>
        <v>0.93</v>
      </c>
      <c r="H255" s="22">
        <v>0.75</v>
      </c>
      <c r="I255" s="22">
        <v>0.93</v>
      </c>
    </row>
    <row r="256" spans="1:9" x14ac:dyDescent="0.3">
      <c r="A256" s="4" t="s">
        <v>301</v>
      </c>
      <c r="B256" s="4" t="s">
        <v>302</v>
      </c>
      <c r="C256" s="4" t="s">
        <v>557</v>
      </c>
      <c r="D256" s="4" t="s">
        <v>300</v>
      </c>
      <c r="E256" s="6">
        <v>0</v>
      </c>
      <c r="F256" s="22">
        <v>0.85269907984588866</v>
      </c>
      <c r="G256" s="22">
        <f t="shared" si="3"/>
        <v>0.85</v>
      </c>
      <c r="H256" s="22">
        <v>0.79</v>
      </c>
      <c r="I256" s="22">
        <v>0.75</v>
      </c>
    </row>
    <row r="257" spans="1:9" x14ac:dyDescent="0.3">
      <c r="A257" s="4" t="s">
        <v>301</v>
      </c>
      <c r="B257" s="4" t="s">
        <v>302</v>
      </c>
      <c r="C257" s="4" t="s">
        <v>558</v>
      </c>
      <c r="D257" s="4" t="s">
        <v>304</v>
      </c>
      <c r="E257" s="6">
        <v>0</v>
      </c>
      <c r="F257" s="22">
        <v>0.8790795887190439</v>
      </c>
      <c r="G257" s="22">
        <f t="shared" si="3"/>
        <v>0.88</v>
      </c>
      <c r="H257" s="22">
        <v>0.83000000000000007</v>
      </c>
      <c r="I257" s="22">
        <v>0.75</v>
      </c>
    </row>
    <row r="258" spans="1:9" x14ac:dyDescent="0.3">
      <c r="A258" s="4" t="s">
        <v>310</v>
      </c>
      <c r="B258" s="4" t="s">
        <v>311</v>
      </c>
      <c r="C258" s="4" t="s">
        <v>311</v>
      </c>
      <c r="D258" s="4" t="s">
        <v>304</v>
      </c>
      <c r="E258" s="6">
        <v>0</v>
      </c>
      <c r="F258" s="22">
        <v>0.75</v>
      </c>
      <c r="G258" s="22">
        <f t="shared" ref="G258:G302" si="4">ROUND(F258, 2)</f>
        <v>0.75</v>
      </c>
      <c r="H258" s="22">
        <v>0.75</v>
      </c>
      <c r="I258" s="22">
        <v>0.75</v>
      </c>
    </row>
    <row r="259" spans="1:9" x14ac:dyDescent="0.3">
      <c r="A259" s="4" t="s">
        <v>313</v>
      </c>
      <c r="B259" s="4" t="s">
        <v>330</v>
      </c>
      <c r="C259" s="4" t="s">
        <v>559</v>
      </c>
      <c r="D259" s="4" t="s">
        <v>338</v>
      </c>
      <c r="E259" s="6">
        <v>0</v>
      </c>
      <c r="F259" s="22">
        <v>0.95009223016869504</v>
      </c>
      <c r="G259" s="22">
        <f t="shared" si="4"/>
        <v>0.95</v>
      </c>
      <c r="H259" s="22">
        <v>0.97</v>
      </c>
      <c r="I259" s="22">
        <v>0.94</v>
      </c>
    </row>
    <row r="260" spans="1:9" x14ac:dyDescent="0.3">
      <c r="A260" s="4" t="s">
        <v>301</v>
      </c>
      <c r="B260" s="4" t="s">
        <v>302</v>
      </c>
      <c r="C260" s="4" t="s">
        <v>560</v>
      </c>
      <c r="D260" s="4" t="s">
        <v>300</v>
      </c>
      <c r="E260" s="6">
        <v>0</v>
      </c>
      <c r="F260" s="22">
        <v>0.95716983409093503</v>
      </c>
      <c r="G260" s="22">
        <f t="shared" si="4"/>
        <v>0.96</v>
      </c>
      <c r="H260" s="22">
        <v>0.93000000000000016</v>
      </c>
      <c r="I260" s="22">
        <v>0.9</v>
      </c>
    </row>
    <row r="261" spans="1:9" x14ac:dyDescent="0.3">
      <c r="A261" s="4" t="s">
        <v>305</v>
      </c>
      <c r="B261" s="4" t="s">
        <v>320</v>
      </c>
      <c r="C261" s="7" t="s">
        <v>320</v>
      </c>
      <c r="D261" s="8" t="s">
        <v>297</v>
      </c>
      <c r="E261" s="9">
        <v>0.1</v>
      </c>
      <c r="F261" s="22">
        <v>0.97438808158011381</v>
      </c>
      <c r="G261" s="22">
        <f t="shared" si="4"/>
        <v>0.97</v>
      </c>
      <c r="H261" s="22">
        <v>1</v>
      </c>
      <c r="I261" s="22">
        <v>0.98</v>
      </c>
    </row>
    <row r="262" spans="1:9" x14ac:dyDescent="0.3">
      <c r="A262" s="4" t="s">
        <v>313</v>
      </c>
      <c r="B262" s="4" t="s">
        <v>314</v>
      </c>
      <c r="C262" s="4" t="s">
        <v>314</v>
      </c>
      <c r="D262" s="4" t="s">
        <v>338</v>
      </c>
      <c r="E262" s="6">
        <v>0</v>
      </c>
      <c r="F262" s="22">
        <v>0.96523605164380211</v>
      </c>
      <c r="G262" s="22">
        <f t="shared" si="4"/>
        <v>0.97</v>
      </c>
      <c r="H262" s="22">
        <v>1.2800000000000002</v>
      </c>
      <c r="I262" s="22">
        <v>1.18</v>
      </c>
    </row>
    <row r="263" spans="1:9" x14ac:dyDescent="0.3">
      <c r="A263" s="4" t="s">
        <v>301</v>
      </c>
      <c r="B263" s="4" t="s">
        <v>307</v>
      </c>
      <c r="C263" s="10" t="s">
        <v>561</v>
      </c>
      <c r="D263" s="10" t="s">
        <v>309</v>
      </c>
      <c r="E263" s="11">
        <v>0.05</v>
      </c>
      <c r="F263" s="22">
        <v>1.2683838702952561</v>
      </c>
      <c r="G263" s="22">
        <f t="shared" si="4"/>
        <v>1.27</v>
      </c>
      <c r="H263" s="22">
        <v>1.23</v>
      </c>
      <c r="I263" s="22">
        <v>1.21</v>
      </c>
    </row>
    <row r="264" spans="1:9" x14ac:dyDescent="0.3">
      <c r="A264" s="4" t="s">
        <v>313</v>
      </c>
      <c r="B264" s="4" t="s">
        <v>422</v>
      </c>
      <c r="C264" s="4" t="s">
        <v>562</v>
      </c>
      <c r="D264" s="4" t="s">
        <v>300</v>
      </c>
      <c r="E264" s="6">
        <v>0</v>
      </c>
      <c r="F264" s="22">
        <v>0.80327607190027284</v>
      </c>
      <c r="G264" s="22">
        <f t="shared" si="4"/>
        <v>0.8</v>
      </c>
      <c r="H264" s="22">
        <v>0.75</v>
      </c>
      <c r="I264" s="22">
        <v>0.75</v>
      </c>
    </row>
    <row r="265" spans="1:9" x14ac:dyDescent="0.3">
      <c r="A265" s="4" t="s">
        <v>310</v>
      </c>
      <c r="B265" s="4" t="s">
        <v>311</v>
      </c>
      <c r="C265" s="4" t="s">
        <v>563</v>
      </c>
      <c r="D265" s="4" t="s">
        <v>300</v>
      </c>
      <c r="E265" s="6">
        <v>0</v>
      </c>
      <c r="F265" s="22">
        <v>0.76572026431505891</v>
      </c>
      <c r="G265" s="22">
        <f t="shared" si="4"/>
        <v>0.77</v>
      </c>
      <c r="H265" s="22">
        <v>0.89999999999999991</v>
      </c>
      <c r="I265" s="22">
        <v>0.79</v>
      </c>
    </row>
    <row r="266" spans="1:9" x14ac:dyDescent="0.3">
      <c r="A266" s="4" t="s">
        <v>305</v>
      </c>
      <c r="B266" s="4" t="s">
        <v>320</v>
      </c>
      <c r="C266" s="4" t="s">
        <v>564</v>
      </c>
      <c r="D266" s="4" t="s">
        <v>300</v>
      </c>
      <c r="E266" s="6">
        <v>0</v>
      </c>
      <c r="F266" s="22">
        <v>0.99309884149741945</v>
      </c>
      <c r="G266" s="22">
        <f t="shared" si="4"/>
        <v>0.99</v>
      </c>
      <c r="H266" s="22">
        <v>1.1399999999999997</v>
      </c>
      <c r="I266" s="22">
        <v>0.92</v>
      </c>
    </row>
    <row r="267" spans="1:9" x14ac:dyDescent="0.3">
      <c r="A267" s="4" t="s">
        <v>305</v>
      </c>
      <c r="B267" s="4" t="s">
        <v>320</v>
      </c>
      <c r="C267" s="4" t="s">
        <v>565</v>
      </c>
      <c r="D267" s="4" t="s">
        <v>333</v>
      </c>
      <c r="E267" s="6">
        <v>0</v>
      </c>
      <c r="F267" s="22">
        <v>0.98746515062689788</v>
      </c>
      <c r="G267" s="22">
        <f t="shared" si="4"/>
        <v>0.99</v>
      </c>
      <c r="H267" s="22">
        <v>1.3899999999999997</v>
      </c>
      <c r="I267" s="22">
        <v>1.21</v>
      </c>
    </row>
    <row r="268" spans="1:9" x14ac:dyDescent="0.3">
      <c r="A268" s="4" t="s">
        <v>295</v>
      </c>
      <c r="B268" s="4" t="s">
        <v>341</v>
      </c>
      <c r="C268" s="4" t="s">
        <v>566</v>
      </c>
      <c r="D268" s="4" t="s">
        <v>300</v>
      </c>
      <c r="E268" s="6">
        <v>0</v>
      </c>
      <c r="F268" s="22">
        <v>1.0746242954228225</v>
      </c>
      <c r="G268" s="22">
        <f t="shared" si="4"/>
        <v>1.07</v>
      </c>
      <c r="H268" s="22">
        <v>0.87000000000000011</v>
      </c>
      <c r="I268" s="22">
        <v>0.75</v>
      </c>
    </row>
    <row r="269" spans="1:9" x14ac:dyDescent="0.3">
      <c r="A269" s="4" t="s">
        <v>295</v>
      </c>
      <c r="B269" s="4" t="s">
        <v>298</v>
      </c>
      <c r="C269" s="4" t="s">
        <v>567</v>
      </c>
      <c r="D269" s="4" t="s">
        <v>300</v>
      </c>
      <c r="E269" s="6">
        <v>0</v>
      </c>
      <c r="F269" s="22">
        <v>0.97352608211434033</v>
      </c>
      <c r="G269" s="22">
        <f t="shared" si="4"/>
        <v>0.97</v>
      </c>
      <c r="H269" s="22">
        <v>1.04</v>
      </c>
      <c r="I269" s="22">
        <v>0.88</v>
      </c>
    </row>
    <row r="270" spans="1:9" x14ac:dyDescent="0.3">
      <c r="A270" s="4" t="s">
        <v>313</v>
      </c>
      <c r="B270" s="4" t="s">
        <v>316</v>
      </c>
      <c r="C270" s="4" t="s">
        <v>568</v>
      </c>
      <c r="D270" s="4" t="s">
        <v>304</v>
      </c>
      <c r="E270" s="6">
        <v>0</v>
      </c>
      <c r="F270" s="22">
        <v>0.95039917359864412</v>
      </c>
      <c r="G270" s="22">
        <f t="shared" si="4"/>
        <v>0.95</v>
      </c>
      <c r="H270" s="22">
        <v>1.08</v>
      </c>
      <c r="I270" s="22">
        <v>0.91</v>
      </c>
    </row>
    <row r="271" spans="1:9" x14ac:dyDescent="0.3">
      <c r="A271" s="4" t="s">
        <v>310</v>
      </c>
      <c r="B271" s="4" t="s">
        <v>311</v>
      </c>
      <c r="C271" s="4" t="s">
        <v>569</v>
      </c>
      <c r="D271" s="4" t="s">
        <v>300</v>
      </c>
      <c r="E271" s="6">
        <v>0</v>
      </c>
      <c r="F271" s="22">
        <v>0.74968247010022504</v>
      </c>
      <c r="G271" s="22">
        <f t="shared" si="4"/>
        <v>0.75</v>
      </c>
      <c r="H271" s="22">
        <v>0.8</v>
      </c>
      <c r="I271" s="22">
        <v>0.75</v>
      </c>
    </row>
    <row r="272" spans="1:9" x14ac:dyDescent="0.3">
      <c r="A272" s="4" t="s">
        <v>301</v>
      </c>
      <c r="B272" s="4" t="s">
        <v>307</v>
      </c>
      <c r="C272" s="10" t="s">
        <v>570</v>
      </c>
      <c r="D272" s="10" t="s">
        <v>309</v>
      </c>
      <c r="E272" s="11">
        <v>0.05</v>
      </c>
      <c r="F272" s="22">
        <v>1.4401529947013796</v>
      </c>
      <c r="G272" s="22">
        <f t="shared" si="4"/>
        <v>1.44</v>
      </c>
      <c r="H272" s="22">
        <v>1.5</v>
      </c>
      <c r="I272" s="22">
        <v>1.5</v>
      </c>
    </row>
    <row r="273" spans="1:9" x14ac:dyDescent="0.3">
      <c r="A273" s="4" t="s">
        <v>313</v>
      </c>
      <c r="B273" s="4" t="s">
        <v>422</v>
      </c>
      <c r="C273" s="4" t="s">
        <v>571</v>
      </c>
      <c r="D273" s="4" t="s">
        <v>300</v>
      </c>
      <c r="E273" s="6">
        <v>0</v>
      </c>
      <c r="F273" s="22">
        <v>0.78217754788415605</v>
      </c>
      <c r="G273" s="22">
        <f t="shared" si="4"/>
        <v>0.78</v>
      </c>
      <c r="H273" s="22">
        <v>0.75</v>
      </c>
      <c r="I273" s="22">
        <v>0.75</v>
      </c>
    </row>
    <row r="274" spans="1:9" x14ac:dyDescent="0.3">
      <c r="A274" s="4" t="s">
        <v>305</v>
      </c>
      <c r="B274" s="4" t="s">
        <v>320</v>
      </c>
      <c r="C274" s="4" t="s">
        <v>572</v>
      </c>
      <c r="D274" s="4" t="s">
        <v>300</v>
      </c>
      <c r="E274" s="6">
        <v>0</v>
      </c>
      <c r="F274" s="22">
        <v>0.89892092360332831</v>
      </c>
      <c r="G274" s="22">
        <f t="shared" si="4"/>
        <v>0.9</v>
      </c>
      <c r="H274" s="22">
        <v>0.89000000000000012</v>
      </c>
      <c r="I274" s="22">
        <v>0.81</v>
      </c>
    </row>
    <row r="275" spans="1:9" x14ac:dyDescent="0.3">
      <c r="A275" s="4" t="s">
        <v>295</v>
      </c>
      <c r="B275" s="4" t="s">
        <v>341</v>
      </c>
      <c r="C275" s="4" t="s">
        <v>573</v>
      </c>
      <c r="D275" s="4" t="s">
        <v>338</v>
      </c>
      <c r="E275" s="6">
        <v>0</v>
      </c>
      <c r="F275" s="22">
        <v>1.0465338558586599</v>
      </c>
      <c r="G275" s="22">
        <f t="shared" si="4"/>
        <v>1.05</v>
      </c>
      <c r="H275" s="22">
        <v>0.96</v>
      </c>
      <c r="I275" s="22">
        <v>0.9</v>
      </c>
    </row>
    <row r="276" spans="1:9" x14ac:dyDescent="0.3">
      <c r="A276" s="4" t="s">
        <v>313</v>
      </c>
      <c r="B276" s="4" t="s">
        <v>316</v>
      </c>
      <c r="C276" s="4" t="s">
        <v>574</v>
      </c>
      <c r="D276" s="4" t="s">
        <v>333</v>
      </c>
      <c r="E276" s="6">
        <v>0</v>
      </c>
      <c r="F276" s="22">
        <v>0.86890313508527761</v>
      </c>
      <c r="G276" s="22">
        <f t="shared" si="4"/>
        <v>0.87</v>
      </c>
      <c r="H276" s="22">
        <v>0.75</v>
      </c>
      <c r="I276" s="22">
        <v>0.76</v>
      </c>
    </row>
    <row r="277" spans="1:9" x14ac:dyDescent="0.3">
      <c r="A277" s="4" t="s">
        <v>301</v>
      </c>
      <c r="B277" s="4" t="s">
        <v>307</v>
      </c>
      <c r="C277" s="10" t="s">
        <v>575</v>
      </c>
      <c r="D277" s="10" t="s">
        <v>309</v>
      </c>
      <c r="E277" s="11">
        <v>0.05</v>
      </c>
      <c r="F277" s="22">
        <v>1.5</v>
      </c>
      <c r="G277" s="22">
        <f t="shared" si="4"/>
        <v>1.5</v>
      </c>
      <c r="H277" s="22">
        <v>1.5</v>
      </c>
      <c r="I277" s="22">
        <v>1.5</v>
      </c>
    </row>
    <row r="278" spans="1:9" x14ac:dyDescent="0.3">
      <c r="A278" s="4" t="s">
        <v>295</v>
      </c>
      <c r="B278" s="4" t="s">
        <v>341</v>
      </c>
      <c r="C278" s="4" t="s">
        <v>576</v>
      </c>
      <c r="D278" s="4" t="s">
        <v>300</v>
      </c>
      <c r="E278" s="6">
        <v>0</v>
      </c>
      <c r="F278" s="22">
        <v>0.96388166375915241</v>
      </c>
      <c r="G278" s="22">
        <f t="shared" si="4"/>
        <v>0.96</v>
      </c>
      <c r="H278" s="22">
        <v>1.0300000000000002</v>
      </c>
      <c r="I278" s="22">
        <v>0.97</v>
      </c>
    </row>
    <row r="279" spans="1:9" x14ac:dyDescent="0.3">
      <c r="A279" s="4" t="s">
        <v>313</v>
      </c>
      <c r="B279" s="4" t="s">
        <v>318</v>
      </c>
      <c r="C279" s="4" t="s">
        <v>577</v>
      </c>
      <c r="D279" s="4" t="s">
        <v>300</v>
      </c>
      <c r="E279" s="6">
        <v>0</v>
      </c>
      <c r="F279" s="22">
        <v>0.90013079228971049</v>
      </c>
      <c r="G279" s="22">
        <f t="shared" si="4"/>
        <v>0.9</v>
      </c>
      <c r="H279" s="22">
        <v>0.75</v>
      </c>
      <c r="I279" s="22">
        <v>0.75</v>
      </c>
    </row>
    <row r="280" spans="1:9" x14ac:dyDescent="0.3">
      <c r="A280" s="4" t="s">
        <v>305</v>
      </c>
      <c r="B280" s="4" t="s">
        <v>305</v>
      </c>
      <c r="C280" s="4" t="s">
        <v>578</v>
      </c>
      <c r="D280" s="4" t="s">
        <v>300</v>
      </c>
      <c r="E280" s="6">
        <v>0</v>
      </c>
      <c r="F280" s="22">
        <v>1.3098794246969607</v>
      </c>
      <c r="G280" s="22">
        <f t="shared" si="4"/>
        <v>1.31</v>
      </c>
      <c r="H280" s="22">
        <v>1.31</v>
      </c>
      <c r="I280" s="22">
        <v>1.27</v>
      </c>
    </row>
    <row r="281" spans="1:9" x14ac:dyDescent="0.3">
      <c r="A281" s="4" t="s">
        <v>305</v>
      </c>
      <c r="B281" s="4" t="s">
        <v>339</v>
      </c>
      <c r="C281" s="4" t="s">
        <v>579</v>
      </c>
      <c r="D281" s="4" t="s">
        <v>300</v>
      </c>
      <c r="E281" s="6">
        <v>0</v>
      </c>
      <c r="F281" s="22">
        <v>1.0623388846391153</v>
      </c>
      <c r="G281" s="22">
        <f t="shared" si="4"/>
        <v>1.06</v>
      </c>
      <c r="H281" s="22">
        <v>0.85000000000000009</v>
      </c>
      <c r="I281" s="22">
        <v>0.95</v>
      </c>
    </row>
    <row r="282" spans="1:9" x14ac:dyDescent="0.3">
      <c r="A282" s="4" t="s">
        <v>313</v>
      </c>
      <c r="B282" s="4" t="s">
        <v>318</v>
      </c>
      <c r="C282" s="4" t="s">
        <v>580</v>
      </c>
      <c r="D282" s="4" t="s">
        <v>300</v>
      </c>
      <c r="E282" s="6">
        <v>0</v>
      </c>
      <c r="F282" s="22">
        <v>0.93160528316906055</v>
      </c>
      <c r="G282" s="22">
        <f t="shared" si="4"/>
        <v>0.93</v>
      </c>
      <c r="H282" s="22">
        <v>0.95</v>
      </c>
      <c r="I282" s="22">
        <v>0.8</v>
      </c>
    </row>
    <row r="283" spans="1:9" x14ac:dyDescent="0.3">
      <c r="A283" s="4" t="s">
        <v>305</v>
      </c>
      <c r="B283" s="4" t="s">
        <v>305</v>
      </c>
      <c r="C283" s="4" t="s">
        <v>581</v>
      </c>
      <c r="D283" s="4" t="s">
        <v>300</v>
      </c>
      <c r="E283" s="6">
        <v>0</v>
      </c>
      <c r="F283" s="22">
        <v>1.2173618149727021</v>
      </c>
      <c r="G283" s="22">
        <f t="shared" si="4"/>
        <v>1.22</v>
      </c>
      <c r="H283" s="22">
        <v>1.5</v>
      </c>
      <c r="I283" s="22">
        <v>1.37</v>
      </c>
    </row>
    <row r="284" spans="1:9" x14ac:dyDescent="0.3">
      <c r="A284" s="4" t="s">
        <v>295</v>
      </c>
      <c r="B284" s="4" t="s">
        <v>360</v>
      </c>
      <c r="C284" s="4" t="s">
        <v>582</v>
      </c>
      <c r="D284" s="4" t="s">
        <v>300</v>
      </c>
      <c r="E284" s="6">
        <v>0</v>
      </c>
      <c r="F284" s="22">
        <v>0.93664171328213985</v>
      </c>
      <c r="G284" s="22">
        <f t="shared" si="4"/>
        <v>0.94</v>
      </c>
      <c r="H284" s="22">
        <v>0.75</v>
      </c>
      <c r="I284" s="22">
        <v>0.75</v>
      </c>
    </row>
    <row r="285" spans="1:9" x14ac:dyDescent="0.3">
      <c r="A285" s="4" t="s">
        <v>305</v>
      </c>
      <c r="B285" s="4" t="s">
        <v>305</v>
      </c>
      <c r="C285" s="4" t="s">
        <v>583</v>
      </c>
      <c r="D285" s="4" t="s">
        <v>300</v>
      </c>
      <c r="E285" s="6">
        <v>0</v>
      </c>
      <c r="F285" s="22">
        <v>1.0459493844107985</v>
      </c>
      <c r="G285" s="22">
        <f t="shared" si="4"/>
        <v>1.05</v>
      </c>
      <c r="H285" s="22">
        <v>1.2199999999999998</v>
      </c>
      <c r="I285" s="22">
        <v>1.1399999999999999</v>
      </c>
    </row>
    <row r="286" spans="1:9" x14ac:dyDescent="0.3">
      <c r="A286" s="4" t="s">
        <v>305</v>
      </c>
      <c r="B286" s="4" t="s">
        <v>305</v>
      </c>
      <c r="C286" s="4" t="s">
        <v>584</v>
      </c>
      <c r="D286" s="4" t="s">
        <v>300</v>
      </c>
      <c r="E286" s="6">
        <v>0</v>
      </c>
      <c r="F286" s="22">
        <v>1.0773522551564938</v>
      </c>
      <c r="G286" s="22">
        <f t="shared" si="4"/>
        <v>1.08</v>
      </c>
      <c r="H286" s="22">
        <v>1.1100000000000003</v>
      </c>
      <c r="I286" s="22">
        <v>1.04</v>
      </c>
    </row>
    <row r="287" spans="1:9" x14ac:dyDescent="0.3">
      <c r="A287" s="4" t="s">
        <v>301</v>
      </c>
      <c r="B287" s="4" t="s">
        <v>307</v>
      </c>
      <c r="C287" s="10" t="s">
        <v>585</v>
      </c>
      <c r="D287" s="10" t="s">
        <v>309</v>
      </c>
      <c r="E287" s="11">
        <v>0.05</v>
      </c>
      <c r="F287" s="22">
        <v>1.344815853786848</v>
      </c>
      <c r="G287" s="22">
        <f t="shared" si="4"/>
        <v>1.34</v>
      </c>
      <c r="H287" s="22">
        <v>1.5</v>
      </c>
      <c r="I287" s="22">
        <v>1.5</v>
      </c>
    </row>
    <row r="288" spans="1:9" x14ac:dyDescent="0.3">
      <c r="A288" s="4" t="s">
        <v>313</v>
      </c>
      <c r="B288" s="4" t="s">
        <v>330</v>
      </c>
      <c r="C288" s="4" t="s">
        <v>586</v>
      </c>
      <c r="D288" s="4" t="s">
        <v>333</v>
      </c>
      <c r="E288" s="6">
        <v>0</v>
      </c>
      <c r="F288" s="22">
        <v>1.005388089074001</v>
      </c>
      <c r="G288" s="22">
        <f t="shared" si="4"/>
        <v>1.01</v>
      </c>
      <c r="H288" s="22">
        <v>0.95</v>
      </c>
      <c r="I288" s="22">
        <v>0.98</v>
      </c>
    </row>
    <row r="289" spans="1:9" x14ac:dyDescent="0.3">
      <c r="A289" s="4" t="s">
        <v>295</v>
      </c>
      <c r="B289" s="4" t="s">
        <v>341</v>
      </c>
      <c r="C289" s="4" t="s">
        <v>587</v>
      </c>
      <c r="D289" s="4" t="s">
        <v>300</v>
      </c>
      <c r="E289" s="6">
        <v>0</v>
      </c>
      <c r="F289" s="22">
        <v>0.98987849334487155</v>
      </c>
      <c r="G289" s="22">
        <f t="shared" si="4"/>
        <v>0.99</v>
      </c>
      <c r="H289" s="22">
        <v>1.17</v>
      </c>
      <c r="I289" s="22">
        <v>1.1000000000000001</v>
      </c>
    </row>
    <row r="290" spans="1:9" x14ac:dyDescent="0.3">
      <c r="A290" s="4" t="s">
        <v>295</v>
      </c>
      <c r="B290" s="4" t="s">
        <v>325</v>
      </c>
      <c r="C290" s="4" t="s">
        <v>588</v>
      </c>
      <c r="D290" s="4" t="s">
        <v>300</v>
      </c>
      <c r="E290" s="6">
        <v>0</v>
      </c>
      <c r="F290" s="22">
        <v>0.89625051576277237</v>
      </c>
      <c r="G290" s="22">
        <f t="shared" si="4"/>
        <v>0.9</v>
      </c>
      <c r="H290" s="22">
        <v>1.23</v>
      </c>
      <c r="I290" s="22">
        <v>1.27</v>
      </c>
    </row>
    <row r="291" spans="1:9" x14ac:dyDescent="0.3">
      <c r="A291" s="4" t="s">
        <v>301</v>
      </c>
      <c r="B291" s="4" t="s">
        <v>307</v>
      </c>
      <c r="C291" s="10" t="s">
        <v>589</v>
      </c>
      <c r="D291" s="10" t="s">
        <v>309</v>
      </c>
      <c r="E291" s="11">
        <v>0.05</v>
      </c>
      <c r="F291" s="22">
        <v>1.1821238139628902</v>
      </c>
      <c r="G291" s="22">
        <f t="shared" si="4"/>
        <v>1.18</v>
      </c>
      <c r="H291" s="22">
        <v>1.5</v>
      </c>
      <c r="I291" s="22">
        <v>1.4</v>
      </c>
    </row>
    <row r="292" spans="1:9" x14ac:dyDescent="0.3">
      <c r="A292" s="4" t="s">
        <v>305</v>
      </c>
      <c r="B292" s="4" t="s">
        <v>305</v>
      </c>
      <c r="C292" s="4" t="s">
        <v>590</v>
      </c>
      <c r="D292" s="4" t="s">
        <v>300</v>
      </c>
      <c r="E292" s="6">
        <v>0</v>
      </c>
      <c r="F292" s="22">
        <v>1.0855540393909218</v>
      </c>
      <c r="G292" s="22">
        <f t="shared" si="4"/>
        <v>1.0900000000000001</v>
      </c>
      <c r="H292" s="22">
        <v>1.17</v>
      </c>
      <c r="I292" s="22">
        <v>1.05</v>
      </c>
    </row>
    <row r="293" spans="1:9" x14ac:dyDescent="0.3">
      <c r="A293" s="4" t="s">
        <v>310</v>
      </c>
      <c r="B293" s="4" t="s">
        <v>322</v>
      </c>
      <c r="C293" s="4" t="s">
        <v>591</v>
      </c>
      <c r="D293" s="4" t="s">
        <v>333</v>
      </c>
      <c r="E293" s="6">
        <v>0</v>
      </c>
      <c r="F293" s="22">
        <v>0.80254836018510223</v>
      </c>
      <c r="G293" s="22">
        <f t="shared" si="4"/>
        <v>0.8</v>
      </c>
      <c r="H293" s="22">
        <v>0.8</v>
      </c>
      <c r="I293" s="22">
        <v>0.75</v>
      </c>
    </row>
    <row r="294" spans="1:9" x14ac:dyDescent="0.3">
      <c r="A294" s="4" t="s">
        <v>313</v>
      </c>
      <c r="B294" s="4" t="s">
        <v>422</v>
      </c>
      <c r="C294" s="4" t="s">
        <v>592</v>
      </c>
      <c r="D294" s="4" t="s">
        <v>300</v>
      </c>
      <c r="E294" s="6">
        <v>0</v>
      </c>
      <c r="F294" s="22">
        <v>0.86247267022784679</v>
      </c>
      <c r="G294" s="22">
        <f t="shared" si="4"/>
        <v>0.86</v>
      </c>
      <c r="H294" s="22">
        <v>0.77</v>
      </c>
      <c r="I294" s="22">
        <v>0.75</v>
      </c>
    </row>
    <row r="295" spans="1:9" x14ac:dyDescent="0.3">
      <c r="A295" s="4" t="s">
        <v>295</v>
      </c>
      <c r="B295" s="4" t="s">
        <v>296</v>
      </c>
      <c r="C295" s="4" t="s">
        <v>593</v>
      </c>
      <c r="D295" s="4" t="s">
        <v>338</v>
      </c>
      <c r="E295" s="6">
        <v>0</v>
      </c>
      <c r="F295" s="22">
        <v>0.90228834881606024</v>
      </c>
      <c r="G295" s="22">
        <f t="shared" si="4"/>
        <v>0.9</v>
      </c>
      <c r="H295" s="22">
        <v>0.76</v>
      </c>
      <c r="I295" s="22">
        <v>0.75</v>
      </c>
    </row>
    <row r="296" spans="1:9" x14ac:dyDescent="0.3">
      <c r="A296" s="4" t="s">
        <v>301</v>
      </c>
      <c r="B296" s="4" t="s">
        <v>302</v>
      </c>
      <c r="C296" s="4" t="s">
        <v>594</v>
      </c>
      <c r="D296" s="4" t="s">
        <v>300</v>
      </c>
      <c r="E296" s="6">
        <v>0</v>
      </c>
      <c r="F296" s="22">
        <v>0.75441195678335582</v>
      </c>
      <c r="G296" s="22">
        <f t="shared" si="4"/>
        <v>0.75</v>
      </c>
      <c r="H296" s="22">
        <v>0.75</v>
      </c>
      <c r="I296" s="22">
        <v>0.75</v>
      </c>
    </row>
    <row r="297" spans="1:9" x14ac:dyDescent="0.3">
      <c r="A297" s="4" t="s">
        <v>313</v>
      </c>
      <c r="B297" s="4" t="s">
        <v>330</v>
      </c>
      <c r="C297" s="4" t="s">
        <v>595</v>
      </c>
      <c r="D297" s="4" t="s">
        <v>300</v>
      </c>
      <c r="E297" s="6">
        <v>0</v>
      </c>
      <c r="F297" s="22">
        <v>1.1073240021600523</v>
      </c>
      <c r="G297" s="22">
        <f t="shared" si="4"/>
        <v>1.1100000000000001</v>
      </c>
      <c r="H297" s="22">
        <v>1.3600000000000003</v>
      </c>
      <c r="I297" s="22">
        <v>1.5</v>
      </c>
    </row>
    <row r="298" spans="1:9" x14ac:dyDescent="0.3">
      <c r="A298" s="4" t="s">
        <v>295</v>
      </c>
      <c r="B298" s="4" t="s">
        <v>298</v>
      </c>
      <c r="C298" s="4" t="s">
        <v>596</v>
      </c>
      <c r="D298" s="4" t="s">
        <v>300</v>
      </c>
      <c r="E298" s="6">
        <v>0</v>
      </c>
      <c r="F298" s="22">
        <v>0.95692300041601774</v>
      </c>
      <c r="G298" s="22">
        <f t="shared" si="4"/>
        <v>0.96</v>
      </c>
      <c r="H298" s="22">
        <v>0.81999999999999984</v>
      </c>
      <c r="I298" s="22">
        <v>0.75</v>
      </c>
    </row>
    <row r="299" spans="1:9" x14ac:dyDescent="0.3">
      <c r="A299" s="4" t="s">
        <v>310</v>
      </c>
      <c r="B299" s="4" t="s">
        <v>322</v>
      </c>
      <c r="C299" s="4" t="s">
        <v>597</v>
      </c>
      <c r="D299" s="4" t="s">
        <v>300</v>
      </c>
      <c r="E299" s="6">
        <v>0</v>
      </c>
      <c r="F299" s="22">
        <v>0.79888038619721202</v>
      </c>
      <c r="G299" s="22">
        <f t="shared" si="4"/>
        <v>0.8</v>
      </c>
      <c r="H299" s="22">
        <v>0.83000000000000007</v>
      </c>
      <c r="I299" s="22">
        <v>0.75</v>
      </c>
    </row>
    <row r="300" spans="1:9" x14ac:dyDescent="0.3">
      <c r="A300" s="4" t="s">
        <v>295</v>
      </c>
      <c r="B300" s="4" t="s">
        <v>360</v>
      </c>
      <c r="C300" s="4" t="s">
        <v>598</v>
      </c>
      <c r="D300" s="4" t="s">
        <v>300</v>
      </c>
      <c r="E300" s="6">
        <v>0</v>
      </c>
      <c r="F300" s="22">
        <v>0.93135717056318523</v>
      </c>
      <c r="G300" s="22">
        <f t="shared" si="4"/>
        <v>0.93</v>
      </c>
      <c r="H300" s="22">
        <v>0.77</v>
      </c>
      <c r="I300" s="22">
        <v>0.75</v>
      </c>
    </row>
    <row r="301" spans="1:9" x14ac:dyDescent="0.3">
      <c r="A301" s="4" t="s">
        <v>313</v>
      </c>
      <c r="B301" s="4" t="s">
        <v>316</v>
      </c>
      <c r="C301" s="4" t="s">
        <v>599</v>
      </c>
      <c r="D301" s="4" t="s">
        <v>333</v>
      </c>
      <c r="E301" s="6">
        <v>0</v>
      </c>
      <c r="F301" s="22">
        <v>0.84873695173763064</v>
      </c>
      <c r="G301" s="22">
        <f t="shared" si="4"/>
        <v>0.85</v>
      </c>
      <c r="H301" s="22">
        <v>0.81</v>
      </c>
      <c r="I301" s="22">
        <v>0.75</v>
      </c>
    </row>
    <row r="302" spans="1:9" x14ac:dyDescent="0.3">
      <c r="A302" s="4" t="s">
        <v>305</v>
      </c>
      <c r="B302" s="4" t="s">
        <v>305</v>
      </c>
      <c r="C302" s="4" t="s">
        <v>600</v>
      </c>
      <c r="D302" s="4" t="s">
        <v>300</v>
      </c>
      <c r="E302" s="6">
        <v>0</v>
      </c>
      <c r="F302" s="22">
        <v>1.1818512737757148</v>
      </c>
      <c r="G302" s="22">
        <f t="shared" si="4"/>
        <v>1.18</v>
      </c>
      <c r="H302" s="22">
        <v>1.21</v>
      </c>
      <c r="I302" s="22">
        <v>1.45</v>
      </c>
    </row>
  </sheetData>
  <autoFilter ref="A1:K303" xr:uid="{00000000-0001-0000-0500-000000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1"/>
  <sheetViews>
    <sheetView workbookViewId="0">
      <selection activeCell="H9" sqref="H9"/>
    </sheetView>
  </sheetViews>
  <sheetFormatPr defaultRowHeight="14.4" x14ac:dyDescent="0.3"/>
  <sheetData>
    <row r="1" spans="1:18" x14ac:dyDescent="0.3">
      <c r="A1" s="15" t="s">
        <v>601</v>
      </c>
      <c r="B1" s="193" t="s">
        <v>602</v>
      </c>
      <c r="C1" s="194">
        <v>1</v>
      </c>
      <c r="D1" s="195">
        <v>2</v>
      </c>
      <c r="E1" s="195">
        <v>3</v>
      </c>
      <c r="F1" s="195">
        <v>4</v>
      </c>
      <c r="G1" s="195">
        <v>5</v>
      </c>
      <c r="H1" s="195">
        <v>6</v>
      </c>
      <c r="I1" s="195">
        <v>7</v>
      </c>
      <c r="J1" s="196">
        <v>8</v>
      </c>
      <c r="K1" s="196">
        <v>9</v>
      </c>
      <c r="L1" s="196">
        <v>10</v>
      </c>
      <c r="M1" s="196">
        <v>11</v>
      </c>
      <c r="N1" s="196">
        <v>12</v>
      </c>
      <c r="O1" s="197">
        <v>13</v>
      </c>
      <c r="P1" s="197">
        <v>14</v>
      </c>
      <c r="Q1" s="196">
        <v>15</v>
      </c>
      <c r="R1" s="198">
        <v>16</v>
      </c>
    </row>
    <row r="2" spans="1:18" x14ac:dyDescent="0.3">
      <c r="A2" s="199" t="s">
        <v>603</v>
      </c>
      <c r="B2" s="200"/>
      <c r="C2" s="201" t="s">
        <v>604</v>
      </c>
      <c r="D2" s="202" t="s">
        <v>604</v>
      </c>
      <c r="E2" s="202" t="s">
        <v>604</v>
      </c>
      <c r="F2" s="202" t="s">
        <v>604</v>
      </c>
      <c r="G2" s="202" t="s">
        <v>604</v>
      </c>
      <c r="H2" s="202" t="s">
        <v>604</v>
      </c>
      <c r="I2" s="202" t="s">
        <v>604</v>
      </c>
      <c r="J2" s="202" t="s">
        <v>604</v>
      </c>
      <c r="K2" s="202" t="s">
        <v>604</v>
      </c>
      <c r="L2" s="202" t="s">
        <v>604</v>
      </c>
      <c r="M2" s="202" t="s">
        <v>604</v>
      </c>
      <c r="N2" s="202" t="s">
        <v>604</v>
      </c>
      <c r="O2" s="202" t="s">
        <v>604</v>
      </c>
      <c r="P2" s="202" t="s">
        <v>604</v>
      </c>
      <c r="Q2" s="202" t="s">
        <v>604</v>
      </c>
      <c r="R2" s="203" t="s">
        <v>604</v>
      </c>
    </row>
    <row r="3" spans="1:18" x14ac:dyDescent="0.3">
      <c r="A3" s="204">
        <v>0</v>
      </c>
      <c r="B3" s="200"/>
      <c r="C3" s="205">
        <v>42</v>
      </c>
      <c r="D3" s="202" t="s">
        <v>604</v>
      </c>
      <c r="E3" s="202" t="s">
        <v>604</v>
      </c>
      <c r="F3" s="202" t="s">
        <v>604</v>
      </c>
      <c r="G3" s="202" t="s">
        <v>604</v>
      </c>
      <c r="H3" s="202" t="s">
        <v>604</v>
      </c>
      <c r="I3" s="202" t="s">
        <v>604</v>
      </c>
      <c r="J3" s="202" t="s">
        <v>604</v>
      </c>
      <c r="K3" s="202" t="s">
        <v>604</v>
      </c>
      <c r="L3" s="202" t="s">
        <v>604</v>
      </c>
      <c r="M3" s="202" t="s">
        <v>604</v>
      </c>
      <c r="N3" s="202" t="s">
        <v>604</v>
      </c>
      <c r="O3" s="202" t="s">
        <v>604</v>
      </c>
      <c r="P3" s="202" t="s">
        <v>604</v>
      </c>
      <c r="Q3" s="202" t="s">
        <v>604</v>
      </c>
      <c r="R3" s="203" t="s">
        <v>604</v>
      </c>
    </row>
    <row r="4" spans="1:18" x14ac:dyDescent="0.3">
      <c r="A4" s="204">
        <v>1</v>
      </c>
      <c r="B4" s="200"/>
      <c r="C4" s="206">
        <v>25</v>
      </c>
      <c r="D4" s="207">
        <v>60</v>
      </c>
      <c r="E4" s="202" t="s">
        <v>604</v>
      </c>
      <c r="F4" s="202" t="s">
        <v>604</v>
      </c>
      <c r="G4" s="202" t="s">
        <v>604</v>
      </c>
      <c r="H4" s="202" t="s">
        <v>604</v>
      </c>
      <c r="I4" s="202" t="s">
        <v>604</v>
      </c>
      <c r="J4" s="202" t="s">
        <v>604</v>
      </c>
      <c r="K4" s="202" t="s">
        <v>604</v>
      </c>
      <c r="L4" s="202" t="s">
        <v>604</v>
      </c>
      <c r="M4" s="202" t="s">
        <v>604</v>
      </c>
      <c r="N4" s="202" t="s">
        <v>604</v>
      </c>
      <c r="O4" s="202" t="s">
        <v>604</v>
      </c>
      <c r="P4" s="202" t="s">
        <v>604</v>
      </c>
      <c r="Q4" s="202" t="s">
        <v>604</v>
      </c>
      <c r="R4" s="203" t="s">
        <v>604</v>
      </c>
    </row>
    <row r="5" spans="1:18" x14ac:dyDescent="0.3">
      <c r="A5" s="204">
        <v>2</v>
      </c>
      <c r="B5" s="200"/>
      <c r="C5" s="208" t="s">
        <v>604</v>
      </c>
      <c r="D5" s="209">
        <v>50</v>
      </c>
      <c r="E5" s="207">
        <v>76</v>
      </c>
      <c r="F5" s="207">
        <v>84</v>
      </c>
      <c r="G5" s="202" t="s">
        <v>604</v>
      </c>
      <c r="H5" s="202" t="s">
        <v>604</v>
      </c>
      <c r="I5" s="202" t="s">
        <v>604</v>
      </c>
      <c r="J5" s="202" t="s">
        <v>604</v>
      </c>
      <c r="K5" s="202" t="s">
        <v>604</v>
      </c>
      <c r="L5" s="202" t="s">
        <v>604</v>
      </c>
      <c r="M5" s="202" t="s">
        <v>604</v>
      </c>
      <c r="N5" s="202" t="s">
        <v>604</v>
      </c>
      <c r="O5" s="202" t="s">
        <v>604</v>
      </c>
      <c r="P5" s="202" t="s">
        <v>604</v>
      </c>
      <c r="Q5" s="202" t="s">
        <v>604</v>
      </c>
      <c r="R5" s="203" t="s">
        <v>604</v>
      </c>
    </row>
    <row r="6" spans="1:18" x14ac:dyDescent="0.3">
      <c r="A6" s="204">
        <v>3</v>
      </c>
      <c r="B6" s="200"/>
      <c r="C6" s="208" t="s">
        <v>604</v>
      </c>
      <c r="D6" s="210" t="s">
        <v>604</v>
      </c>
      <c r="E6" s="209">
        <v>75</v>
      </c>
      <c r="F6" s="207">
        <v>90</v>
      </c>
      <c r="G6" s="207">
        <v>100</v>
      </c>
      <c r="H6" s="207">
        <v>110</v>
      </c>
      <c r="I6" s="202" t="s">
        <v>604</v>
      </c>
      <c r="J6" s="202" t="s">
        <v>604</v>
      </c>
      <c r="K6" s="202" t="s">
        <v>604</v>
      </c>
      <c r="L6" s="202" t="s">
        <v>604</v>
      </c>
      <c r="M6" s="202" t="s">
        <v>604</v>
      </c>
      <c r="N6" s="202" t="s">
        <v>604</v>
      </c>
      <c r="O6" s="202" t="s">
        <v>604</v>
      </c>
      <c r="P6" s="202" t="s">
        <v>604</v>
      </c>
      <c r="Q6" s="202" t="s">
        <v>604</v>
      </c>
      <c r="R6" s="203" t="s">
        <v>604</v>
      </c>
    </row>
    <row r="7" spans="1:18" x14ac:dyDescent="0.3">
      <c r="A7" s="204">
        <v>4</v>
      </c>
      <c r="B7" s="200"/>
      <c r="C7" s="208" t="s">
        <v>604</v>
      </c>
      <c r="D7" s="210" t="s">
        <v>604</v>
      </c>
      <c r="E7" s="210" t="s">
        <v>604</v>
      </c>
      <c r="F7" s="209">
        <v>100</v>
      </c>
      <c r="G7" s="207">
        <v>104</v>
      </c>
      <c r="H7" s="207">
        <v>114</v>
      </c>
      <c r="I7" s="207">
        <v>124</v>
      </c>
      <c r="J7" s="211">
        <v>134</v>
      </c>
      <c r="K7" s="202" t="s">
        <v>604</v>
      </c>
      <c r="L7" s="202" t="s">
        <v>604</v>
      </c>
      <c r="M7" s="202" t="s">
        <v>604</v>
      </c>
      <c r="N7" s="202" t="s">
        <v>604</v>
      </c>
      <c r="O7" s="202" t="s">
        <v>604</v>
      </c>
      <c r="P7" s="202" t="s">
        <v>604</v>
      </c>
      <c r="Q7" s="202" t="s">
        <v>604</v>
      </c>
      <c r="R7" s="203" t="s">
        <v>604</v>
      </c>
    </row>
    <row r="8" spans="1:18" x14ac:dyDescent="0.3">
      <c r="A8" s="204">
        <v>5</v>
      </c>
      <c r="B8" s="200"/>
      <c r="C8" s="208" t="s">
        <v>604</v>
      </c>
      <c r="D8" s="210" t="s">
        <v>604</v>
      </c>
      <c r="E8" s="210" t="s">
        <v>604</v>
      </c>
      <c r="F8" s="210" t="s">
        <v>604</v>
      </c>
      <c r="G8" s="209">
        <v>125</v>
      </c>
      <c r="H8" s="207">
        <v>118</v>
      </c>
      <c r="I8" s="207">
        <v>128</v>
      </c>
      <c r="J8" s="211">
        <v>138</v>
      </c>
      <c r="K8" s="211">
        <v>148</v>
      </c>
      <c r="L8" s="211">
        <v>158</v>
      </c>
      <c r="M8" s="202" t="s">
        <v>604</v>
      </c>
      <c r="N8" s="202" t="s">
        <v>604</v>
      </c>
      <c r="O8" s="202" t="s">
        <v>604</v>
      </c>
      <c r="P8" s="202" t="s">
        <v>604</v>
      </c>
      <c r="Q8" s="202" t="s">
        <v>604</v>
      </c>
      <c r="R8" s="203" t="s">
        <v>604</v>
      </c>
    </row>
    <row r="9" spans="1:18" x14ac:dyDescent="0.3">
      <c r="A9" s="204">
        <v>6</v>
      </c>
      <c r="B9" s="200"/>
      <c r="C9" s="208" t="s">
        <v>604</v>
      </c>
      <c r="D9" s="210" t="s">
        <v>604</v>
      </c>
      <c r="E9" s="210" t="s">
        <v>604</v>
      </c>
      <c r="F9" s="210" t="s">
        <v>604</v>
      </c>
      <c r="G9" s="210" t="s">
        <v>604</v>
      </c>
      <c r="H9" s="209">
        <v>150</v>
      </c>
      <c r="I9" s="207">
        <v>132</v>
      </c>
      <c r="J9" s="207">
        <v>142</v>
      </c>
      <c r="K9" s="207">
        <v>152</v>
      </c>
      <c r="L9" s="207">
        <v>162</v>
      </c>
      <c r="M9" s="207">
        <v>172</v>
      </c>
      <c r="N9" s="207">
        <v>182</v>
      </c>
      <c r="O9" s="212">
        <v>0</v>
      </c>
      <c r="P9" s="212" t="s">
        <v>605</v>
      </c>
      <c r="Q9" s="202" t="s">
        <v>604</v>
      </c>
      <c r="R9" s="203" t="s">
        <v>604</v>
      </c>
    </row>
    <row r="10" spans="1:18" x14ac:dyDescent="0.3">
      <c r="A10" s="204">
        <v>7</v>
      </c>
      <c r="B10" s="200"/>
      <c r="C10" s="208" t="s">
        <v>604</v>
      </c>
      <c r="D10" s="210" t="s">
        <v>604</v>
      </c>
      <c r="E10" s="210" t="s">
        <v>604</v>
      </c>
      <c r="F10" s="210" t="s">
        <v>604</v>
      </c>
      <c r="G10" s="210" t="s">
        <v>604</v>
      </c>
      <c r="H10" s="210" t="s">
        <v>604</v>
      </c>
      <c r="I10" s="209">
        <v>175</v>
      </c>
      <c r="J10" s="207">
        <v>146</v>
      </c>
      <c r="K10" s="207">
        <v>156</v>
      </c>
      <c r="L10" s="207">
        <v>166</v>
      </c>
      <c r="M10" s="207">
        <v>176</v>
      </c>
      <c r="N10" s="207">
        <v>186</v>
      </c>
      <c r="O10" s="213">
        <v>196</v>
      </c>
      <c r="P10" s="213">
        <v>206</v>
      </c>
      <c r="Q10" s="12" t="s">
        <v>604</v>
      </c>
      <c r="R10" s="203" t="s">
        <v>604</v>
      </c>
    </row>
    <row r="11" spans="1:18" ht="15" thickBot="1" x14ac:dyDescent="0.35">
      <c r="A11" s="204">
        <v>8</v>
      </c>
      <c r="B11" s="200"/>
      <c r="C11" s="214" t="s">
        <v>604</v>
      </c>
      <c r="D11" s="215" t="s">
        <v>604</v>
      </c>
      <c r="E11" s="215" t="s">
        <v>604</v>
      </c>
      <c r="F11" s="215" t="s">
        <v>604</v>
      </c>
      <c r="G11" s="215" t="s">
        <v>604</v>
      </c>
      <c r="H11" s="215" t="s">
        <v>604</v>
      </c>
      <c r="I11" s="215" t="s">
        <v>604</v>
      </c>
      <c r="J11" s="216">
        <v>200</v>
      </c>
      <c r="K11" s="217">
        <v>160</v>
      </c>
      <c r="L11" s="217">
        <v>170</v>
      </c>
      <c r="M11" s="217">
        <v>180</v>
      </c>
      <c r="N11" s="217">
        <v>190</v>
      </c>
      <c r="O11" s="218">
        <v>200</v>
      </c>
      <c r="P11" s="218">
        <v>210</v>
      </c>
      <c r="Q11" s="218">
        <v>220</v>
      </c>
      <c r="R11" s="219">
        <v>230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53"/>
  <sheetViews>
    <sheetView showFormulas="1" workbookViewId="0">
      <selection activeCell="A5" sqref="A5"/>
    </sheetView>
  </sheetViews>
  <sheetFormatPr defaultRowHeight="14.4" x14ac:dyDescent="0.3"/>
  <cols>
    <col min="1" max="1" width="10.5546875" customWidth="1"/>
    <col min="2" max="2" width="6.33203125" bestFit="1" customWidth="1"/>
    <col min="3" max="3" width="6.5546875" bestFit="1" customWidth="1"/>
    <col min="4" max="4" width="4.6640625" bestFit="1" customWidth="1"/>
    <col min="5" max="5" width="5.44140625" bestFit="1" customWidth="1"/>
    <col min="6" max="7" width="3.6640625" bestFit="1" customWidth="1"/>
    <col min="8" max="8" width="2.44140625" bestFit="1" customWidth="1"/>
    <col min="9" max="10" width="3.6640625" bestFit="1" customWidth="1"/>
    <col min="11" max="11" width="3.44140625" bestFit="1" customWidth="1"/>
    <col min="12" max="12" width="4.33203125" bestFit="1" customWidth="1"/>
    <col min="13" max="13" width="10.6640625" bestFit="1" customWidth="1"/>
    <col min="14" max="14" width="2.6640625" bestFit="1" customWidth="1"/>
    <col min="15" max="15" width="10.44140625" bestFit="1" customWidth="1"/>
    <col min="16" max="16" width="5.5546875" style="18" bestFit="1" customWidth="1"/>
    <col min="17" max="17" width="11.44140625" style="2" bestFit="1" customWidth="1"/>
    <col min="18" max="18" width="10.44140625" bestFit="1" customWidth="1"/>
    <col min="19" max="19" width="45.6640625" bestFit="1" customWidth="1"/>
    <col min="20" max="20" width="2" bestFit="1" customWidth="1"/>
  </cols>
  <sheetData>
    <row r="1" spans="1:20" ht="21" x14ac:dyDescent="0.4">
      <c r="A1" s="20" t="s">
        <v>692</v>
      </c>
      <c r="B1" s="20" t="s">
        <v>606</v>
      </c>
      <c r="C1" s="20" t="s">
        <v>607</v>
      </c>
      <c r="D1" s="20" t="s">
        <v>608</v>
      </c>
      <c r="E1" s="20" t="s">
        <v>609</v>
      </c>
      <c r="F1" s="20" t="s">
        <v>610</v>
      </c>
      <c r="G1" s="20" t="s">
        <v>611</v>
      </c>
      <c r="H1" s="20" t="s">
        <v>94</v>
      </c>
      <c r="I1" s="20" t="s">
        <v>612</v>
      </c>
      <c r="J1" s="20" t="s">
        <v>613</v>
      </c>
      <c r="K1" s="20" t="s">
        <v>614</v>
      </c>
      <c r="L1" s="20" t="s">
        <v>615</v>
      </c>
      <c r="M1" s="16" t="s">
        <v>616</v>
      </c>
      <c r="N1" s="20" t="s">
        <v>617</v>
      </c>
      <c r="O1" s="20" t="s">
        <v>613</v>
      </c>
      <c r="P1" s="21" t="s">
        <v>120</v>
      </c>
      <c r="Q1" s="16" t="s">
        <v>618</v>
      </c>
      <c r="R1" s="20" t="s">
        <v>619</v>
      </c>
      <c r="S1" s="260" t="s">
        <v>620</v>
      </c>
      <c r="T1" s="261" t="s">
        <v>94</v>
      </c>
    </row>
    <row r="2" spans="1:20" x14ac:dyDescent="0.3">
      <c r="A2" s="5" t="s">
        <v>693</v>
      </c>
      <c r="B2" s="13">
        <v>0</v>
      </c>
      <c r="C2" s="13">
        <v>0</v>
      </c>
      <c r="D2" s="14">
        <v>1</v>
      </c>
      <c r="E2" s="17">
        <v>0</v>
      </c>
      <c r="F2" s="13">
        <v>1</v>
      </c>
      <c r="G2" s="5" t="s">
        <v>55</v>
      </c>
      <c r="H2" s="13">
        <v>1</v>
      </c>
      <c r="I2" s="5" t="s">
        <v>621</v>
      </c>
      <c r="J2" s="5" t="s">
        <v>214</v>
      </c>
      <c r="K2" s="5" t="s">
        <v>218</v>
      </c>
      <c r="L2" s="5">
        <v>0</v>
      </c>
      <c r="M2" s="12" t="s">
        <v>622</v>
      </c>
      <c r="N2" s="5" t="s">
        <v>623</v>
      </c>
      <c r="O2" s="5" t="s">
        <v>227</v>
      </c>
      <c r="P2" s="19">
        <v>0</v>
      </c>
      <c r="Q2" s="12">
        <v>0</v>
      </c>
      <c r="R2" s="5" t="s">
        <v>624</v>
      </c>
      <c r="S2" s="262" t="s">
        <v>625</v>
      </c>
      <c r="T2" s="263">
        <v>1</v>
      </c>
    </row>
    <row r="3" spans="1:20" x14ac:dyDescent="0.3">
      <c r="A3" s="5" t="s">
        <v>694</v>
      </c>
      <c r="B3" s="13">
        <v>0.06</v>
      </c>
      <c r="C3" s="13">
        <v>0.01</v>
      </c>
      <c r="D3" s="5">
        <v>1.1000000000000001</v>
      </c>
      <c r="E3" s="13">
        <v>0.05</v>
      </c>
      <c r="F3" s="13">
        <v>1</v>
      </c>
      <c r="G3" s="5" t="s">
        <v>691</v>
      </c>
      <c r="H3" s="13">
        <v>1</v>
      </c>
      <c r="I3" s="5" t="s">
        <v>627</v>
      </c>
      <c r="J3" s="5" t="s">
        <v>216</v>
      </c>
      <c r="K3" s="5" t="s">
        <v>628</v>
      </c>
      <c r="L3" s="5">
        <v>6</v>
      </c>
      <c r="M3" s="12" t="s">
        <v>629</v>
      </c>
      <c r="N3" s="5" t="s">
        <v>630</v>
      </c>
      <c r="O3" s="5" t="s">
        <v>631</v>
      </c>
      <c r="P3" s="19">
        <v>0</v>
      </c>
      <c r="Q3" s="12">
        <v>0</v>
      </c>
      <c r="R3" s="5" t="s">
        <v>631</v>
      </c>
      <c r="S3" s="262" t="s">
        <v>632</v>
      </c>
      <c r="T3" s="264">
        <v>0.16</v>
      </c>
    </row>
    <row r="4" spans="1:20" x14ac:dyDescent="0.3">
      <c r="A4" s="5" t="s">
        <v>696</v>
      </c>
      <c r="B4" s="13">
        <v>0.08</v>
      </c>
      <c r="C4" s="13"/>
      <c r="D4" s="14"/>
      <c r="E4" s="17">
        <v>0.1</v>
      </c>
      <c r="F4" s="5"/>
      <c r="G4" s="5" t="s">
        <v>626</v>
      </c>
      <c r="H4" s="13">
        <v>1</v>
      </c>
      <c r="I4" s="5"/>
      <c r="J4" s="5" t="s">
        <v>218</v>
      </c>
      <c r="K4" s="5" t="s">
        <v>214</v>
      </c>
      <c r="L4" s="5">
        <v>10</v>
      </c>
      <c r="M4" s="2" t="s">
        <v>106</v>
      </c>
      <c r="N4" t="s">
        <v>106</v>
      </c>
      <c r="O4" s="5" t="s">
        <v>231</v>
      </c>
      <c r="P4" s="19">
        <v>0</v>
      </c>
      <c r="Q4" s="12">
        <v>0</v>
      </c>
      <c r="R4" s="5" t="s">
        <v>633</v>
      </c>
      <c r="S4" s="262" t="s">
        <v>634</v>
      </c>
      <c r="T4" s="264">
        <v>0.14000000000000001</v>
      </c>
    </row>
    <row r="5" spans="1:20" x14ac:dyDescent="0.3">
      <c r="A5" s="5"/>
      <c r="B5" s="13">
        <v>0.1</v>
      </c>
      <c r="C5" s="5"/>
      <c r="D5" s="14"/>
      <c r="E5" s="14"/>
      <c r="F5" s="5"/>
      <c r="G5" s="5"/>
      <c r="H5" s="13"/>
      <c r="I5" s="5"/>
      <c r="J5" s="5"/>
      <c r="K5" s="5"/>
      <c r="L5" s="5"/>
      <c r="M5" s="12" t="s">
        <v>635</v>
      </c>
      <c r="N5" s="5" t="s">
        <v>636</v>
      </c>
      <c r="O5" s="5" t="s">
        <v>637</v>
      </c>
      <c r="P5" s="19">
        <v>620</v>
      </c>
      <c r="Q5" s="12">
        <v>1</v>
      </c>
      <c r="R5" s="5" t="s">
        <v>638</v>
      </c>
      <c r="S5" s="262" t="s">
        <v>639</v>
      </c>
      <c r="T5" s="264">
        <v>0.04</v>
      </c>
    </row>
    <row r="6" spans="1:20" x14ac:dyDescent="0.3">
      <c r="A6" s="5"/>
      <c r="B6" s="5"/>
      <c r="C6" s="5"/>
      <c r="D6" s="5"/>
      <c r="E6" s="5"/>
      <c r="F6" s="5"/>
      <c r="G6" s="5"/>
      <c r="H6" s="13"/>
      <c r="I6" s="5"/>
      <c r="J6" s="5"/>
      <c r="K6" s="5"/>
      <c r="L6" s="5"/>
      <c r="M6" s="12" t="s">
        <v>640</v>
      </c>
      <c r="N6" s="5" t="s">
        <v>641</v>
      </c>
      <c r="O6" s="5" t="s">
        <v>90</v>
      </c>
      <c r="P6" s="19">
        <v>3200</v>
      </c>
      <c r="Q6" s="12">
        <v>1</v>
      </c>
      <c r="R6" s="5" t="s">
        <v>79</v>
      </c>
      <c r="S6" s="262" t="s">
        <v>642</v>
      </c>
      <c r="T6" s="264">
        <v>0.1</v>
      </c>
    </row>
    <row r="7" spans="1:20" x14ac:dyDescent="0.3">
      <c r="A7" s="5"/>
      <c r="B7" s="5"/>
      <c r="C7" s="5"/>
      <c r="D7" s="5"/>
      <c r="E7" s="5"/>
      <c r="F7" s="5"/>
      <c r="G7" s="5"/>
      <c r="H7" s="5"/>
      <c r="I7" s="5"/>
      <c r="J7" s="5"/>
      <c r="K7" s="5"/>
      <c r="L7" s="5"/>
      <c r="M7" s="12" t="s">
        <v>643</v>
      </c>
      <c r="N7" s="5" t="s">
        <v>644</v>
      </c>
      <c r="O7" s="5" t="s">
        <v>91</v>
      </c>
      <c r="P7" s="19">
        <v>5000</v>
      </c>
      <c r="Q7" s="12">
        <v>1</v>
      </c>
      <c r="R7" s="5" t="s">
        <v>224</v>
      </c>
      <c r="S7" s="262" t="s">
        <v>645</v>
      </c>
      <c r="T7" s="264">
        <v>0.3</v>
      </c>
    </row>
    <row r="8" spans="1:20" x14ac:dyDescent="0.3">
      <c r="O8" s="5" t="s">
        <v>84</v>
      </c>
      <c r="P8" s="19">
        <v>810</v>
      </c>
      <c r="Q8" s="12">
        <v>0</v>
      </c>
      <c r="R8" s="5" t="s">
        <v>178</v>
      </c>
      <c r="S8" s="262" t="s">
        <v>646</v>
      </c>
      <c r="T8" s="264">
        <v>0.16</v>
      </c>
    </row>
    <row r="9" spans="1:20" x14ac:dyDescent="0.3">
      <c r="O9" s="5" t="s">
        <v>234</v>
      </c>
      <c r="P9" s="19">
        <v>810</v>
      </c>
      <c r="Q9" s="12">
        <v>0</v>
      </c>
      <c r="R9" s="5" t="s">
        <v>74</v>
      </c>
      <c r="S9" s="262" t="s">
        <v>647</v>
      </c>
      <c r="T9" s="264">
        <v>0.06</v>
      </c>
    </row>
    <row r="10" spans="1:20" x14ac:dyDescent="0.3">
      <c r="B10" s="1"/>
      <c r="C10" s="1"/>
      <c r="D10" s="1"/>
      <c r="E10" s="1"/>
      <c r="O10" s="5" t="s">
        <v>86</v>
      </c>
      <c r="P10" s="19">
        <v>810</v>
      </c>
      <c r="Q10" s="12">
        <v>0</v>
      </c>
      <c r="R10" s="5" t="s">
        <v>84</v>
      </c>
      <c r="S10" s="262" t="s">
        <v>648</v>
      </c>
      <c r="T10" s="264">
        <v>0.04</v>
      </c>
    </row>
    <row r="11" spans="1:20" x14ac:dyDescent="0.3">
      <c r="B11" s="2"/>
      <c r="C11" s="2"/>
      <c r="D11" s="2"/>
      <c r="E11" s="2"/>
      <c r="O11" s="5" t="s">
        <v>237</v>
      </c>
      <c r="P11" s="19">
        <v>810</v>
      </c>
      <c r="Q11" s="12">
        <v>0</v>
      </c>
      <c r="R11" s="5" t="s">
        <v>234</v>
      </c>
      <c r="S11" s="262" t="s">
        <v>649</v>
      </c>
      <c r="T11" s="264">
        <v>0.05</v>
      </c>
    </row>
    <row r="12" spans="1:20" x14ac:dyDescent="0.3">
      <c r="B12" s="2"/>
      <c r="C12" s="2"/>
      <c r="O12" s="5" t="s">
        <v>650</v>
      </c>
      <c r="P12" s="19">
        <v>810</v>
      </c>
      <c r="Q12" s="12">
        <v>0</v>
      </c>
      <c r="R12" s="5" t="s">
        <v>86</v>
      </c>
      <c r="S12" s="262" t="s">
        <v>651</v>
      </c>
      <c r="T12" s="264">
        <v>0.11</v>
      </c>
    </row>
    <row r="13" spans="1:20" x14ac:dyDescent="0.3">
      <c r="O13" s="5" t="s">
        <v>82</v>
      </c>
      <c r="P13" s="19">
        <v>810</v>
      </c>
      <c r="Q13" s="12">
        <v>0</v>
      </c>
      <c r="R13" s="5" t="s">
        <v>237</v>
      </c>
      <c r="S13" s="262" t="s">
        <v>652</v>
      </c>
      <c r="T13" s="264">
        <v>0.05</v>
      </c>
    </row>
    <row r="14" spans="1:20" x14ac:dyDescent="0.3">
      <c r="O14" s="5" t="s">
        <v>242</v>
      </c>
      <c r="P14" s="19">
        <v>810</v>
      </c>
      <c r="Q14" s="12">
        <v>0</v>
      </c>
      <c r="R14" s="5" t="s">
        <v>650</v>
      </c>
      <c r="S14" s="262" t="s">
        <v>653</v>
      </c>
      <c r="T14" s="264">
        <v>0.03</v>
      </c>
    </row>
    <row r="15" spans="1:20" x14ac:dyDescent="0.3">
      <c r="O15" s="5" t="s">
        <v>654</v>
      </c>
      <c r="P15" s="19">
        <v>1100</v>
      </c>
      <c r="Q15" s="12">
        <v>0</v>
      </c>
      <c r="R15" s="5" t="s">
        <v>82</v>
      </c>
      <c r="S15" s="262" t="s">
        <v>655</v>
      </c>
      <c r="T15" s="264">
        <v>0.02</v>
      </c>
    </row>
    <row r="16" spans="1:20" x14ac:dyDescent="0.3">
      <c r="O16" s="5" t="s">
        <v>638</v>
      </c>
      <c r="P16" s="19">
        <v>8000</v>
      </c>
      <c r="Q16" s="12">
        <v>0</v>
      </c>
      <c r="R16" s="5" t="s">
        <v>242</v>
      </c>
      <c r="S16" s="262" t="s">
        <v>656</v>
      </c>
      <c r="T16" s="264">
        <v>0.08</v>
      </c>
    </row>
    <row r="17" spans="15:20" x14ac:dyDescent="0.3">
      <c r="O17" s="5" t="s">
        <v>657</v>
      </c>
      <c r="P17" s="19">
        <v>1500</v>
      </c>
      <c r="Q17" s="12">
        <v>1</v>
      </c>
      <c r="R17" s="5" t="s">
        <v>265</v>
      </c>
      <c r="S17" s="262" t="s">
        <v>658</v>
      </c>
      <c r="T17" s="264">
        <v>0.03</v>
      </c>
    </row>
    <row r="18" spans="15:20" x14ac:dyDescent="0.3">
      <c r="O18" s="5" t="s">
        <v>244</v>
      </c>
      <c r="P18" s="19">
        <v>0</v>
      </c>
      <c r="Q18" s="12">
        <v>0</v>
      </c>
      <c r="R18" s="5" t="s">
        <v>88</v>
      </c>
      <c r="S18" s="262" t="s">
        <v>659</v>
      </c>
      <c r="T18" s="264">
        <v>0.05</v>
      </c>
    </row>
    <row r="19" spans="15:20" x14ac:dyDescent="0.3">
      <c r="O19" s="5" t="s">
        <v>624</v>
      </c>
      <c r="P19" s="19">
        <v>0</v>
      </c>
      <c r="Q19" s="12">
        <v>0</v>
      </c>
      <c r="R19" s="5" t="s">
        <v>660</v>
      </c>
      <c r="S19" s="262" t="s">
        <v>661</v>
      </c>
      <c r="T19" s="264">
        <v>0.08</v>
      </c>
    </row>
    <row r="20" spans="15:20" x14ac:dyDescent="0.3">
      <c r="O20" s="5" t="s">
        <v>178</v>
      </c>
      <c r="P20" s="19">
        <v>6250</v>
      </c>
      <c r="Q20" s="12">
        <v>0</v>
      </c>
      <c r="R20" s="5" t="s">
        <v>654</v>
      </c>
      <c r="S20" s="262" t="s">
        <v>662</v>
      </c>
      <c r="T20" s="264">
        <v>0.04</v>
      </c>
    </row>
    <row r="21" spans="15:20" x14ac:dyDescent="0.3">
      <c r="O21" s="5" t="s">
        <v>633</v>
      </c>
      <c r="P21" s="19">
        <v>16000</v>
      </c>
      <c r="Q21" s="12">
        <v>0</v>
      </c>
      <c r="R21" s="5" t="s">
        <v>663</v>
      </c>
      <c r="S21" s="262" t="s">
        <v>664</v>
      </c>
      <c r="T21" s="264">
        <v>0.02</v>
      </c>
    </row>
    <row r="22" spans="15:20" x14ac:dyDescent="0.3">
      <c r="O22" s="5" t="s">
        <v>247</v>
      </c>
      <c r="P22" s="19">
        <v>0</v>
      </c>
      <c r="Q22" s="12">
        <v>0</v>
      </c>
      <c r="R22" s="5" t="s">
        <v>272</v>
      </c>
      <c r="S22" s="262" t="s">
        <v>665</v>
      </c>
      <c r="T22" s="264">
        <v>0.03</v>
      </c>
    </row>
    <row r="23" spans="15:20" x14ac:dyDescent="0.3">
      <c r="O23" s="5" t="s">
        <v>249</v>
      </c>
      <c r="P23" s="19">
        <v>0</v>
      </c>
      <c r="Q23" s="12">
        <v>0</v>
      </c>
      <c r="R23" s="5" t="s">
        <v>261</v>
      </c>
      <c r="S23" s="262" t="s">
        <v>666</v>
      </c>
      <c r="T23" s="264">
        <v>0.03</v>
      </c>
    </row>
    <row r="24" spans="15:20" x14ac:dyDescent="0.3">
      <c r="O24" s="5" t="s">
        <v>251</v>
      </c>
      <c r="P24" s="19">
        <v>0</v>
      </c>
      <c r="Q24" s="12">
        <v>0</v>
      </c>
      <c r="R24" s="5" t="s">
        <v>227</v>
      </c>
      <c r="S24" s="262" t="s">
        <v>667</v>
      </c>
      <c r="T24" s="264">
        <v>0.02</v>
      </c>
    </row>
    <row r="25" spans="15:20" x14ac:dyDescent="0.3">
      <c r="O25" s="5" t="s">
        <v>253</v>
      </c>
      <c r="P25" s="19">
        <v>0</v>
      </c>
      <c r="Q25" s="12">
        <v>0</v>
      </c>
      <c r="R25" s="5" t="s">
        <v>244</v>
      </c>
      <c r="S25" s="262" t="s">
        <v>668</v>
      </c>
      <c r="T25" s="264">
        <v>0.04</v>
      </c>
    </row>
    <row r="26" spans="15:20" x14ac:dyDescent="0.3">
      <c r="O26" s="5" t="s">
        <v>255</v>
      </c>
      <c r="P26" s="19">
        <v>0</v>
      </c>
      <c r="Q26" s="12">
        <v>0</v>
      </c>
      <c r="R26" s="5" t="s">
        <v>257</v>
      </c>
      <c r="S26" s="262" t="s">
        <v>669</v>
      </c>
      <c r="T26" s="264">
        <v>0.04</v>
      </c>
    </row>
    <row r="27" spans="15:20" x14ac:dyDescent="0.3">
      <c r="O27" s="5" t="s">
        <v>257</v>
      </c>
      <c r="P27" s="19">
        <v>0</v>
      </c>
      <c r="Q27" s="12">
        <v>0</v>
      </c>
      <c r="R27" s="5" t="s">
        <v>251</v>
      </c>
      <c r="S27" s="262" t="s">
        <v>670</v>
      </c>
      <c r="T27" s="264">
        <v>0.04</v>
      </c>
    </row>
    <row r="28" spans="15:20" x14ac:dyDescent="0.3">
      <c r="O28" s="5" t="s">
        <v>671</v>
      </c>
      <c r="P28" s="19">
        <v>1600</v>
      </c>
      <c r="Q28" s="12">
        <v>1</v>
      </c>
      <c r="R28" s="5" t="s">
        <v>247</v>
      </c>
      <c r="S28" s="262" t="s">
        <v>672</v>
      </c>
      <c r="T28" s="264">
        <v>0.04</v>
      </c>
    </row>
    <row r="29" spans="15:20" x14ac:dyDescent="0.3">
      <c r="O29" s="5" t="s">
        <v>60</v>
      </c>
      <c r="P29" s="19">
        <v>25000</v>
      </c>
      <c r="Q29" s="12">
        <v>1</v>
      </c>
      <c r="R29" s="5" t="s">
        <v>249</v>
      </c>
      <c r="S29" s="262" t="s">
        <v>673</v>
      </c>
      <c r="T29" s="264">
        <v>0.02</v>
      </c>
    </row>
    <row r="30" spans="15:20" x14ac:dyDescent="0.3">
      <c r="O30" s="5" t="s">
        <v>260</v>
      </c>
      <c r="P30" s="19">
        <v>0</v>
      </c>
      <c r="Q30" s="12">
        <v>0</v>
      </c>
      <c r="R30" s="5" t="s">
        <v>674</v>
      </c>
      <c r="S30" s="262" t="s">
        <v>675</v>
      </c>
      <c r="T30" s="264">
        <v>0.08</v>
      </c>
    </row>
    <row r="31" spans="15:20" x14ac:dyDescent="0.3">
      <c r="O31" s="5" t="s">
        <v>261</v>
      </c>
      <c r="P31" s="19">
        <v>0</v>
      </c>
      <c r="Q31" s="12">
        <v>0</v>
      </c>
      <c r="R31" s="5" t="s">
        <v>255</v>
      </c>
      <c r="S31" s="262" t="s">
        <v>676</v>
      </c>
      <c r="T31" s="264">
        <v>0.08</v>
      </c>
    </row>
    <row r="32" spans="15:20" x14ac:dyDescent="0.3">
      <c r="O32" s="5" t="s">
        <v>263</v>
      </c>
      <c r="P32" s="19">
        <v>0</v>
      </c>
      <c r="Q32" s="12">
        <v>0</v>
      </c>
      <c r="R32" s="5" t="s">
        <v>231</v>
      </c>
      <c r="S32" s="262"/>
      <c r="T32" s="264"/>
    </row>
    <row r="33" spans="15:20" x14ac:dyDescent="0.3">
      <c r="O33" s="5" t="s">
        <v>224</v>
      </c>
      <c r="P33" s="19">
        <v>2700</v>
      </c>
      <c r="Q33" s="12">
        <v>0</v>
      </c>
      <c r="R33" s="5" t="s">
        <v>274</v>
      </c>
      <c r="S33" s="265"/>
      <c r="T33" s="264"/>
    </row>
    <row r="34" spans="15:20" x14ac:dyDescent="0.3">
      <c r="O34" s="5" t="s">
        <v>79</v>
      </c>
      <c r="P34" s="19">
        <v>26000</v>
      </c>
      <c r="Q34" s="12">
        <v>0</v>
      </c>
      <c r="R34" s="5" t="s">
        <v>275</v>
      </c>
    </row>
    <row r="35" spans="15:20" x14ac:dyDescent="0.3">
      <c r="O35" s="5" t="s">
        <v>63</v>
      </c>
      <c r="P35" s="19">
        <v>4250</v>
      </c>
      <c r="Q35" s="12">
        <v>1</v>
      </c>
      <c r="R35" s="5" t="s">
        <v>277</v>
      </c>
    </row>
    <row r="36" spans="15:20" x14ac:dyDescent="0.3">
      <c r="O36" s="5" t="s">
        <v>65</v>
      </c>
      <c r="P36" s="19">
        <v>6400</v>
      </c>
      <c r="Q36" s="12">
        <v>1</v>
      </c>
      <c r="R36" s="5" t="s">
        <v>279</v>
      </c>
    </row>
    <row r="37" spans="15:20" x14ac:dyDescent="0.3">
      <c r="O37" s="5" t="s">
        <v>265</v>
      </c>
      <c r="P37" s="19">
        <v>0</v>
      </c>
      <c r="Q37" s="12">
        <v>0</v>
      </c>
      <c r="R37" s="5" t="s">
        <v>63</v>
      </c>
    </row>
    <row r="38" spans="15:20" x14ac:dyDescent="0.3">
      <c r="O38" s="5" t="s">
        <v>660</v>
      </c>
      <c r="P38" s="19">
        <v>1250</v>
      </c>
      <c r="Q38" s="12">
        <v>0</v>
      </c>
      <c r="R38" s="5" t="s">
        <v>65</v>
      </c>
    </row>
    <row r="39" spans="15:20" x14ac:dyDescent="0.3">
      <c r="O39" s="5" t="s">
        <v>88</v>
      </c>
      <c r="P39" s="19">
        <v>810</v>
      </c>
      <c r="Q39" s="12">
        <v>0</v>
      </c>
      <c r="R39" s="5" t="s">
        <v>657</v>
      </c>
    </row>
    <row r="40" spans="15:20" x14ac:dyDescent="0.3">
      <c r="O40" s="5" t="s">
        <v>663</v>
      </c>
      <c r="P40" s="19">
        <v>1250</v>
      </c>
      <c r="Q40" s="12">
        <v>0</v>
      </c>
      <c r="R40" s="5" t="s">
        <v>71</v>
      </c>
    </row>
    <row r="41" spans="15:20" x14ac:dyDescent="0.3">
      <c r="O41" s="5" t="s">
        <v>272</v>
      </c>
      <c r="P41" s="19">
        <v>810</v>
      </c>
      <c r="Q41" s="12">
        <v>0</v>
      </c>
      <c r="R41" s="5" t="s">
        <v>677</v>
      </c>
    </row>
    <row r="42" spans="15:20" x14ac:dyDescent="0.3">
      <c r="O42" s="5" t="s">
        <v>76</v>
      </c>
      <c r="P42" s="19">
        <v>2500</v>
      </c>
      <c r="Q42" s="12">
        <v>1</v>
      </c>
      <c r="R42" s="5" t="s">
        <v>678</v>
      </c>
    </row>
    <row r="43" spans="15:20" x14ac:dyDescent="0.3">
      <c r="O43" s="5" t="s">
        <v>274</v>
      </c>
      <c r="P43" s="19">
        <v>0</v>
      </c>
      <c r="Q43" s="12">
        <v>0</v>
      </c>
      <c r="R43" s="5" t="s">
        <v>72</v>
      </c>
    </row>
    <row r="44" spans="15:20" x14ac:dyDescent="0.3">
      <c r="O44" s="5" t="s">
        <v>275</v>
      </c>
      <c r="P44" s="19">
        <v>0</v>
      </c>
      <c r="Q44" s="12">
        <v>0</v>
      </c>
      <c r="R44" s="5" t="s">
        <v>90</v>
      </c>
    </row>
    <row r="45" spans="15:20" x14ac:dyDescent="0.3">
      <c r="O45" s="5" t="s">
        <v>277</v>
      </c>
      <c r="P45" s="19">
        <v>0</v>
      </c>
      <c r="Q45" s="12">
        <v>0</v>
      </c>
      <c r="R45" s="5" t="s">
        <v>91</v>
      </c>
    </row>
    <row r="46" spans="15:20" x14ac:dyDescent="0.3">
      <c r="O46" s="5" t="s">
        <v>279</v>
      </c>
      <c r="P46" s="19">
        <v>0</v>
      </c>
      <c r="Q46" s="12">
        <v>0</v>
      </c>
      <c r="R46" s="5" t="s">
        <v>67</v>
      </c>
    </row>
    <row r="47" spans="15:20" x14ac:dyDescent="0.3">
      <c r="O47" s="5" t="s">
        <v>679</v>
      </c>
      <c r="P47" s="19">
        <v>1250</v>
      </c>
      <c r="Q47" s="12">
        <v>0</v>
      </c>
      <c r="R47" s="5" t="s">
        <v>69</v>
      </c>
    </row>
    <row r="48" spans="15:20" x14ac:dyDescent="0.3">
      <c r="O48" s="5" t="s">
        <v>71</v>
      </c>
      <c r="P48" s="19">
        <v>3200</v>
      </c>
      <c r="Q48" s="12">
        <v>1</v>
      </c>
      <c r="R48" s="5" t="s">
        <v>60</v>
      </c>
    </row>
    <row r="49" spans="15:18" x14ac:dyDescent="0.3">
      <c r="O49" s="5" t="s">
        <v>677</v>
      </c>
      <c r="P49" s="19">
        <v>4800</v>
      </c>
      <c r="Q49" s="12">
        <v>1</v>
      </c>
      <c r="R49" s="266" t="s">
        <v>76</v>
      </c>
    </row>
    <row r="50" spans="15:18" x14ac:dyDescent="0.3">
      <c r="O50" s="5" t="s">
        <v>678</v>
      </c>
      <c r="P50" s="19">
        <v>2700</v>
      </c>
      <c r="Q50" s="12">
        <v>1</v>
      </c>
      <c r="R50" s="5" t="s">
        <v>671</v>
      </c>
    </row>
    <row r="51" spans="15:18" x14ac:dyDescent="0.3">
      <c r="O51" s="5" t="s">
        <v>72</v>
      </c>
      <c r="P51" s="19">
        <v>3200</v>
      </c>
      <c r="Q51" s="12">
        <v>1</v>
      </c>
      <c r="R51" s="5"/>
    </row>
    <row r="52" spans="15:18" x14ac:dyDescent="0.3">
      <c r="O52" s="5" t="s">
        <v>67</v>
      </c>
      <c r="P52" s="19">
        <v>3700</v>
      </c>
      <c r="Q52" s="12">
        <v>1</v>
      </c>
      <c r="R52" s="5"/>
    </row>
    <row r="53" spans="15:18" x14ac:dyDescent="0.3">
      <c r="O53" s="5" t="s">
        <v>69</v>
      </c>
      <c r="P53" s="19">
        <v>4900</v>
      </c>
      <c r="Q53" s="12">
        <v>1</v>
      </c>
      <c r="R53" s="5"/>
    </row>
  </sheetData>
  <autoFilter ref="B1:R49" xr:uid="{00000000-0009-0000-0000-00000700000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
  <sheetViews>
    <sheetView workbookViewId="0">
      <selection sqref="A1:IV2"/>
    </sheetView>
  </sheetViews>
  <sheetFormatPr defaultRowHeight="14.4" x14ac:dyDescent="0.3"/>
  <sheetData>
    <row r="1" spans="1:10" x14ac:dyDescent="0.3">
      <c r="A1">
        <v>1</v>
      </c>
      <c r="B1">
        <v>2</v>
      </c>
      <c r="C1">
        <v>3</v>
      </c>
      <c r="D1">
        <v>4</v>
      </c>
      <c r="E1">
        <v>5</v>
      </c>
      <c r="F1">
        <v>6</v>
      </c>
      <c r="G1">
        <v>7</v>
      </c>
      <c r="H1">
        <v>8</v>
      </c>
      <c r="I1">
        <v>9</v>
      </c>
      <c r="J1">
        <v>10</v>
      </c>
    </row>
    <row r="2" spans="1:10" x14ac:dyDescent="0.3">
      <c r="A2">
        <v>3</v>
      </c>
      <c r="B2">
        <v>4</v>
      </c>
      <c r="C2">
        <v>5</v>
      </c>
      <c r="D2">
        <v>6</v>
      </c>
      <c r="E2">
        <v>7</v>
      </c>
      <c r="F2">
        <v>8</v>
      </c>
      <c r="G2">
        <v>9</v>
      </c>
      <c r="H2">
        <v>10</v>
      </c>
      <c r="I2">
        <v>11</v>
      </c>
      <c r="J2">
        <v>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D183E14B9E9340BCDFE9DE34A82E87" ma:contentTypeVersion="14" ma:contentTypeDescription="Een nieuw document maken." ma:contentTypeScope="" ma:versionID="4af8c0906a4cbc845467e2ef3aa97ad8">
  <xsd:schema xmlns:xsd="http://www.w3.org/2001/XMLSchema" xmlns:xs="http://www.w3.org/2001/XMLSchema" xmlns:p="http://schemas.microsoft.com/office/2006/metadata/properties" xmlns:ns2="d3188df9-fc0a-411e-aa6d-089a4b1b1b7f" xmlns:ns3="b646ba2c-5d6b-4dbe-848d-ffe408b4b53d" targetNamespace="http://schemas.microsoft.com/office/2006/metadata/properties" ma:root="true" ma:fieldsID="e64d7ca9423e3bc61385a842cc642caf" ns2:_="" ns3:_="">
    <xsd:import namespace="d3188df9-fc0a-411e-aa6d-089a4b1b1b7f"/>
    <xsd:import namespace="b646ba2c-5d6b-4dbe-848d-ffe408b4b53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188df9-fc0a-411e-aa6d-089a4b1b1b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46ba2c-5d6b-4dbe-848d-ffe408b4b53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d6dc3a-7d7a-4bd7-b358-3d3697ab4a11}" ma:internalName="TaxCatchAll" ma:showField="CatchAllData" ma:web="b646ba2c-5d6b-4dbe-848d-ffe408b4b53d">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646ba2c-5d6b-4dbe-848d-ffe408b4b53d" xsi:nil="true"/>
    <lcf76f155ced4ddcb4097134ff3c332f xmlns="d3188df9-fc0a-411e-aa6d-089a4b1b1b7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E23C9A4-B66C-4FD2-9BFF-79FBA9745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188df9-fc0a-411e-aa6d-089a4b1b1b7f"/>
    <ds:schemaRef ds:uri="b646ba2c-5d6b-4dbe-848d-ffe408b4b5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0DE1F4-ECAE-425F-97EE-AB5719992330}">
  <ds:schemaRefs>
    <ds:schemaRef ds:uri="http://schemas.microsoft.com/sharepoint/v3/contenttype/forms"/>
  </ds:schemaRefs>
</ds:datastoreItem>
</file>

<file path=customXml/itemProps3.xml><?xml version="1.0" encoding="utf-8"?>
<ds:datastoreItem xmlns:ds="http://schemas.openxmlformats.org/officeDocument/2006/customXml" ds:itemID="{70FF31BA-45BE-4183-BAAE-2B97E13A780E}">
  <ds:schemaRefs>
    <ds:schemaRef ds:uri="http://schemas.microsoft.com/office/2006/documentManagement/types"/>
    <ds:schemaRef ds:uri="http://schemas.microsoft.com/office/infopath/2007/PartnerControls"/>
    <ds:schemaRef ds:uri="http://purl.org/dc/elements/1.1/"/>
    <ds:schemaRef ds:uri="eedcce29-ecf2-4622-b9e2-2b9c30ae32a8"/>
    <ds:schemaRef ds:uri="http://schemas.microsoft.com/office/2006/metadata/properties"/>
    <ds:schemaRef ds:uri="http://purl.org/dc/terms/"/>
    <ds:schemaRef ds:uri="http://schemas.openxmlformats.org/package/2006/metadata/core-properties"/>
    <ds:schemaRef ds:uri="b646ba2c-5d6b-4dbe-848d-ffe408b4b53d"/>
    <ds:schemaRef ds:uri="http://www.w3.org/XML/1998/namespace"/>
    <ds:schemaRef ds:uri="http://purl.org/dc/dcmitype/"/>
    <ds:schemaRef ds:uri="d3188df9-fc0a-411e-aa6d-089a4b1b1b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33</vt:i4>
      </vt:variant>
    </vt:vector>
  </HeadingPairs>
  <TitlesOfParts>
    <vt:vector size="42" baseType="lpstr">
      <vt:lpstr>Simulatie-tabel</vt:lpstr>
      <vt:lpstr>Prijsnormen €</vt:lpstr>
      <vt:lpstr>Prijzentabel €</vt:lpstr>
      <vt:lpstr>Gebouwtypes</vt:lpstr>
      <vt:lpstr>LijstWM</vt:lpstr>
      <vt:lpstr>LijstGemeenten</vt:lpstr>
      <vt:lpstr>Basis-maxima</vt:lpstr>
      <vt:lpstr>Codetabel</vt:lpstr>
      <vt:lpstr>Code</vt:lpstr>
      <vt:lpstr>Aanpasbaar</vt:lpstr>
      <vt:lpstr>Gebouwtypes!Afdrukbereik</vt:lpstr>
      <vt:lpstr>'Prijsnormen €'!Afdrukbereik</vt:lpstr>
      <vt:lpstr>'Simulatie-tabel'!Afdrukbereik</vt:lpstr>
      <vt:lpstr>Auto</vt:lpstr>
      <vt:lpstr>Basis</vt:lpstr>
      <vt:lpstr>CBO</vt:lpstr>
      <vt:lpstr>centrum</vt:lpstr>
      <vt:lpstr>Gebouw</vt:lpstr>
      <vt:lpstr>Gebouwtype</vt:lpstr>
      <vt:lpstr>Gebouwtypes</vt:lpstr>
      <vt:lpstr>Gemeenten</vt:lpstr>
      <vt:lpstr>Huur</vt:lpstr>
      <vt:lpstr>Invulbouw</vt:lpstr>
      <vt:lpstr>Keuzelijst</vt:lpstr>
      <vt:lpstr>Keuzelijste</vt:lpstr>
      <vt:lpstr>Koop</vt:lpstr>
      <vt:lpstr>Lagen</vt:lpstr>
      <vt:lpstr>Lijst_Gemeenten</vt:lpstr>
      <vt:lpstr>MV</vt:lpstr>
      <vt:lpstr>Opp</vt:lpstr>
      <vt:lpstr>oppcf</vt:lpstr>
      <vt:lpstr>Soort</vt:lpstr>
      <vt:lpstr>SoortWerk</vt:lpstr>
      <vt:lpstr>Stad</vt:lpstr>
      <vt:lpstr>Stadia</vt:lpstr>
      <vt:lpstr>Stadium</vt:lpstr>
      <vt:lpstr>Type</vt:lpstr>
      <vt:lpstr>Types</vt:lpstr>
      <vt:lpstr>Werk</vt:lpstr>
      <vt:lpstr>WM_Naam</vt:lpstr>
      <vt:lpstr>WM_nr</vt:lpstr>
      <vt:lpstr>Woningtypes</vt:lpstr>
    </vt:vector>
  </TitlesOfParts>
  <Manager/>
  <Company>Vlaamse Maatschappij voor Sociaal Wonen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kostprijssimulatietabel</dc:title>
  <dc:subject/>
  <dc:creator>VMSW</dc:creator>
  <cp:keywords/>
  <dc:description/>
  <cp:lastModifiedBy>Aelbrecht Myriam</cp:lastModifiedBy>
  <cp:revision/>
  <dcterms:created xsi:type="dcterms:W3CDTF">2009-02-24T09:00:01Z</dcterms:created>
  <dcterms:modified xsi:type="dcterms:W3CDTF">2024-04-19T07:24:16Z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0x01010058D183E14B9E9340BCDFE9DE34A82E87</vt:lpwstr>
  </property>
  <property fmtid="{D5CDD505-2E9C-101B-9397-08002B2CF9AE}" pid="3" name="Order">
    <vt:r8>100</vt:r8>
  </property>
  <property fmtid="{D5CDD505-2E9C-101B-9397-08002B2CF9AE}" pid="4" name="MediaServiceImageTags">
    <vt:lpwstr/>
  </property>
</Properties>
</file>