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imulatie-tabel €" sheetId="1" r:id="rId1"/>
    <sheet name="%Renovatie" sheetId="2" r:id="rId2"/>
    <sheet name="%Deelrenovaties" sheetId="3" r:id="rId3"/>
    <sheet name="Prijsnormen €" sheetId="4" r:id="rId4"/>
    <sheet name="Gebouwtypes" sheetId="5" r:id="rId5"/>
    <sheet name="Prijzentabel €" sheetId="6" r:id="rId6"/>
    <sheet name="Lijst SHM's" sheetId="7" state="hidden" r:id="rId7"/>
    <sheet name="LijstGemeenten" sheetId="8" state="hidden" r:id="rId8"/>
    <sheet name="Basis-maxima" sheetId="9" state="hidden" r:id="rId9"/>
    <sheet name="Codetabel" sheetId="10" state="hidden" r:id="rId10"/>
    <sheet name="Code" sheetId="11" state="hidden" r:id="rId11"/>
  </sheets>
  <definedNames>
    <definedName name="_xlnm._FilterDatabase" localSheetId="9" hidden="1">'Codetabel'!$A$1:$R$49</definedName>
    <definedName name="_xlnm._FilterDatabase" localSheetId="7" hidden="1">'LijstGemeenten'!$A$1:$E$311</definedName>
    <definedName name="Aanpasbaar">'Codetabel'!$B$2:$B$4</definedName>
    <definedName name="_xlnm.Print_Area" localSheetId="1">'%Renovatie'!$A$1:$F$23</definedName>
    <definedName name="_xlnm.Print_Area" localSheetId="4">'Gebouwtypes'!$A$1:$B$41</definedName>
    <definedName name="_xlnm.Print_Area" localSheetId="3">'Prijsnormen €'!$A$1:$C$52</definedName>
    <definedName name="_xlnm.Print_Area" localSheetId="0">'Simulatie-tabel €'!$A$1:$BJ$51</definedName>
    <definedName name="Auto">'Codetabel'!$G$2:$G$3</definedName>
    <definedName name="Autoberging">'Codetabel'!$G$2:$G$5</definedName>
    <definedName name="Basis">'Codetabel'!#REF!</definedName>
    <definedName name="centrum">'Codetabel'!$D$2:$D$4</definedName>
    <definedName name="Deelrenovaties">'Codetabel'!$Q$2:$Q$33</definedName>
    <definedName name="Gebouw">'Codetabel'!$M$2:$M$43</definedName>
    <definedName name="Gebouwtype">'Codetabel'!$P$2:$P$35</definedName>
    <definedName name="Gemeenten">'LijstGemeenten'!$C$2:$C$311</definedName>
    <definedName name="Huur">'Codetabel'!$I$2:$I$4</definedName>
    <definedName name="Invulbouw">'Codetabel'!$A$2:$A$5</definedName>
    <definedName name="Keuzelijst">'Codetabel'!$P$2:$P$50</definedName>
    <definedName name="Keuzelijste">'Codetabel'!$P$2:$P$50</definedName>
    <definedName name="Koop">'Codetabel'!$I$2:$I$3</definedName>
    <definedName name="Lagen">'Codetabel'!$J$2:$J$4</definedName>
    <definedName name="Lijst_Autobergingen">#REF!</definedName>
    <definedName name="Lijst_Cf_MV">#REF!</definedName>
    <definedName name="Lijst_CfMV">#REF!</definedName>
    <definedName name="Lijst_CfSted">#REF!</definedName>
    <definedName name="Lijst_CfVLAB">#REF!</definedName>
    <definedName name="Lijst_ExtraVoorzieningen">#REF!</definedName>
    <definedName name="Lijst_Gebouwtypes">#REF!</definedName>
    <definedName name="Lijst_Gemeenten">'LijstGemeenten'!$B$2:$B$311</definedName>
    <definedName name="LIJST_KEUZE">#REF!</definedName>
    <definedName name="Lijst_koop_huur">#REF!</definedName>
    <definedName name="Lijst_Lagen">#REF!</definedName>
    <definedName name="Lijst_mv">#REF!</definedName>
    <definedName name="Lijst_Prijscategorie">#REF!</definedName>
    <definedName name="Lijst_SHM">#REF!</definedName>
    <definedName name="Lijst_SoortWerk">#REF!</definedName>
    <definedName name="Lijst_SpecFund">#REF!</definedName>
    <definedName name="Lijst_Wooneenheden">#REF!</definedName>
    <definedName name="MV">'Codetabel'!$B$2:$B$3</definedName>
    <definedName name="Opp">'Codetabel'!$C$2:$C$5</definedName>
    <definedName name="oppcf">'Codetabel'!$C$2:$C$3</definedName>
    <definedName name="Soort">'Codetabel'!$E$3:$E$4</definedName>
    <definedName name="SoortWerk">'Codetabel'!$E$2:$E$7</definedName>
    <definedName name="Stad">'Codetabel'!$K$1:$K$4</definedName>
    <definedName name="Stadia">'Codetabel'!$K$2:$K$4</definedName>
    <definedName name="Stadium">'Codetabel'!$K$2:$K$2</definedName>
    <definedName name="Type">'Codetabel'!$H$2:$H$3</definedName>
    <definedName name="Werk">'Codetabel'!$E$3:$E$7</definedName>
    <definedName name="Woningtypes">'Codetabel'!$H$2:$H$4</definedName>
  </definedNames>
  <calcPr fullCalcOnLoad="1"/>
</workbook>
</file>

<file path=xl/comments1.xml><?xml version="1.0" encoding="utf-8"?>
<comments xmlns="http://schemas.openxmlformats.org/spreadsheetml/2006/main">
  <authors>
    <author>wb0771</author>
    <author>telewerk4</author>
    <author>Bosmans Wouter</author>
  </authors>
  <commentList>
    <comment ref="A2" authorId="0">
      <text>
        <r>
          <rPr>
            <b/>
            <sz val="9"/>
            <rFont val="Tahoma"/>
            <family val="2"/>
          </rPr>
          <t>NB = Nieuwbouw
VB = Vervangingsbouw
REN 1,2,3 = Berekening Tablad % Renovatie
AFB = Afbraakwerken</t>
        </r>
      </text>
    </comment>
    <comment ref="AC2" authorId="0">
      <text>
        <r>
          <rPr>
            <sz val="9"/>
            <rFont val="Tahoma"/>
            <family val="2"/>
          </rPr>
          <t xml:space="preserve">Verhogingspercentage invulbouw (3% / 5% / 7%) : 
Voor projecten die aan één of meerdere van onderstaande invulbouwcriteria beantwoorden wordt een trapsgewijs verhogingspercentage toegekend. Gebouwen die aan alle 3 criteria beantwoorden krijgen 7% toegekend, gebouwen die aan twee criteria beantwoorden 5%. Gebouwen waarvoor enkel criterium 1 geldt krijgen een verhogingspercentage van 3%. Ingeval van r gewone enovatiewerken wordt het percentage beperkt tot maximum 3%
1. Projecten aangebouwd tegen minstens één bestaande volwaardige wachtgevel (over meer dan 1 verdieping). Indien het een wachtgevel jonger dan 5 jaar betreft, is deze geen eigendom van de initiatiefnemer of door hem gebouwd. 
2. Projecten aangebouwd tegen minstens één tweede volwaardige wachtgevel (over meer dan 1 verdieping). Indien het een wachtgevel jonger dan 5 jaar betreft, is deze geen eigendom van de initiatiefnemer of door hem gebouwd.
3. Projecten waarvan minstens één volledige gevel rechtstreeks grenst aan het openbaar domein (bouwlijn valt samen met de rooilijn); </t>
        </r>
      </text>
    </comment>
    <comment ref="AD2" authorId="0">
      <text>
        <r>
          <rPr>
            <b/>
            <sz val="9"/>
            <rFont val="Tahoma"/>
            <family val="2"/>
          </rPr>
          <t xml:space="preserve">Verhogingspercentage aangepast bouwen (1%)
</t>
        </r>
        <r>
          <rPr>
            <sz val="9"/>
            <rFont val="Tahoma"/>
            <family val="2"/>
          </rPr>
          <t>Voor aangepaste woningen, conform de C, wordt een verhogingspercentage van 1% toegekend, samen met een verhoging van de maximum WO van 10% (oppervlaktecoëfficiënt 1,1 in kolom AF).</t>
        </r>
      </text>
    </comment>
    <comment ref="D2" authorId="0">
      <text>
        <r>
          <rPr>
            <sz val="9"/>
            <rFont val="Tahoma"/>
            <family val="2"/>
          </rPr>
          <t>A = appartement, duplexwoning
E = eengezinshuis, bunglaow (grondgebonden)
K - Kamerwoning</t>
        </r>
      </text>
    </comment>
    <comment ref="J2" authorId="0">
      <text>
        <r>
          <rPr>
            <b/>
            <sz val="9"/>
            <rFont val="Tahoma"/>
            <family val="2"/>
          </rPr>
          <t>Woningoppervlakte gemeten excl. opp. buitenmuren maar incl opp. binnenmuren</t>
        </r>
      </text>
    </comment>
    <comment ref="V2" authorId="0">
      <text>
        <r>
          <rPr>
            <b/>
            <sz val="9"/>
            <rFont val="Tahoma"/>
            <family val="2"/>
          </rPr>
          <t>Zie tabblad prijsnormen</t>
        </r>
        <r>
          <rPr>
            <sz val="9"/>
            <rFont val="Tahoma"/>
            <family val="2"/>
          </rPr>
          <t xml:space="preserve">
</t>
        </r>
      </text>
    </comment>
    <comment ref="H2" authorId="0">
      <text>
        <r>
          <rPr>
            <sz val="9"/>
            <rFont val="Tahoma"/>
            <family val="2"/>
          </rPr>
          <t>Oppervlaktesurplus voor verticale circulatie
1 woonlaag = 0 m²
2 woonlagen = 6 m²
3 of meer lagen = 10 m²</t>
        </r>
      </text>
    </comment>
    <comment ref="I2" authorId="0">
      <text>
        <r>
          <rPr>
            <b/>
            <sz val="9"/>
            <rFont val="Tahoma"/>
            <family val="2"/>
          </rPr>
          <t>Effectief voorziene oppervlakte berging binnen het beschermd volume</t>
        </r>
        <r>
          <rPr>
            <sz val="9"/>
            <rFont val="Tahoma"/>
            <family val="2"/>
          </rPr>
          <t xml:space="preserve">
</t>
        </r>
      </text>
    </comment>
    <comment ref="AB2" authorId="1">
      <text>
        <r>
          <rPr>
            <sz val="9"/>
            <rFont val="Tahoma"/>
            <family val="2"/>
          </rPr>
          <t xml:space="preserve">Verhogingspercentage gemeente
Centrumsteden 7%
Werkgebied Vlabinvest 2% 
Let wel: voor posten volgens raming  (afbraakwerken, …) steeds 0%
</t>
        </r>
      </text>
    </comment>
    <comment ref="B2" authorId="1">
      <text>
        <r>
          <rPr>
            <b/>
            <sz val="9"/>
            <rFont val="Tahoma"/>
            <family val="2"/>
          </rPr>
          <t>Bestemming
H = Huur (-woningen)
K = Koop (-woningen)
A = Andere</t>
        </r>
        <r>
          <rPr>
            <sz val="9"/>
            <rFont val="Tahoma"/>
            <family val="2"/>
          </rPr>
          <t xml:space="preserve">
</t>
        </r>
      </text>
    </comment>
    <comment ref="Y2" authorId="2">
      <text>
        <r>
          <rPr>
            <b/>
            <sz val="9"/>
            <rFont val="Tahoma"/>
            <family val="2"/>
          </rPr>
          <t xml:space="preserve">Garage / Carport / Parking-Bovgr / Parking-Ondgr 
(G / C / B / O)
</t>
        </r>
        <r>
          <rPr>
            <sz val="9"/>
            <rFont val="Tahoma"/>
            <family val="2"/>
          </rPr>
          <t xml:space="preserve">
</t>
        </r>
      </text>
    </comment>
  </commentList>
</comments>
</file>

<file path=xl/sharedStrings.xml><?xml version="1.0" encoding="utf-8"?>
<sst xmlns="http://schemas.openxmlformats.org/spreadsheetml/2006/main" count="3150" uniqueCount="1510">
  <si>
    <t>OMSCHRIJVING</t>
  </si>
  <si>
    <t># SLPK</t>
  </si>
  <si>
    <t># PERS</t>
  </si>
  <si>
    <t># STUK</t>
  </si>
  <si>
    <t>m² surplus</t>
  </si>
  <si>
    <t>m² berging</t>
  </si>
  <si>
    <t>WO METING</t>
  </si>
  <si>
    <t>tot. correctie</t>
  </si>
  <si>
    <t>tot. berging</t>
  </si>
  <si>
    <t>basismax.</t>
  </si>
  <si>
    <t>BasisMax(*)</t>
  </si>
  <si>
    <t>tot. WO-meting</t>
  </si>
  <si>
    <t>% t.o.v.</t>
  </si>
  <si>
    <t>tot. max. WO</t>
  </si>
  <si>
    <t>WO PLAFOND</t>
  </si>
  <si>
    <t>REF. PRIJS / m²</t>
  </si>
  <si>
    <t>prijscorr. / m²</t>
  </si>
  <si>
    <t>OPP-Coëfficient</t>
  </si>
  <si>
    <t>Index-Coëfficient</t>
  </si>
  <si>
    <t>MAXIMUMPRIJS / TYPE</t>
  </si>
  <si>
    <t>Prijs.excl.garage</t>
  </si>
  <si>
    <t>PRIJS X AANTAL</t>
  </si>
  <si>
    <t>Diversen</t>
  </si>
  <si>
    <t>Afbraakwerken</t>
  </si>
  <si>
    <t>Tuinberging</t>
  </si>
  <si>
    <t>A</t>
  </si>
  <si>
    <t>E</t>
  </si>
  <si>
    <t>Aantal</t>
  </si>
  <si>
    <t>PERS.</t>
  </si>
  <si>
    <t>SLPK.</t>
  </si>
  <si>
    <t>SHM - NR.</t>
  </si>
  <si>
    <t>NAAM SHM</t>
  </si>
  <si>
    <t>SHM naam wordt automatisch ingevuld bij ingave nr</t>
  </si>
  <si>
    <t>m²</t>
  </si>
  <si>
    <t>OVERZICHT PRIJSNORMEN</t>
  </si>
  <si>
    <t>ontbrekende posten</t>
  </si>
  <si>
    <t>/m²</t>
  </si>
  <si>
    <t>vloerbekleding</t>
  </si>
  <si>
    <t>bijkomende posten</t>
  </si>
  <si>
    <t>forfaitaire posten</t>
  </si>
  <si>
    <t>/stuk</t>
  </si>
  <si>
    <t>supplement kleine woninggroepen</t>
  </si>
  <si>
    <t>eerste 500m²</t>
  </si>
  <si>
    <t>groter dan 500m²</t>
  </si>
  <si>
    <t>renovatie</t>
  </si>
  <si>
    <t xml:space="preserve">maximumprijs afbraak bij vervangingsbouw : </t>
  </si>
  <si>
    <t>wandbetegeling (faïence)</t>
  </si>
  <si>
    <t>binnendeuren</t>
  </si>
  <si>
    <t>keukenmeubilair</t>
  </si>
  <si>
    <t>sanitaire toestellen</t>
  </si>
  <si>
    <t>garages - gegroepeerd</t>
  </si>
  <si>
    <t>carports - gegroepeerd</t>
  </si>
  <si>
    <t>bovengrondse verharde parkeerplaatsen</t>
  </si>
  <si>
    <t>ondergrondse staanplaatsen / garages</t>
  </si>
  <si>
    <t>fietsbergingen, tuinbergingen, kelderbergingen, teller- en vuilnislokalen</t>
  </si>
  <si>
    <t>stut- en ondervangingswerken (Berlinerwanden, palenwanden, …)</t>
  </si>
  <si>
    <t>raming of bestelbedrag</t>
  </si>
  <si>
    <t>ergonomische uitrustingen voor personen met een handicap</t>
  </si>
  <si>
    <t>afbraakwerken vervangingsbouw</t>
  </si>
  <si>
    <t>omgevingswerken</t>
  </si>
  <si>
    <t>afbraak</t>
  </si>
  <si>
    <t>Omschrijving</t>
  </si>
  <si>
    <t>Code</t>
  </si>
  <si>
    <t>garage</t>
  </si>
  <si>
    <t>Commerciele ruimten - nachtwinkels - verkoopsruimten - kapperszaken - ...</t>
  </si>
  <si>
    <t>handelsruimte</t>
  </si>
  <si>
    <t>carport</t>
  </si>
  <si>
    <t>Gemeenschappelijke wasruimte</t>
  </si>
  <si>
    <t>ruimte-was</t>
  </si>
  <si>
    <t>Kinderkribbe - Crèche</t>
  </si>
  <si>
    <t>kribbe</t>
  </si>
  <si>
    <t>Administratieve zetel SHM</t>
  </si>
  <si>
    <t>SHM-zetel</t>
  </si>
  <si>
    <t>Kantoorruimte - Administratieve diensten</t>
  </si>
  <si>
    <t>kantoor</t>
  </si>
  <si>
    <t>Berging onderhoudsmaterieel SHM, poetspersoneel, ...</t>
  </si>
  <si>
    <t>berg-ondh</t>
  </si>
  <si>
    <t>Vuilnisberging - Lokaal vuilniscontainers</t>
  </si>
  <si>
    <t>berg-afval</t>
  </si>
  <si>
    <t>Gemeenschappelijke fiets- &amp; bromfietsstalling - staanplaats moto's, kinderwagens, rolstoelen, ...</t>
  </si>
  <si>
    <t>berg-fiets</t>
  </si>
  <si>
    <t>park-bovgr</t>
  </si>
  <si>
    <t>Dispatchingsruimte voor ADL- cluster - Aanpasbaar bouwen - Dienstencentrum</t>
  </si>
  <si>
    <t>ADL-Centrale</t>
  </si>
  <si>
    <t>Stookruimte - collectieve centrale verwarming</t>
  </si>
  <si>
    <t>ruimte-CV</t>
  </si>
  <si>
    <t>Kantine - Niet publiek toegankelijke cafetaria</t>
  </si>
  <si>
    <t>kantine</t>
  </si>
  <si>
    <t>Gemeenschappelijke recreatieruimte (bv. bejaarden, wijklokaal, ...)</t>
  </si>
  <si>
    <t>ruimte-gem</t>
  </si>
  <si>
    <t>Berging met andere (gemeenschappelijke) bestemming, ...</t>
  </si>
  <si>
    <t>berg-divs</t>
  </si>
  <si>
    <t>Ondergrondse parkeerplaats</t>
  </si>
  <si>
    <t>park-ondgr</t>
  </si>
  <si>
    <t>Diversen niet nader benoemd - enkel op te nemen in functie van simulatietabel</t>
  </si>
  <si>
    <t>diversen</t>
  </si>
  <si>
    <t>Individuele private (kelder-) bergingen in appartementsgebouw, dewelke niet onlosmakelijk geïntegreerd of rechtstreeks toegangelijk zijn vanuit de woningen.</t>
  </si>
  <si>
    <t>berg-indiv</t>
  </si>
  <si>
    <t>berg-tuin</t>
  </si>
  <si>
    <t>administratieve ruimte</t>
  </si>
  <si>
    <t>ruimte-adm</t>
  </si>
  <si>
    <t>Jeugdhuis</t>
  </si>
  <si>
    <t>jeugdhuis</t>
  </si>
  <si>
    <t>Niet nader omschreven</t>
  </si>
  <si>
    <t>onbenoemd</t>
  </si>
  <si>
    <t>Woning of gebouw bestemd voor afbraak</t>
  </si>
  <si>
    <t>Archief</t>
  </si>
  <si>
    <t>archief</t>
  </si>
  <si>
    <t>omgeving</t>
  </si>
  <si>
    <t>SHM-bureel</t>
  </si>
  <si>
    <t>magazijn</t>
  </si>
  <si>
    <t>dienstencentrum</t>
  </si>
  <si>
    <t>Liften</t>
  </si>
  <si>
    <t>liften</t>
  </si>
  <si>
    <t>Polyvalente ruimte : vergaderzaal, Feestzaal</t>
  </si>
  <si>
    <t>ruimte-pol</t>
  </si>
  <si>
    <t>horeca</t>
  </si>
  <si>
    <t>Werkhuis - Atelier SHM</t>
  </si>
  <si>
    <t>SHM-werkh</t>
  </si>
  <si>
    <t>Stockruimte materieel SHM</t>
  </si>
  <si>
    <t>SHM-magaz</t>
  </si>
  <si>
    <t>Tellerberging - Meterlokaal in appartementsgebouwen</t>
  </si>
  <si>
    <t>berg-meter</t>
  </si>
  <si>
    <t>Gesloten garagebox - gegroepeerd bovengronds
Niet onlosmakelijk verbonden met een individuele woning
Gesitueerd in gegroepeerde batterij garages</t>
  </si>
  <si>
    <t>Overdekte autostaanplaats - Carport
Niet onlosmakelijk verbonden met woongelegenheid
Gesitueerd bovengronds of ondergronds</t>
  </si>
  <si>
    <t>Private autostaanplaats bovengronds (in open lucht)
Niet onlosmakelijk verbonden aan een gebouw</t>
  </si>
  <si>
    <t xml:space="preserve">Café - Restaurant (publiek toegankelijk)
</t>
  </si>
  <si>
    <t xml:space="preserve"> woning</t>
  </si>
  <si>
    <t xml:space="preserve"> appartement</t>
  </si>
  <si>
    <t>H</t>
  </si>
  <si>
    <t>Invulbouw verhoging %</t>
  </si>
  <si>
    <t>Basisprijscoëfficient</t>
  </si>
  <si>
    <t>Provincie</t>
  </si>
  <si>
    <t>Arrondissement</t>
  </si>
  <si>
    <t>Gemeente</t>
  </si>
  <si>
    <t>Ruimtelijke indeling</t>
  </si>
  <si>
    <t>SUPPL</t>
  </si>
  <si>
    <t>OOST-VLAANDEREN</t>
  </si>
  <si>
    <t>AALST</t>
  </si>
  <si>
    <t>GENT</t>
  </si>
  <si>
    <t>AALTER</t>
  </si>
  <si>
    <t>Buitengebied</t>
  </si>
  <si>
    <t>VLAAMS-BRABANT</t>
  </si>
  <si>
    <t>LEUVEN</t>
  </si>
  <si>
    <t>AARSCHOT</t>
  </si>
  <si>
    <t>Structuurondersteunend kleinstedelijk gebied</t>
  </si>
  <si>
    <t>ANTWERPEN</t>
  </si>
  <si>
    <t>AARTSELAAR</t>
  </si>
  <si>
    <t>HALLE-VILVOORDE</t>
  </si>
  <si>
    <t>AFFLIGEM</t>
  </si>
  <si>
    <t>LIMBURG</t>
  </si>
  <si>
    <t>TONGEREN</t>
  </si>
  <si>
    <t>ALKEN</t>
  </si>
  <si>
    <t>WEST-VLAANDEREN</t>
  </si>
  <si>
    <t>VEURNE</t>
  </si>
  <si>
    <t>ALVERINGEM</t>
  </si>
  <si>
    <t>KORTRIJK</t>
  </si>
  <si>
    <t>ANZEGEM</t>
  </si>
  <si>
    <t>TIELT</t>
  </si>
  <si>
    <t>ARDOOIE</t>
  </si>
  <si>
    <t>TURNHOUT</t>
  </si>
  <si>
    <t>ARENDONK</t>
  </si>
  <si>
    <t>HASSELT</t>
  </si>
  <si>
    <t>AS</t>
  </si>
  <si>
    <t>ASSE</t>
  </si>
  <si>
    <t>Kleinstedelijk gebied op provinciaal niveau</t>
  </si>
  <si>
    <t>EEKLO</t>
  </si>
  <si>
    <t>ASSENEDE</t>
  </si>
  <si>
    <t>AVELGEM</t>
  </si>
  <si>
    <t>BAARLE-HERTOG</t>
  </si>
  <si>
    <t>BALEN</t>
  </si>
  <si>
    <t>BRUGGE</t>
  </si>
  <si>
    <t>BEERNEM</t>
  </si>
  <si>
    <t>BEERSE</t>
  </si>
  <si>
    <t>Regionaalstedelijk gebied</t>
  </si>
  <si>
    <t>BEERSEL</t>
  </si>
  <si>
    <t>BEGIJNENDIJK</t>
  </si>
  <si>
    <t>BEKKEVOORT</t>
  </si>
  <si>
    <t>BERINGEN</t>
  </si>
  <si>
    <t>MECHELEN</t>
  </si>
  <si>
    <t>BERLAAR</t>
  </si>
  <si>
    <t>DENDERMONDE</t>
  </si>
  <si>
    <t>BERLARE</t>
  </si>
  <si>
    <t>BERTEM</t>
  </si>
  <si>
    <t>BEVER</t>
  </si>
  <si>
    <t>SINT-NIKLAAS</t>
  </si>
  <si>
    <t>BEVEREN</t>
  </si>
  <si>
    <t>BIERBEEK</t>
  </si>
  <si>
    <t>BILZEN</t>
  </si>
  <si>
    <t>BLANKENBERGE</t>
  </si>
  <si>
    <t>MAASEIK</t>
  </si>
  <si>
    <t>BOCHOLT</t>
  </si>
  <si>
    <t>BOECHOUT</t>
  </si>
  <si>
    <t>BONHEIDEN</t>
  </si>
  <si>
    <t>BOOM</t>
  </si>
  <si>
    <t>BOORTMEERBEEK</t>
  </si>
  <si>
    <t>BORGLOON</t>
  </si>
  <si>
    <t>BORNEM</t>
  </si>
  <si>
    <t>BORSBEEK</t>
  </si>
  <si>
    <t>BOUTERSEM</t>
  </si>
  <si>
    <t>OUDENAARDE</t>
  </si>
  <si>
    <t>BRAKEL</t>
  </si>
  <si>
    <t>BRASSCHAAT</t>
  </si>
  <si>
    <t>BRECHT</t>
  </si>
  <si>
    <t>OOSTENDE</t>
  </si>
  <si>
    <t>BREDENE</t>
  </si>
  <si>
    <t>BREE</t>
  </si>
  <si>
    <t>BUGGENHOUT</t>
  </si>
  <si>
    <t>DAMME</t>
  </si>
  <si>
    <t>DE HAAN</t>
  </si>
  <si>
    <t>DE PANNE</t>
  </si>
  <si>
    <t>DE PINTE</t>
  </si>
  <si>
    <t>DEERLIJK</t>
  </si>
  <si>
    <t>DEINZE</t>
  </si>
  <si>
    <t>DENDERLEEUW</t>
  </si>
  <si>
    <t>DENTERGEM</t>
  </si>
  <si>
    <t>DESSEL</t>
  </si>
  <si>
    <t>DESTELBERGEN</t>
  </si>
  <si>
    <t>DIEPENBEEK</t>
  </si>
  <si>
    <t>DIEST</t>
  </si>
  <si>
    <t>DIKSMUIDE</t>
  </si>
  <si>
    <t>DILBEEK</t>
  </si>
  <si>
    <t>DILSEN-STOKKEM</t>
  </si>
  <si>
    <t>DROGENBOS</t>
  </si>
  <si>
    <t>DUFFEL</t>
  </si>
  <si>
    <t>EDEGEM</t>
  </si>
  <si>
    <t>ERPE-MERE</t>
  </si>
  <si>
    <t>ESSEN</t>
  </si>
  <si>
    <t>EVERGEM</t>
  </si>
  <si>
    <t>GALMAARDEN</t>
  </si>
  <si>
    <t>GAVERE</t>
  </si>
  <si>
    <t>GEEL</t>
  </si>
  <si>
    <t>GEETBETS</t>
  </si>
  <si>
    <t>GENK</t>
  </si>
  <si>
    <t>GERAARDSBERGEN</t>
  </si>
  <si>
    <t>GINGELOM</t>
  </si>
  <si>
    <t>GISTEL</t>
  </si>
  <si>
    <t>GLABBEEK</t>
  </si>
  <si>
    <t>GOOIK</t>
  </si>
  <si>
    <t>GRIMBERGEN</t>
  </si>
  <si>
    <t>GROBBENDONK</t>
  </si>
  <si>
    <t>HAACHT</t>
  </si>
  <si>
    <t>HAALTERT</t>
  </si>
  <si>
    <t>HALEN</t>
  </si>
  <si>
    <t>HALLE</t>
  </si>
  <si>
    <t>HAM</t>
  </si>
  <si>
    <t>HAMME</t>
  </si>
  <si>
    <t>HAMONT-ACHEL</t>
  </si>
  <si>
    <t>HARELBEKE</t>
  </si>
  <si>
    <t>HECHTEL-EKSEL</t>
  </si>
  <si>
    <t>HEERS</t>
  </si>
  <si>
    <t>HEIST-OP-DEN-BERG</t>
  </si>
  <si>
    <t>HEMIKSEM</t>
  </si>
  <si>
    <t>HERENT</t>
  </si>
  <si>
    <t>HERENTALS</t>
  </si>
  <si>
    <t>HERENTHOUT</t>
  </si>
  <si>
    <t>HERK-DE-STAD</t>
  </si>
  <si>
    <t>HERNE</t>
  </si>
  <si>
    <t>HERSELT</t>
  </si>
  <si>
    <t>HERSTAPPE</t>
  </si>
  <si>
    <t>HERZELE</t>
  </si>
  <si>
    <t>HEUSDEN-ZOLDER</t>
  </si>
  <si>
    <t>IEPER</t>
  </si>
  <si>
    <t>HEUVELLAND</t>
  </si>
  <si>
    <t>HOEGAARDEN</t>
  </si>
  <si>
    <t>HOEILAART</t>
  </si>
  <si>
    <t>HOESELT</t>
  </si>
  <si>
    <t>HOLSBEEK</t>
  </si>
  <si>
    <t>ROESELARE</t>
  </si>
  <si>
    <t>HOOGLEDE</t>
  </si>
  <si>
    <t>HOOGSTRATEN</t>
  </si>
  <si>
    <t>HOREBEKE</t>
  </si>
  <si>
    <t>HOUTHALEN-HELCHTEREN</t>
  </si>
  <si>
    <t>HOUTHULST</t>
  </si>
  <si>
    <t>HOVE</t>
  </si>
  <si>
    <t>HULDENBERG</t>
  </si>
  <si>
    <t>HULSHOUT</t>
  </si>
  <si>
    <t>ICHTEGEM</t>
  </si>
  <si>
    <t>INGELMUNSTER</t>
  </si>
  <si>
    <t>IZEGEM</t>
  </si>
  <si>
    <t>JABBEKE</t>
  </si>
  <si>
    <t>KALMTHOUT</t>
  </si>
  <si>
    <t>KAMPENHOUT</t>
  </si>
  <si>
    <t>KAPELLEN</t>
  </si>
  <si>
    <t>KAPELLE-OP-DEN-BOS</t>
  </si>
  <si>
    <t>KAPRIJKE</t>
  </si>
  <si>
    <t>KASTERLEE</t>
  </si>
  <si>
    <t>KEERBERGEN</t>
  </si>
  <si>
    <t>KINROOI</t>
  </si>
  <si>
    <t>KLUISBERGEN</t>
  </si>
  <si>
    <t>KNOKKE-HEIST</t>
  </si>
  <si>
    <t>KOEKELARE</t>
  </si>
  <si>
    <t>KOKSIJDE</t>
  </si>
  <si>
    <t>KONTICH</t>
  </si>
  <si>
    <t>KORTEMARK</t>
  </si>
  <si>
    <t>KORTENAKEN</t>
  </si>
  <si>
    <t>KORTENBERG</t>
  </si>
  <si>
    <t>KORTESSEM</t>
  </si>
  <si>
    <t>KRAAINEM</t>
  </si>
  <si>
    <t>KRUIBEKE</t>
  </si>
  <si>
    <t>KUURNE</t>
  </si>
  <si>
    <t>LAAKDAL</t>
  </si>
  <si>
    <t>LAARNE</t>
  </si>
  <si>
    <t>LANAKEN</t>
  </si>
  <si>
    <t>LANDEN</t>
  </si>
  <si>
    <t>LANGEMARK-POELKAPELLE</t>
  </si>
  <si>
    <t>LEBBEKE</t>
  </si>
  <si>
    <t>LEDE</t>
  </si>
  <si>
    <t>LEDEGEM</t>
  </si>
  <si>
    <t>LENDELEDE</t>
  </si>
  <si>
    <t>LENNIK</t>
  </si>
  <si>
    <t>LEOPOLDSBURG</t>
  </si>
  <si>
    <t>LICHTERVELDE</t>
  </si>
  <si>
    <t>LIEDEKERKE</t>
  </si>
  <si>
    <t>LIER</t>
  </si>
  <si>
    <t>LIERDE</t>
  </si>
  <si>
    <t>LILLE</t>
  </si>
  <si>
    <t>LINKEBEEK</t>
  </si>
  <si>
    <t>LINT</t>
  </si>
  <si>
    <t>LINTER</t>
  </si>
  <si>
    <t>LOCHRISTI</t>
  </si>
  <si>
    <t>LOKEREN</t>
  </si>
  <si>
    <t>LOMMEL</t>
  </si>
  <si>
    <t>LONDERZEEL</t>
  </si>
  <si>
    <t>LO-RENINGE</t>
  </si>
  <si>
    <t>LUBBEEK</t>
  </si>
  <si>
    <t>LUMMEN</t>
  </si>
  <si>
    <t>MAARKEDAL</t>
  </si>
  <si>
    <t>MAASMECHELEN</t>
  </si>
  <si>
    <t>MACHELEN</t>
  </si>
  <si>
    <t>MALDEGEM</t>
  </si>
  <si>
    <t>MALLE</t>
  </si>
  <si>
    <t>MEERHOUT</t>
  </si>
  <si>
    <t>MEISE</t>
  </si>
  <si>
    <t>MELLE</t>
  </si>
  <si>
    <t>MENEN</t>
  </si>
  <si>
    <t>MERCHTEM</t>
  </si>
  <si>
    <t>MERELBEKE</t>
  </si>
  <si>
    <t>MERKSPLAS</t>
  </si>
  <si>
    <t>MESEN</t>
  </si>
  <si>
    <t>MEULEBEKE</t>
  </si>
  <si>
    <t>MIDDELKERKE</t>
  </si>
  <si>
    <t>MOERBEKE</t>
  </si>
  <si>
    <t>MOL</t>
  </si>
  <si>
    <t>MOORSLEDE</t>
  </si>
  <si>
    <t>MORTSEL</t>
  </si>
  <si>
    <t>NAZARETH</t>
  </si>
  <si>
    <t>NEERPELT</t>
  </si>
  <si>
    <t>NIEL</t>
  </si>
  <si>
    <t>NIEUWERKERKEN</t>
  </si>
  <si>
    <t>NIEUWPOORT</t>
  </si>
  <si>
    <t>NIJLEN</t>
  </si>
  <si>
    <t>NINOVE</t>
  </si>
  <si>
    <t>OLEN</t>
  </si>
  <si>
    <t>OOSTERZELE</t>
  </si>
  <si>
    <t>OOSTKAMP</t>
  </si>
  <si>
    <t>OOSTROZEBEKE</t>
  </si>
  <si>
    <t>OPWIJK</t>
  </si>
  <si>
    <t>OUDENBURG</t>
  </si>
  <si>
    <t>OUD-HEVERLEE</t>
  </si>
  <si>
    <t>OUD-TURNHOUT</t>
  </si>
  <si>
    <t>OVERIJSE</t>
  </si>
  <si>
    <t>PEER</t>
  </si>
  <si>
    <t>PEPINGEN</t>
  </si>
  <si>
    <t>PITTEM</t>
  </si>
  <si>
    <t>POPERINGE</t>
  </si>
  <si>
    <t>PUTTE</t>
  </si>
  <si>
    <t>PUURS</t>
  </si>
  <si>
    <t>RANST</t>
  </si>
  <si>
    <t>RAVELS</t>
  </si>
  <si>
    <t>RETIE</t>
  </si>
  <si>
    <t>RIEMST</t>
  </si>
  <si>
    <t>RIJKEVORSEL</t>
  </si>
  <si>
    <t>RONSE</t>
  </si>
  <si>
    <t>ROOSDAAL</t>
  </si>
  <si>
    <t>ROTSELAAR</t>
  </si>
  <si>
    <t>RUISELEDE</t>
  </si>
  <si>
    <t>RUMST</t>
  </si>
  <si>
    <t>SCHELLE</t>
  </si>
  <si>
    <t>SCHERPENHEUVEL-ZICHEM</t>
  </si>
  <si>
    <t>SCHILDE</t>
  </si>
  <si>
    <t>SCHOTEN</t>
  </si>
  <si>
    <t>SINT-GENESIUS-RODE</t>
  </si>
  <si>
    <t>SINT-GILLIS-WAAS</t>
  </si>
  <si>
    <t>SINT-KATELIJNE-WAVER</t>
  </si>
  <si>
    <t>SINT-LAUREINS</t>
  </si>
  <si>
    <t>SINT-LIEVENS-HOUTEM</t>
  </si>
  <si>
    <t>SINT-MARTENS-LATEM</t>
  </si>
  <si>
    <t>SINT-PIETERS-LEEUW</t>
  </si>
  <si>
    <t>SINT-TRUIDEN</t>
  </si>
  <si>
    <t>SPIERE-HELKIJN</t>
  </si>
  <si>
    <t>STABROEK</t>
  </si>
  <si>
    <t>STADEN</t>
  </si>
  <si>
    <t>STEENOKKERZEEL</t>
  </si>
  <si>
    <t>STEKENE</t>
  </si>
  <si>
    <t>TEMSE</t>
  </si>
  <si>
    <t>TERNAT</t>
  </si>
  <si>
    <t>TERVUREN</t>
  </si>
  <si>
    <t>TESSENDERLO</t>
  </si>
  <si>
    <t>TIELT-WINGE</t>
  </si>
  <si>
    <t>TIENEN</t>
  </si>
  <si>
    <t>TORHOUT</t>
  </si>
  <si>
    <t>TREMELO</t>
  </si>
  <si>
    <t>VILVOORDE</t>
  </si>
  <si>
    <t>VLETEREN</t>
  </si>
  <si>
    <t>VOEREN</t>
  </si>
  <si>
    <t>VORSELAAR</t>
  </si>
  <si>
    <t>VOSSELAAR</t>
  </si>
  <si>
    <t>WAASMUNSTER</t>
  </si>
  <si>
    <t>WACHTEBEKE</t>
  </si>
  <si>
    <t>WAREGEM</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</si>
  <si>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</si>
  <si>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</si>
  <si>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</si>
  <si>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</si>
  <si>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</si>
  <si>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</si>
  <si>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</si>
  <si>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</si>
  <si>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</si>
  <si>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</si>
  <si>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</si>
  <si>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</si>
  <si>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</si>
  <si>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</si>
  <si>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</si>
  <si>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</si>
  <si>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</si>
  <si>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</si>
  <si>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</si>
  <si>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</si>
  <si>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</si>
  <si>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</si>
  <si>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</si>
  <si>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</si>
  <si>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</si>
  <si>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</si>
  <si>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</si>
  <si>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</si>
  <si>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</si>
  <si>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</si>
  <si>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</si>
  <si>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</si>
  <si>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PRIJS-Coëfficient</t>
  </si>
  <si>
    <t>G</t>
  </si>
  <si>
    <t>Centrumstad</t>
  </si>
  <si>
    <t>Vlabinvest gemeenten</t>
  </si>
  <si>
    <t>Invulbouw</t>
  </si>
  <si>
    <t>Aanpasbaar</t>
  </si>
  <si>
    <t>Opp_Cf</t>
  </si>
  <si>
    <t>NB</t>
  </si>
  <si>
    <t>VB</t>
  </si>
  <si>
    <t>SOORT WERK</t>
  </si>
  <si>
    <t>K</t>
  </si>
  <si>
    <t>C</t>
  </si>
  <si>
    <t>Totaal Posten +/-</t>
  </si>
  <si>
    <t>Auto</t>
  </si>
  <si>
    <t>Type</t>
  </si>
  <si>
    <t>Max WO</t>
  </si>
  <si>
    <t>WO-meting</t>
  </si>
  <si>
    <t>K/H</t>
  </si>
  <si>
    <t>RANZEGEM</t>
  </si>
  <si>
    <t>DUMMY</t>
  </si>
  <si>
    <t>Dummy</t>
  </si>
  <si>
    <t>garages</t>
  </si>
  <si>
    <t>carports</t>
  </si>
  <si>
    <t>berg-met</t>
  </si>
  <si>
    <t># WON</t>
  </si>
  <si>
    <t>Lagen</t>
  </si>
  <si>
    <t>Centrumstad / Vlabinv</t>
  </si>
  <si>
    <t># stopplaatsen</t>
  </si>
  <si>
    <t>De Ideale Woning</t>
  </si>
  <si>
    <t>A.B.C.</t>
  </si>
  <si>
    <t>Goed Wonen.Rupelstreek</t>
  </si>
  <si>
    <t>Gezellige Woningen</t>
  </si>
  <si>
    <t>Woonhaven Antwerpen</t>
  </si>
  <si>
    <t>Volkswoningen van Duffel</t>
  </si>
  <si>
    <t>Geelse Huisvesting</t>
  </si>
  <si>
    <t>Lierse Mij. voor de Huisvesting</t>
  </si>
  <si>
    <t>Molse Bouwmij. voor de Huisvesting</t>
  </si>
  <si>
    <t>Bouwmij. De Noorderkempen</t>
  </si>
  <si>
    <t>Eigen Woning</t>
  </si>
  <si>
    <t>Zonnige Kempen</t>
  </si>
  <si>
    <t>Samenwerkende Maatschappij voor Volkshuisvesting</t>
  </si>
  <si>
    <t>De Voorkempen H.E.</t>
  </si>
  <si>
    <t>Providentia</t>
  </si>
  <si>
    <t>Diest-Uitbreiding</t>
  </si>
  <si>
    <t>Gewestelijke Maatschappij voor Volkshuisvesting</t>
  </si>
  <si>
    <t>Woonpunt Zennevallei</t>
  </si>
  <si>
    <t>Volkswoningbouw</t>
  </si>
  <si>
    <t>Sociaal Wonen arro Leuven</t>
  </si>
  <si>
    <t>Elk zijn Huis Gewestelijke Maatschappij voor de Huisvesting</t>
  </si>
  <si>
    <t>Inter-Vilvoordse Mij. voor Huisvesting</t>
  </si>
  <si>
    <t>Het Lindenhof</t>
  </si>
  <si>
    <t>Brugse Maatschappij voor Huisvesting</t>
  </si>
  <si>
    <t>Vivendo</t>
  </si>
  <si>
    <t>WoonWel</t>
  </si>
  <si>
    <t>Mijn Huis</t>
  </si>
  <si>
    <t>t 'Heist Best</t>
  </si>
  <si>
    <t>Ons Onderdak</t>
  </si>
  <si>
    <t>De Mandelbeek</t>
  </si>
  <si>
    <t>Eigen Gift - Eigen Hulp</t>
  </si>
  <si>
    <t>Eigen Haard is Goud Waard</t>
  </si>
  <si>
    <t>De Gelukkige Haard</t>
  </si>
  <si>
    <t>De Oostendse Haard</t>
  </si>
  <si>
    <t>De Mandel</t>
  </si>
  <si>
    <t>Tieltse Bouwmaatschappij</t>
  </si>
  <si>
    <t>Woonmaatschappij IJzer &amp; Zee</t>
  </si>
  <si>
    <t>Helpt Elkander</t>
  </si>
  <si>
    <t>De Leie</t>
  </si>
  <si>
    <t>De Vlashaard</t>
  </si>
  <si>
    <t>Dewaco-Werkerswelzijn</t>
  </si>
  <si>
    <t>Gewestelijke Maatschappij voor Huisvesting</t>
  </si>
  <si>
    <t>Meetjeslandse Bouwmaatschappij voor Volkswoningen</t>
  </si>
  <si>
    <t>De Gentse Haard</t>
  </si>
  <si>
    <t>Volkshaard</t>
  </si>
  <si>
    <t>De Zonnige Woonst</t>
  </si>
  <si>
    <t>SHM Denderstreek</t>
  </si>
  <si>
    <t>Tuinwijk</t>
  </si>
  <si>
    <t>Ninove-Welzijn</t>
  </si>
  <si>
    <t>Hulp in Woningnood</t>
  </si>
  <si>
    <t>Sociale Huisvestingsmaatschappij Vlaamse Ardennen</t>
  </si>
  <si>
    <t>De Nieuwe Haard</t>
  </si>
  <si>
    <t>Volkswelzijn</t>
  </si>
  <si>
    <t>Sint-Niklase Mij. voor de Huisvesting</t>
  </si>
  <si>
    <t>Eigen Dak</t>
  </si>
  <si>
    <t>Gew. Mij. voor Woningbouw</t>
  </si>
  <si>
    <t>Kantonnale Bouwmij. van Beringen voor Huisvesting</t>
  </si>
  <si>
    <t>Maaslands Huis</t>
  </si>
  <si>
    <t>Nieuw Dak</t>
  </si>
  <si>
    <t>Cordium</t>
  </si>
  <si>
    <t>Kempisch Tehuis</t>
  </si>
  <si>
    <t>Ons Dak</t>
  </si>
  <si>
    <t>Nieuw Sint-Truiden</t>
  </si>
  <si>
    <t>Klein Brabant</t>
  </si>
  <si>
    <t>Sociale Bouw- en Kredietmij. Arro Antwerpen</t>
  </si>
  <si>
    <t>Kleine Landeigendom Zuiderkempen</t>
  </si>
  <si>
    <t>Vooruitzien</t>
  </si>
  <si>
    <t>Landwaarts</t>
  </si>
  <si>
    <t>Kleine Landeigendom</t>
  </si>
  <si>
    <t>Sociale Bouw- en Kredietmaatschappij Dendermonde</t>
  </si>
  <si>
    <t>Het Volk</t>
  </si>
  <si>
    <t>Waasse Landmaatschappij</t>
  </si>
  <si>
    <t xml:space="preserve">  VMSW - Afdeling ProjectRealisatie</t>
  </si>
  <si>
    <t>Enkel gekleurde velden invullen</t>
  </si>
  <si>
    <t>Plafond Koop</t>
  </si>
  <si>
    <t>Plafond Huur</t>
  </si>
  <si>
    <t>Plafond Andere</t>
  </si>
  <si>
    <t># WON HUUR</t>
  </si>
  <si>
    <t># WON KOOP</t>
  </si>
  <si>
    <t>Voorontwerp</t>
  </si>
  <si>
    <t xml:space="preserve">Aandeel Huur  </t>
  </si>
  <si>
    <t xml:space="preserve">Aandeel Koop  </t>
  </si>
  <si>
    <t xml:space="preserve">Aandeel Andere  </t>
  </si>
  <si>
    <t xml:space="preserve">TOTALEN  </t>
  </si>
  <si>
    <t># WON ANDERE</t>
  </si>
  <si>
    <t>WO HUUR</t>
  </si>
  <si>
    <t>WO KOOP</t>
  </si>
  <si>
    <t>WO ANDERE</t>
  </si>
  <si>
    <t>WO MAX HUUR</t>
  </si>
  <si>
    <t>WO MAX KOOP</t>
  </si>
  <si>
    <t>WO MAX ANDERE</t>
  </si>
  <si>
    <t>%</t>
  </si>
  <si>
    <t xml:space="preserve">Raming Huur  </t>
  </si>
  <si>
    <t xml:space="preserve">Raming Koop  </t>
  </si>
  <si>
    <t xml:space="preserve">Raming Andere  </t>
  </si>
  <si>
    <t>Projectstadium</t>
  </si>
  <si>
    <t>Totaal Correctie Huur</t>
  </si>
  <si>
    <t>Totaal Correctie Koop</t>
  </si>
  <si>
    <t>Totaal Correctie Andere</t>
  </si>
  <si>
    <t>Oppervlakte</t>
  </si>
  <si>
    <t>Suppl kl. woninggroepen</t>
  </si>
  <si>
    <t xml:space="preserve">SHM - BOUWHEER  </t>
  </si>
  <si>
    <t xml:space="preserve">PROJECTNAAM  </t>
  </si>
  <si>
    <t xml:space="preserve">DOSSIERNUMMER  </t>
  </si>
  <si>
    <t xml:space="preserve">ONTWERPER  </t>
  </si>
  <si>
    <t xml:space="preserve">Gem. prijs huurwoning  </t>
  </si>
  <si>
    <t xml:space="preserve">Gem. prijs koopwoning  </t>
  </si>
  <si>
    <t xml:space="preserve">Gem. m² prijs WO  </t>
  </si>
  <si>
    <t>Plafond Huur excl garage</t>
  </si>
  <si>
    <t>Plafond Koop excl garage</t>
  </si>
  <si>
    <t>Plafond Andere excl garage</t>
  </si>
  <si>
    <t>VO</t>
  </si>
  <si>
    <t>BA</t>
  </si>
  <si>
    <t>De Voorbeeldige Woning</t>
  </si>
  <si>
    <t>Lijst gebouwtypes</t>
  </si>
  <si>
    <t>Forfait</t>
  </si>
  <si>
    <t>plafondprijs/m2</t>
  </si>
  <si>
    <t>Gem. m² prijs WO</t>
  </si>
  <si>
    <t>MAXIMUMPRIJS</t>
  </si>
  <si>
    <t xml:space="preserve">RAMING   </t>
  </si>
  <si>
    <t>BESTEMMING</t>
  </si>
  <si>
    <t>Woningtypes</t>
  </si>
  <si>
    <t># stuks</t>
  </si>
  <si>
    <t>Basis aanbesteding</t>
  </si>
  <si>
    <t>Opening bieding</t>
  </si>
  <si>
    <t>OB</t>
  </si>
  <si>
    <t>HUIZEGEM</t>
  </si>
  <si>
    <t>Aangepast bouwen %</t>
  </si>
  <si>
    <t xml:space="preserve">   excl. btw &amp; studiekosten</t>
  </si>
  <si>
    <t>Centrum</t>
  </si>
  <si>
    <t>referentieprijs / m²</t>
  </si>
  <si>
    <t>balkons&amp;terrassen</t>
  </si>
  <si>
    <t>balkons</t>
  </si>
  <si>
    <t>/forfait</t>
  </si>
  <si>
    <t>max. berging</t>
  </si>
  <si>
    <t>Uitvoeringsdossier</t>
  </si>
  <si>
    <t>UD</t>
  </si>
  <si>
    <t>duurzame mobiliteit</t>
  </si>
  <si>
    <t>BEN-app</t>
  </si>
  <si>
    <t>BEN-huis</t>
  </si>
  <si>
    <t>Werk</t>
  </si>
  <si>
    <t>REN1</t>
  </si>
  <si>
    <t>REN2</t>
  </si>
  <si>
    <t>REN3</t>
  </si>
  <si>
    <t>% Deelrenovatie(-s)</t>
  </si>
  <si>
    <t>03 - dak + isolatie (volledig nieuw)</t>
  </si>
  <si>
    <t>04 - buitenschrijnwerk</t>
  </si>
  <si>
    <t>68 - ventilatiesysteem (systeem C/D)</t>
  </si>
  <si>
    <t>raming/offerte</t>
  </si>
  <si>
    <t>60 - sanitaire leidingen</t>
  </si>
  <si>
    <t>62 - sanitaire kranen</t>
  </si>
  <si>
    <t>65 - CV-ketelvervanging</t>
  </si>
  <si>
    <t>06 - technieken CV&amp; fluida (volledig nieuw)</t>
  </si>
  <si>
    <t>TECHNIEKEN</t>
  </si>
  <si>
    <t>05 - binnenafwerking (volledig nieuw)</t>
  </si>
  <si>
    <t>03 - na-isolatie daken</t>
  </si>
  <si>
    <t>32-35 - dakbedekking / dichting</t>
  </si>
  <si>
    <t>RENOVATIEPAKKET 1</t>
  </si>
  <si>
    <t>RENOVATIEPAKKET 2</t>
  </si>
  <si>
    <t>Deelrenovatie(-s)</t>
  </si>
  <si>
    <t>RENOVATIEPAKKET 3</t>
  </si>
  <si>
    <t>Cf_Kleiner bouwen</t>
  </si>
  <si>
    <t>Totaal Cf-kleiner bouwen</t>
  </si>
  <si>
    <t>Totaal KleinBouw Huur</t>
  </si>
  <si>
    <t>Totaal KleinBouw Koop</t>
  </si>
  <si>
    <t>Totaal KleinBouw Andere</t>
  </si>
  <si>
    <t>PV-installatie</t>
  </si>
  <si>
    <t>ruimte-polyvalent</t>
  </si>
  <si>
    <t>ruimte-collectief</t>
  </si>
  <si>
    <t>CV-collectief</t>
  </si>
  <si>
    <t>ZB-huis</t>
  </si>
  <si>
    <t>ZB-app</t>
  </si>
  <si>
    <t>KW-piek</t>
  </si>
  <si>
    <t>WOPrijsm2-incl. 0/1</t>
  </si>
  <si>
    <t>PV-app</t>
  </si>
  <si>
    <t>PV-huis</t>
  </si>
  <si>
    <t xml:space="preserve">paal- of putfunderingen </t>
  </si>
  <si>
    <t xml:space="preserve">plaatfunderingen </t>
  </si>
  <si>
    <t>zonneboilers</t>
  </si>
  <si>
    <t>/ appartement</t>
  </si>
  <si>
    <t>/ huis</t>
  </si>
  <si>
    <t>kWp</t>
  </si>
  <si>
    <t>met maximum van</t>
  </si>
  <si>
    <t>collectieve installaties (WKK / warmtepomp ...)</t>
  </si>
  <si>
    <t>kWp / installatie</t>
  </si>
  <si>
    <t>/ extra aangesloten app</t>
  </si>
  <si>
    <t>/ put</t>
  </si>
  <si>
    <t>BEN-niveau appartementen</t>
  </si>
  <si>
    <t>BEN-niveau huizen</t>
  </si>
  <si>
    <t>/ woning</t>
  </si>
  <si>
    <t>grondverzet - sanering reservegronden</t>
  </si>
  <si>
    <t>asbestverwijdering</t>
  </si>
  <si>
    <t>investering tot maximum</t>
  </si>
  <si>
    <t>per niet gerealiseerde autobergplaats</t>
  </si>
  <si>
    <t>BUITENSCHIL &amp; ISOLATIE</t>
  </si>
  <si>
    <t>41 - garagepoorten inbegrepen als forfait garage bij woning anders als raming rij diversen</t>
  </si>
  <si>
    <t>BINNENAFWERKINGEN &amp; UITRUSTING</t>
  </si>
  <si>
    <t>17 - riolering onderbouw (volledig nieuw)</t>
  </si>
  <si>
    <t>07 - elektrische installatie (volledig nieuw)</t>
  </si>
  <si>
    <t>76 - elektro / liften (rij diversen)</t>
  </si>
  <si>
    <t>AFB</t>
  </si>
  <si>
    <t>diversen-raming/offerte</t>
  </si>
  <si>
    <t>afbraak-raming/offerte</t>
  </si>
  <si>
    <t>volgens raming/offerte</t>
  </si>
  <si>
    <t># extra aangesloten  won</t>
  </si>
  <si>
    <t>Appartement - gesitueerd in appartementsgebouw 
* Minimaal 3 woongelegenheden per gebouw
* Studio's (0 slpk) - kleine flats (1slpk) - appartementen met mezzanine - …
* Duowoningen: benedenwoning en bovenwoning</t>
  </si>
  <si>
    <t>* Eengezinshuis - grondgebonden verdiepingswoningen en gelijkvloerse bungalows</t>
  </si>
  <si>
    <t>terrassen  op verdiepingen en uitkragende en balkons</t>
  </si>
  <si>
    <t>Suppl Kleine woninggroepen</t>
  </si>
  <si>
    <t>Plafond Kleine woninggroepen</t>
  </si>
  <si>
    <t>Supl Kl Woninggroep Huur</t>
  </si>
  <si>
    <t>Supl Kl Woninggroep Koop</t>
  </si>
  <si>
    <t>Supl Kl Woninggroep Andere</t>
  </si>
  <si>
    <r>
      <t>WO MAX</t>
    </r>
    <r>
      <rPr>
        <sz val="11"/>
        <color theme="1"/>
        <rFont val="Calibri"/>
        <family val="2"/>
      </rPr>
      <t xml:space="preserve"> (m²)</t>
    </r>
  </si>
  <si>
    <r>
      <t xml:space="preserve"> POSTEN   + / - </t>
    </r>
    <r>
      <rPr>
        <sz val="11"/>
        <color theme="1"/>
        <rFont val="Calibri"/>
        <family val="2"/>
      </rPr>
      <t>(commentaar)</t>
    </r>
  </si>
  <si>
    <t># extra aangesloten  app</t>
  </si>
  <si>
    <t>woonfunctie coll.</t>
  </si>
  <si>
    <t>Woonfunctie coll.</t>
  </si>
  <si>
    <t>B</t>
  </si>
  <si>
    <t>O</t>
  </si>
  <si>
    <t>01 - totaalrenovatie EPB-nieuwbouw</t>
  </si>
  <si>
    <t>02 - gevel &amp; isolatie (volledig nieuw)</t>
  </si>
  <si>
    <t>RWP</t>
  </si>
  <si>
    <t>Sector</t>
  </si>
  <si>
    <t>Postcode</t>
  </si>
  <si>
    <t>Straat</t>
  </si>
  <si>
    <t>huisnr</t>
  </si>
  <si>
    <t>busnr</t>
  </si>
  <si>
    <t>Email</t>
  </si>
  <si>
    <t>Telefoon</t>
  </si>
  <si>
    <t>Directeur</t>
  </si>
  <si>
    <t>Website</t>
  </si>
  <si>
    <t>BTWnr</t>
  </si>
  <si>
    <t>huursector</t>
  </si>
  <si>
    <t>2600</t>
  </si>
  <si>
    <t>DIKSMUIDELAAN</t>
  </si>
  <si>
    <t>276</t>
  </si>
  <si>
    <t>info@deidealewoning.be</t>
  </si>
  <si>
    <t>+32 3 320 29 70</t>
  </si>
  <si>
    <t>Eyckmans Gert</t>
  </si>
  <si>
    <t>www.deidealewoning.be</t>
  </si>
  <si>
    <t>0404710724</t>
  </si>
  <si>
    <t>2050</t>
  </si>
  <si>
    <t>REINAARTLAAN</t>
  </si>
  <si>
    <t>8</t>
  </si>
  <si>
    <t>info@abc-shm.be</t>
  </si>
  <si>
    <t>+32 3 210 94 00</t>
  </si>
  <si>
    <t>Dupont Anne-Marie</t>
  </si>
  <si>
    <t>www.abc-shm.be</t>
  </si>
  <si>
    <t>0404688354</t>
  </si>
  <si>
    <t>2850</t>
  </si>
  <si>
    <t>UITBREIDINGSSTRAAT</t>
  </si>
  <si>
    <t>39</t>
  </si>
  <si>
    <t>info@goedwonenrupelstreek.be</t>
  </si>
  <si>
    <t>+32 3 880 79 60</t>
  </si>
  <si>
    <t>Maeremans Frank</t>
  </si>
  <si>
    <t>www.goedwonenrupelstreek.be</t>
  </si>
  <si>
    <t>0400813304</t>
  </si>
  <si>
    <t>2880</t>
  </si>
  <si>
    <t>BLEEKSTRAAT</t>
  </si>
  <si>
    <t>9</t>
  </si>
  <si>
    <t>info@gez-won.be</t>
  </si>
  <si>
    <t>+32 3 889 15 54</t>
  </si>
  <si>
    <t>Michiels Stein</t>
  </si>
  <si>
    <t>www.gezelligewoningen.be</t>
  </si>
  <si>
    <t>0400791726</t>
  </si>
  <si>
    <t>2020</t>
  </si>
  <si>
    <t>JAN DENUCESTRAAT</t>
  </si>
  <si>
    <t>23</t>
  </si>
  <si>
    <t>info@woonhaven.be</t>
  </si>
  <si>
    <t>+32 3 213 67 00</t>
  </si>
  <si>
    <t>GEHRE Wouter</t>
  </si>
  <si>
    <t>www.woonhaven.be</t>
  </si>
  <si>
    <t>0403795657</t>
  </si>
  <si>
    <t>2570</t>
  </si>
  <si>
    <t>NIEUWSTRAAT</t>
  </si>
  <si>
    <t>3</t>
  </si>
  <si>
    <t>info@volkswoningenduffel.be</t>
  </si>
  <si>
    <t>+32 15 31 15 65</t>
  </si>
  <si>
    <t>Verhoye Kristina</t>
  </si>
  <si>
    <t>www.volkswoningenduffel.be</t>
  </si>
  <si>
    <t>0404067356</t>
  </si>
  <si>
    <t>2440</t>
  </si>
  <si>
    <t>KAMEINESTRAAT</t>
  </si>
  <si>
    <t>info@geelsehuisvesting.be</t>
  </si>
  <si>
    <t>+32 14 58 01 55</t>
  </si>
  <si>
    <t>Driesmans Yasmine</t>
  </si>
  <si>
    <t>www.geelsehuisvesting.be</t>
  </si>
  <si>
    <t>0404144065</t>
  </si>
  <si>
    <t>Mij. voor de Huisvesting van het kanton  Heist-op-den-Berg</t>
  </si>
  <si>
    <t>2220</t>
  </si>
  <si>
    <t>PLANTIJNLAAN</t>
  </si>
  <si>
    <t>2</t>
  </si>
  <si>
    <t>info@hkh.vlaanderen</t>
  </si>
  <si>
    <t>+32 15 24 71 86</t>
  </si>
  <si>
    <t>De Wyngaert Theo</t>
  </si>
  <si>
    <t>www.huisvestingheistputte.be</t>
  </si>
  <si>
    <t>0400846560</t>
  </si>
  <si>
    <t>2200</t>
  </si>
  <si>
    <t>AUGUSTIJNENLAAN</t>
  </si>
  <si>
    <t>28</t>
  </si>
  <si>
    <t>6</t>
  </si>
  <si>
    <t>info@eigen-haard.be</t>
  </si>
  <si>
    <t>+32 14 85 98 00</t>
  </si>
  <si>
    <t>Schoors Jef</t>
  </si>
  <si>
    <t>www.eigen-haard.be</t>
  </si>
  <si>
    <t>0404156735</t>
  </si>
  <si>
    <t>2500</t>
  </si>
  <si>
    <t>ABTSHERBERGSTRAAT</t>
  </si>
  <si>
    <t>10</t>
  </si>
  <si>
    <t>19</t>
  </si>
  <si>
    <t>info@lmhlier.be</t>
  </si>
  <si>
    <t>+32 3 490 30 50</t>
  </si>
  <si>
    <t>Vanden Eynde Marc</t>
  </si>
  <si>
    <t>www.liersehuisvestingsmaatschappij.be</t>
  </si>
  <si>
    <t>0404033605</t>
  </si>
  <si>
    <t>Woonpunt Mechelen</t>
  </si>
  <si>
    <t>2800</t>
  </si>
  <si>
    <t>LIJSTERSTRAAT</t>
  </si>
  <si>
    <t>info@woonpuntmechelen.be</t>
  </si>
  <si>
    <t>+32 15 28 09 30</t>
  </si>
  <si>
    <t>DIERCKX Yvette</t>
  </si>
  <si>
    <t>www.woonpuntmechelen.be</t>
  </si>
  <si>
    <t>0403607397</t>
  </si>
  <si>
    <t>De Vrije Woonst</t>
  </si>
  <si>
    <t>VRIJEWOONSTPLEIN</t>
  </si>
  <si>
    <t>7</t>
  </si>
  <si>
    <t>+32 15 43 01 67</t>
  </si>
  <si>
    <t>SEYMONS Leo</t>
  </si>
  <si>
    <t>0403635311</t>
  </si>
  <si>
    <t>2400</t>
  </si>
  <si>
    <t>BOSVELD</t>
  </si>
  <si>
    <t>152</t>
  </si>
  <si>
    <t>info@molsebouwmaatschappij.be</t>
  </si>
  <si>
    <t>+32 14 31 50 70</t>
  </si>
  <si>
    <t>Schoofs Erik</t>
  </si>
  <si>
    <t>www.molsebouwmaatschappij.be</t>
  </si>
  <si>
    <t>0404176135</t>
  </si>
  <si>
    <t>2250</t>
  </si>
  <si>
    <t>GLADIOLENSTRAAT</t>
  </si>
  <si>
    <t>info@heibloem.be</t>
  </si>
  <si>
    <t>+32 14 22 43 08</t>
  </si>
  <si>
    <t>VANHOOF Ilse</t>
  </si>
  <si>
    <t>www.heibloem.be</t>
  </si>
  <si>
    <t>0403775465</t>
  </si>
  <si>
    <t>2330</t>
  </si>
  <si>
    <t>KWEEKSTRAAT</t>
  </si>
  <si>
    <t>4</t>
  </si>
  <si>
    <t>b</t>
  </si>
  <si>
    <t>+32 14 63 95 95</t>
  </si>
  <si>
    <t>VAN HOEYMISSEN Jan</t>
  </si>
  <si>
    <t>www.denoorderkempen.be</t>
  </si>
  <si>
    <t>0427003106</t>
  </si>
  <si>
    <t>2870</t>
  </si>
  <si>
    <t>PALINGSTRAAT</t>
  </si>
  <si>
    <t>48</t>
  </si>
  <si>
    <t>101</t>
  </si>
  <si>
    <t>info@eigen-woning.be</t>
  </si>
  <si>
    <t>+32 3 740 00 20</t>
  </si>
  <si>
    <t>SMETS Bart</t>
  </si>
  <si>
    <t>www.eigen-woning.be</t>
  </si>
  <si>
    <t>0406039624</t>
  </si>
  <si>
    <t>2627</t>
  </si>
  <si>
    <t>JEF VAN HOOFSTRAAT</t>
  </si>
  <si>
    <t>19BIS</t>
  </si>
  <si>
    <t>info@sbs1260.be</t>
  </si>
  <si>
    <t>+32 3 887 70 79</t>
  </si>
  <si>
    <t>CUYPERS Chantal</t>
  </si>
  <si>
    <t>0403675396</t>
  </si>
  <si>
    <t>DE ARK</t>
  </si>
  <si>
    <t>gemengd</t>
  </si>
  <si>
    <t>2300</t>
  </si>
  <si>
    <t>CAMPUS BLAIRON</t>
  </si>
  <si>
    <t>599</t>
  </si>
  <si>
    <t>info@arkwonen.be</t>
  </si>
  <si>
    <t>+32 14 40 11 00</t>
  </si>
  <si>
    <t>VANOMMESLAEGHE Peter</t>
  </si>
  <si>
    <t>www.arkwonen.be</t>
  </si>
  <si>
    <t>0403773287</t>
  </si>
  <si>
    <t>2260</t>
  </si>
  <si>
    <t>GROTE MARKT</t>
  </si>
  <si>
    <t>info@zonnigekempen.be</t>
  </si>
  <si>
    <t>+32 14 54 19 41</t>
  </si>
  <si>
    <t>STIJNEN Luc</t>
  </si>
  <si>
    <t>www.zonnigekempen.be</t>
  </si>
  <si>
    <t>0404221368</t>
  </si>
  <si>
    <t>2830</t>
  </si>
  <si>
    <t>AUGUST VAN LANDEGHEMPLEIN</t>
  </si>
  <si>
    <t>info@volkshuisvestingwillebroek.be</t>
  </si>
  <si>
    <t>+32 3 886 56 12</t>
  </si>
  <si>
    <t>Dilles Andy</t>
  </si>
  <si>
    <t>www.volkshuisvestingwillebroek.be</t>
  </si>
  <si>
    <t>0403698162</t>
  </si>
  <si>
    <t>2960</t>
  </si>
  <si>
    <t>NIJVERHEIDSSTRAAT</t>
  </si>
  <si>
    <t>info@Devoorkempen-he.be</t>
  </si>
  <si>
    <t>+32 3 690 09 20</t>
  </si>
  <si>
    <t>VAN HOFFELEN Peter</t>
  </si>
  <si>
    <t>www.devoorkempen-he.be</t>
  </si>
  <si>
    <t>0426798911</t>
  </si>
  <si>
    <t>2070</t>
  </si>
  <si>
    <t>STRUIKHEIDELAAN</t>
  </si>
  <si>
    <t>info@zhm2070.be</t>
  </si>
  <si>
    <t>+32 3 253 07 00</t>
  </si>
  <si>
    <t xml:space="preserve"> </t>
  </si>
  <si>
    <t>www.huisvesting-zwijndrecht.be</t>
  </si>
  <si>
    <t>0452753537</t>
  </si>
  <si>
    <t>1730</t>
  </si>
  <si>
    <t>BRUSSELSESTEENWEG</t>
  </si>
  <si>
    <t>191</t>
  </si>
  <si>
    <t>info@providentia.be</t>
  </si>
  <si>
    <t>+32 2 452 72 43</t>
  </si>
  <si>
    <t>DERAEDT Leen</t>
  </si>
  <si>
    <t>www.providentia.be</t>
  </si>
  <si>
    <t>0403320060</t>
  </si>
  <si>
    <t>3290</t>
  </si>
  <si>
    <t>Bergveld</t>
  </si>
  <si>
    <t>29</t>
  </si>
  <si>
    <t>info@diestuitbreiding.be</t>
  </si>
  <si>
    <t>+32 13 31 29 60</t>
  </si>
  <si>
    <t>VAN DAMME Willem</t>
  </si>
  <si>
    <t>www.diestuitbreiding.be</t>
  </si>
  <si>
    <t>0400939305</t>
  </si>
  <si>
    <t>1600</t>
  </si>
  <si>
    <t>BEZEMSTRAAT</t>
  </si>
  <si>
    <t>83</t>
  </si>
  <si>
    <t>info@volkshuisvesting.be</t>
  </si>
  <si>
    <t>+32 2 371 03 30</t>
  </si>
  <si>
    <t>PAESMANS Marc</t>
  </si>
  <si>
    <t>www.volkshuisvesting.be</t>
  </si>
  <si>
    <t>0403304026</t>
  </si>
  <si>
    <t>1500</t>
  </si>
  <si>
    <t>MOLENBORRE</t>
  </si>
  <si>
    <t>26</t>
  </si>
  <si>
    <t>1</t>
  </si>
  <si>
    <t>info@wpz.be</t>
  </si>
  <si>
    <t>+32 2 363 10 50</t>
  </si>
  <si>
    <t>VRANKEN Bart</t>
  </si>
  <si>
    <t>www.wpz.be</t>
  </si>
  <si>
    <t>0400898624</t>
  </si>
  <si>
    <t>3020</t>
  </si>
  <si>
    <t>WILSELSESTEENWEG</t>
  </si>
  <si>
    <t>info@vwbm.be</t>
  </si>
  <si>
    <t>+32 16 22 97 26</t>
  </si>
  <si>
    <t>Schoeters Anja</t>
  </si>
  <si>
    <t>www.volkswoningbouw.be</t>
  </si>
  <si>
    <t>0400665428</t>
  </si>
  <si>
    <t>WIJGMAALSESTEENWEG</t>
  </si>
  <si>
    <t>18</t>
  </si>
  <si>
    <t>info@swleuven.be</t>
  </si>
  <si>
    <t>+32 16 31 62 00</t>
  </si>
  <si>
    <t>De Brouwer Lym</t>
  </si>
  <si>
    <t>www.swleuven.be</t>
  </si>
  <si>
    <t>0405774754</t>
  </si>
  <si>
    <t>Dijledal</t>
  </si>
  <si>
    <t>3000</t>
  </si>
  <si>
    <t>Vaartkom</t>
  </si>
  <si>
    <t>1B</t>
  </si>
  <si>
    <t>info@dijledal.be</t>
  </si>
  <si>
    <t>+32 16 25 24 15</t>
  </si>
  <si>
    <t>Thora Erik</t>
  </si>
  <si>
    <t>www.dijledal.be</t>
  </si>
  <si>
    <t>0400634447</t>
  </si>
  <si>
    <t>CNUZ</t>
  </si>
  <si>
    <t>3300</t>
  </si>
  <si>
    <t>MENEGAARD</t>
  </si>
  <si>
    <t>60-61</t>
  </si>
  <si>
    <t>info@cnuz.be</t>
  </si>
  <si>
    <t>+32 16 82 27 27</t>
  </si>
  <si>
    <t>VANDECAN Jules</t>
  </si>
  <si>
    <t>www.cnuz.be</t>
  </si>
  <si>
    <t>0400974442</t>
  </si>
  <si>
    <t>3080</t>
  </si>
  <si>
    <t>LINDEBOOMSTRAAT</t>
  </si>
  <si>
    <t>116</t>
  </si>
  <si>
    <t>info@Elkzijnhuis.be</t>
  </si>
  <si>
    <t>+32 2 766 01 70</t>
  </si>
  <si>
    <t>MOENS Roel</t>
  </si>
  <si>
    <t>www.elkzijnhuis.be</t>
  </si>
  <si>
    <t>0400629794</t>
  </si>
  <si>
    <t>1800</t>
  </si>
  <si>
    <t>PARKSTRAAT</t>
  </si>
  <si>
    <t>115</t>
  </si>
  <si>
    <t>info@intervilvoordse.be</t>
  </si>
  <si>
    <t>+32 2 257 11 50</t>
  </si>
  <si>
    <t>Moelaert Olivier</t>
  </si>
  <si>
    <t>www.intervilvoordse.be</t>
  </si>
  <si>
    <t>0400676613</t>
  </si>
  <si>
    <t>8370</t>
  </si>
  <si>
    <t>HANNEUSESTRAAT</t>
  </si>
  <si>
    <t>32</t>
  </si>
  <si>
    <t>info@Lindenhof-wonen.be</t>
  </si>
  <si>
    <t>+32 50 41 60 19</t>
  </si>
  <si>
    <t>Moyaert Wim</t>
  </si>
  <si>
    <t>www.lindenhof-wonen.be</t>
  </si>
  <si>
    <t>0405196516</t>
  </si>
  <si>
    <t>8000</t>
  </si>
  <si>
    <t>HANDBOOGSTRAAT</t>
  </si>
  <si>
    <t>0013</t>
  </si>
  <si>
    <t>info@brugse-mij-huisvesting.be</t>
  </si>
  <si>
    <t>+32 50 31 76 58</t>
  </si>
  <si>
    <t>De Smedt Luc</t>
  </si>
  <si>
    <t>www.brugsehuisvesting.be</t>
  </si>
  <si>
    <t>0405096546</t>
  </si>
  <si>
    <t>8200</t>
  </si>
  <si>
    <t>MAGDALENASTRAAT</t>
  </si>
  <si>
    <t>20</t>
  </si>
  <si>
    <t>info@vivendo.be</t>
  </si>
  <si>
    <t>+32 50 44 61 10</t>
  </si>
  <si>
    <t>De Craemer Koen</t>
  </si>
  <si>
    <t>www.vivendo.be</t>
  </si>
  <si>
    <t>0406062883</t>
  </si>
  <si>
    <t>8400</t>
  </si>
  <si>
    <t>STUIVERSTRAAT</t>
  </si>
  <si>
    <t>401</t>
  </si>
  <si>
    <t>info@woonwel.be</t>
  </si>
  <si>
    <t>+3259339050</t>
  </si>
  <si>
    <t>Jordens Evi</t>
  </si>
  <si>
    <t>www.woonwel.be</t>
  </si>
  <si>
    <t>0405255805</t>
  </si>
  <si>
    <t>8530</t>
  </si>
  <si>
    <t>MARKTSTRAAT</t>
  </si>
  <si>
    <t>80</t>
  </si>
  <si>
    <t>info@mijn-huis.be</t>
  </si>
  <si>
    <t>+32 56 72 05 37</t>
  </si>
  <si>
    <t>VERDRU Koen</t>
  </si>
  <si>
    <t>0405430603</t>
  </si>
  <si>
    <t>8301</t>
  </si>
  <si>
    <t>KRAAIENNESTPLEIN</t>
  </si>
  <si>
    <t>info@theistbest.be</t>
  </si>
  <si>
    <t>+32 50 53 08 90</t>
  </si>
  <si>
    <t>DESPIEGELAERE Bernard</t>
  </si>
  <si>
    <t>www.theistbest.be</t>
  </si>
  <si>
    <t>0405188202</t>
  </si>
  <si>
    <t>8900</t>
  </si>
  <si>
    <t>TER WAARDE</t>
  </si>
  <si>
    <t>65</t>
  </si>
  <si>
    <t>info@onsonderdak.be</t>
  </si>
  <si>
    <t>+32 57 21 92 20</t>
  </si>
  <si>
    <t>PILLEN Peter</t>
  </si>
  <si>
    <t>www.onsonderdak.be</t>
  </si>
  <si>
    <t>0405501570</t>
  </si>
  <si>
    <t>8770</t>
  </si>
  <si>
    <t>OOSTROZEBEKESTRAAT</t>
  </si>
  <si>
    <t>136</t>
  </si>
  <si>
    <t>info@demandelbeek.be</t>
  </si>
  <si>
    <t>+32 51 30 25 45</t>
  </si>
  <si>
    <t>DE CLERCK Peter</t>
  </si>
  <si>
    <t>www.demandelbeek.be</t>
  </si>
  <si>
    <t>0405553634</t>
  </si>
  <si>
    <t>8870</t>
  </si>
  <si>
    <t>BRUGSTRAAT</t>
  </si>
  <si>
    <t>16</t>
  </si>
  <si>
    <t>info@izegemsebouwmij.be</t>
  </si>
  <si>
    <t>+32 51 30 49 62</t>
  </si>
  <si>
    <t>Denolf Johan</t>
  </si>
  <si>
    <t>0405573133</t>
  </si>
  <si>
    <t>Wonen Regio Kortrijk</t>
  </si>
  <si>
    <t>8500</t>
  </si>
  <si>
    <t>13</t>
  </si>
  <si>
    <t>info@wonenregiokortrijk.be</t>
  </si>
  <si>
    <t xml:space="preserve">+32 56 26 05 50 </t>
  </si>
  <si>
    <t>PIERS Ilse</t>
  </si>
  <si>
    <t>www.gotocw.com/swzw/Deelsites/Kortrijk/index.htm</t>
  </si>
  <si>
    <t>0405342610</t>
  </si>
  <si>
    <t>8520</t>
  </si>
  <si>
    <t>LUIT.-GEN. GERARDSTRAAT</t>
  </si>
  <si>
    <t>shm@egeh.be</t>
  </si>
  <si>
    <t>+32 56 73 81 11</t>
  </si>
  <si>
    <t>VANDEVELDE Renaat</t>
  </si>
  <si>
    <t>www.eigengifteigenhulp.be</t>
  </si>
  <si>
    <t>0405336274</t>
  </si>
  <si>
    <t>8930</t>
  </si>
  <si>
    <t>LAUWBERGSTRAAT</t>
  </si>
  <si>
    <t>121</t>
  </si>
  <si>
    <t>0001</t>
  </si>
  <si>
    <t>geert@eigenhaardisgoudwaard.be</t>
  </si>
  <si>
    <t xml:space="preserve">+32 56 41 21 96  </t>
  </si>
  <si>
    <t>0405480388</t>
  </si>
  <si>
    <t>!Mpuls</t>
  </si>
  <si>
    <t>VOLKSLAAN</t>
  </si>
  <si>
    <t>302</t>
  </si>
  <si>
    <t>info@wm-impuls.be</t>
  </si>
  <si>
    <t>+32 56 53 27 99</t>
  </si>
  <si>
    <t>GHESQUIERE Sonny</t>
  </si>
  <si>
    <t>www.onsdorpmenen.be</t>
  </si>
  <si>
    <t>0405501174</t>
  </si>
  <si>
    <t>SERINGENSTRAAT</t>
  </si>
  <si>
    <t>21 A</t>
  </si>
  <si>
    <t>info@degelukkigehaard.be</t>
  </si>
  <si>
    <t>+32 59 70 53 26</t>
  </si>
  <si>
    <t>CASTEUR Sara</t>
  </si>
  <si>
    <t>www.gelukkigehaard.be</t>
  </si>
  <si>
    <t>0405260456</t>
  </si>
  <si>
    <t>NIEUWPOORTSESTEENWEG</t>
  </si>
  <si>
    <t>205</t>
  </si>
  <si>
    <t>info@oostendsehaard.be</t>
  </si>
  <si>
    <t>+32 59 70 29 54</t>
  </si>
  <si>
    <t>VENS Vanessa</t>
  </si>
  <si>
    <t>www.oostendsehaard.be</t>
  </si>
  <si>
    <t>0405277282</t>
  </si>
  <si>
    <t>8800</t>
  </si>
  <si>
    <t>GROENESTRAAT</t>
  </si>
  <si>
    <t>224</t>
  </si>
  <si>
    <t>info@demandel.be</t>
  </si>
  <si>
    <t>+32 51 23 35 00</t>
  </si>
  <si>
    <t>Vandenabeele Stefanie</t>
  </si>
  <si>
    <t>www.demandel.be</t>
  </si>
  <si>
    <t>0405553535</t>
  </si>
  <si>
    <t>8700</t>
  </si>
  <si>
    <t>STATIONSPLEIN</t>
  </si>
  <si>
    <t>3C</t>
  </si>
  <si>
    <t>info@tieltsebouwmij.be</t>
  </si>
  <si>
    <t>+32 51 40 95 64</t>
  </si>
  <si>
    <t>LYBEER Lieven</t>
  </si>
  <si>
    <t>www.tieltsebouwmaatschappij.be</t>
  </si>
  <si>
    <t>0405220963</t>
  </si>
  <si>
    <t>8630</t>
  </si>
  <si>
    <t>BRUGSE STEENWEG</t>
  </si>
  <si>
    <t>directie@ijzerenzee.be</t>
  </si>
  <si>
    <t>+32 58 31 22 40</t>
  </si>
  <si>
    <t>DECONINCK Charles</t>
  </si>
  <si>
    <t>www.ijzerenzee.be</t>
  </si>
  <si>
    <t>0405261842</t>
  </si>
  <si>
    <t>8790</t>
  </si>
  <si>
    <t>HAZEPAD</t>
  </si>
  <si>
    <t>info@helpt-elkander.be</t>
  </si>
  <si>
    <t>+32 56 60 08 00</t>
  </si>
  <si>
    <t>BOSSUYT Christ</t>
  </si>
  <si>
    <t>www.helpt-elkander.be</t>
  </si>
  <si>
    <t>0405419913</t>
  </si>
  <si>
    <t>8940</t>
  </si>
  <si>
    <t>81</t>
  </si>
  <si>
    <t>info@deleie.be</t>
  </si>
  <si>
    <t>+32 56 31 13 64</t>
  </si>
  <si>
    <t>CHRISTIAEN Maxime</t>
  </si>
  <si>
    <t>www.deleie.be</t>
  </si>
  <si>
    <t>0435368662</t>
  </si>
  <si>
    <t>8560</t>
  </si>
  <si>
    <t>VANACKERESTRAAT</t>
  </si>
  <si>
    <t>43</t>
  </si>
  <si>
    <t>info@devlashaard.be</t>
  </si>
  <si>
    <t>+32 56 41 25 01</t>
  </si>
  <si>
    <t>MADDENS Karel</t>
  </si>
  <si>
    <t>www.gotocw.com/swzw/Deelsites/Wevelgem/index.htm</t>
  </si>
  <si>
    <t>0453559231</t>
  </si>
  <si>
    <t>Eigen Haard (Zwevegem)</t>
  </si>
  <si>
    <t>8550</t>
  </si>
  <si>
    <t>KORTRIJKSTRAAT</t>
  </si>
  <si>
    <t>117</t>
  </si>
  <si>
    <t>info@eigenhaardzwevegem.be</t>
  </si>
  <si>
    <t>+32 56 76 06 66</t>
  </si>
  <si>
    <t>Van Hulle Luc</t>
  </si>
  <si>
    <t>www.eigenhaardzwevegem.be</t>
  </si>
  <si>
    <t>0405412092</t>
  </si>
  <si>
    <t>9470</t>
  </si>
  <si>
    <t>STEENWEG</t>
  </si>
  <si>
    <t>439</t>
  </si>
  <si>
    <t>info@dewaco.be</t>
  </si>
  <si>
    <t>+32 53 77 33 90</t>
  </si>
  <si>
    <t>VINCENT Catherine</t>
  </si>
  <si>
    <t>www.dewaco.be</t>
  </si>
  <si>
    <t>0400290789</t>
  </si>
  <si>
    <t>9120</t>
  </si>
  <si>
    <t>DIEDERIK VAN BEVERENLAAN</t>
  </si>
  <si>
    <t>11</t>
  </si>
  <si>
    <t>info@gmhbeveren.be</t>
  </si>
  <si>
    <t>+32 3 750 95 30</t>
  </si>
  <si>
    <t>Beeldens Karin</t>
  </si>
  <si>
    <t>www.huisvesting-beveren.be</t>
  </si>
  <si>
    <t>0405085163</t>
  </si>
  <si>
    <t>De Volkswoningen</t>
  </si>
  <si>
    <t>9200</t>
  </si>
  <si>
    <t>BEGIJNHOFLAAN</t>
  </si>
  <si>
    <t>info@devolkswoningen.be</t>
  </si>
  <si>
    <t>+32 52 22 14 43</t>
  </si>
  <si>
    <t>PAUWELS Piet</t>
  </si>
  <si>
    <t>www.devolkswoningen.be</t>
  </si>
  <si>
    <t>0400189732</t>
  </si>
  <si>
    <t>9800</t>
  </si>
  <si>
    <t>STATIONSSTRAAT</t>
  </si>
  <si>
    <t>info@dsbdeinze.be</t>
  </si>
  <si>
    <t>+32 9 386 37 01</t>
  </si>
  <si>
    <t>VAN DEN HEEDE Gino</t>
  </si>
  <si>
    <t>www.deinsesocialebouwmaatschappij.be</t>
  </si>
  <si>
    <t>0401012054</t>
  </si>
  <si>
    <t>9900</t>
  </si>
  <si>
    <t>58</t>
  </si>
  <si>
    <t>info@mbvsw.be</t>
  </si>
  <si>
    <t>+32 9 376 90 40</t>
  </si>
  <si>
    <t>Verwilst Isabelle</t>
  </si>
  <si>
    <t>www.mbv-sociaalwonen.be</t>
  </si>
  <si>
    <t>0401033236</t>
  </si>
  <si>
    <t>9000</t>
  </si>
  <si>
    <t>LEIEKAAI</t>
  </si>
  <si>
    <t>340</t>
  </si>
  <si>
    <t>info@degentsehaard.be</t>
  </si>
  <si>
    <t>+32 9 216 75 75</t>
  </si>
  <si>
    <t>VAN HOOLAND Tine</t>
  </si>
  <si>
    <t>www.degentsehaard.be</t>
  </si>
  <si>
    <t>0400030077</t>
  </si>
  <si>
    <t>WoninGent</t>
  </si>
  <si>
    <t>LANGE STEENSTRAAT</t>
  </si>
  <si>
    <t>54</t>
  </si>
  <si>
    <t>info@woningent.be</t>
  </si>
  <si>
    <t>+32 9 235 99 00</t>
  </si>
  <si>
    <t>WOUTERS Karin</t>
  </si>
  <si>
    <t>www.woningent.be</t>
  </si>
  <si>
    <t>0400032156</t>
  </si>
  <si>
    <t>RAVENSTEINSTRAAT</t>
  </si>
  <si>
    <t>12</t>
  </si>
  <si>
    <t>info@volkshaard.be</t>
  </si>
  <si>
    <t>+32 9 223 50 45</t>
  </si>
  <si>
    <t>HEYSE Hans</t>
  </si>
  <si>
    <t>www.volkshaard.be</t>
  </si>
  <si>
    <t>0400067887</t>
  </si>
  <si>
    <t>9220</t>
  </si>
  <si>
    <t>ROZENHOED</t>
  </si>
  <si>
    <t>info@dezonnigewoonst.be</t>
  </si>
  <si>
    <t>+32 52 47 04 71</t>
  </si>
  <si>
    <t>Van Gucht Guy</t>
  </si>
  <si>
    <t>www.zonnigewoonst.be</t>
  </si>
  <si>
    <t>0405085262</t>
  </si>
  <si>
    <t>9300</t>
  </si>
  <si>
    <t>HEILIG HARTLAAN</t>
  </si>
  <si>
    <t>info@shmdenderstreek.be</t>
  </si>
  <si>
    <t>+32 53 77 15 18</t>
  </si>
  <si>
    <t>DE VLIEGER Eddy</t>
  </si>
  <si>
    <t>www.shm-denderstreek.be</t>
  </si>
  <si>
    <t>0400268025</t>
  </si>
  <si>
    <t>9160</t>
  </si>
  <si>
    <t>MEERSSTRAAT</t>
  </si>
  <si>
    <t>info@tuinwijk.be</t>
  </si>
  <si>
    <t>+32 9 348 27 38</t>
  </si>
  <si>
    <t>VERKAEREN Tina</t>
  </si>
  <si>
    <t>www.tuinwijk.be</t>
  </si>
  <si>
    <t>0400180131</t>
  </si>
  <si>
    <t>9820</t>
  </si>
  <si>
    <t>GAVERSESTEENWEG</t>
  </si>
  <si>
    <t>510</t>
  </si>
  <si>
    <t>info@mswwoonnet.be</t>
  </si>
  <si>
    <t>+32 9 362 22 26</t>
  </si>
  <si>
    <t>LENAERT Guido</t>
  </si>
  <si>
    <t>www.merelbeeksesocialewoningen.be</t>
  </si>
  <si>
    <t>0400189831</t>
  </si>
  <si>
    <t>9400</t>
  </si>
  <si>
    <t>ACACIASTRAAT</t>
  </si>
  <si>
    <t>info@NinoveWelzijn.be</t>
  </si>
  <si>
    <t>+32 54 31 86 66</t>
  </si>
  <si>
    <t>CORNELIS Leentje</t>
  </si>
  <si>
    <t>www.ninovewelzijn.be</t>
  </si>
  <si>
    <t>0400312466</t>
  </si>
  <si>
    <t>9290</t>
  </si>
  <si>
    <t>GAVER</t>
  </si>
  <si>
    <t>70</t>
  </si>
  <si>
    <t>info@hiwberlare.be</t>
  </si>
  <si>
    <t>+32 52 42 57 60</t>
  </si>
  <si>
    <t>SERCU Karolien</t>
  </si>
  <si>
    <t>www.hulpinwoningnood.be</t>
  </si>
  <si>
    <t>0400151427</t>
  </si>
  <si>
    <t>9700</t>
  </si>
  <si>
    <t>SINT-JOZEFSPLEIN</t>
  </si>
  <si>
    <t>info@shmvlaamseardennen.be</t>
  </si>
  <si>
    <t>+32 55 31 62 14</t>
  </si>
  <si>
    <t>VAN DEN HEEDE Jeanique</t>
  </si>
  <si>
    <t>www.shmvlaamseardennen.be</t>
  </si>
  <si>
    <t>0466370951</t>
  </si>
  <si>
    <t>9600</t>
  </si>
  <si>
    <t>FRANKLIN ROOSEVELTPLEIN</t>
  </si>
  <si>
    <t>info@Nieuwe-haard-ronse.woonnet.be</t>
  </si>
  <si>
    <t>+32 55 21 73 94</t>
  </si>
  <si>
    <t>LEPEZ Peter</t>
  </si>
  <si>
    <t>0400217644</t>
  </si>
  <si>
    <t>SERBOSSTRAAT</t>
  </si>
  <si>
    <t>info@volkswelzijn.be</t>
  </si>
  <si>
    <t>+32 52 21 68 79</t>
  </si>
  <si>
    <t>VERHELST Carine</t>
  </si>
  <si>
    <t>www.volkswelzijn.be</t>
  </si>
  <si>
    <t>0400335826</t>
  </si>
  <si>
    <t>9170</t>
  </si>
  <si>
    <t>ZWANENHOEKSTRAAT</t>
  </si>
  <si>
    <t>info@woonanker.be</t>
  </si>
  <si>
    <t>+32 3 770 60 63</t>
  </si>
  <si>
    <t>Audenaert Etienne</t>
  </si>
  <si>
    <t>www.woonankerwaas.be</t>
  </si>
  <si>
    <t>0405085361</t>
  </si>
  <si>
    <t>9100</t>
  </si>
  <si>
    <t>WILLIAM GRIFFITHSSTRAAT</t>
  </si>
  <si>
    <t>92</t>
  </si>
  <si>
    <t>info@snmh.be</t>
  </si>
  <si>
    <t>+32 3 780 58 48</t>
  </si>
  <si>
    <t>Verhoeve  Geert</t>
  </si>
  <si>
    <t>www.snmh.be</t>
  </si>
  <si>
    <t>0405085460</t>
  </si>
  <si>
    <t>9140</t>
  </si>
  <si>
    <t>MARIADAL</t>
  </si>
  <si>
    <t>info@woonankerwaasr.be</t>
  </si>
  <si>
    <t>+32 3 771 10 33</t>
  </si>
  <si>
    <t>AUDENAERT Etienne</t>
  </si>
  <si>
    <t>0405007464</t>
  </si>
  <si>
    <t>9230</t>
  </si>
  <si>
    <t>FELIX BEERNAERTSPLEIN</t>
  </si>
  <si>
    <t>55</t>
  </si>
  <si>
    <t>01</t>
  </si>
  <si>
    <t>info@eigendak.be</t>
  </si>
  <si>
    <t>+32 9 365 43 10</t>
  </si>
  <si>
    <t>Van Poucke Franky</t>
  </si>
  <si>
    <t>www.eigendak.be</t>
  </si>
  <si>
    <t>0400143608</t>
  </si>
  <si>
    <t>9240</t>
  </si>
  <si>
    <t>ACACIALAAN</t>
  </si>
  <si>
    <t>49</t>
  </si>
  <si>
    <t>W 13</t>
  </si>
  <si>
    <t>info@gmvwzele.be</t>
  </si>
  <si>
    <t xml:space="preserve"> 32 52 45 62 00</t>
  </si>
  <si>
    <t>CHRISTIAENS Glen</t>
  </si>
  <si>
    <t>www.gmvwzele.be</t>
  </si>
  <si>
    <t>0400189930</t>
  </si>
  <si>
    <t>cvba Wonen</t>
  </si>
  <si>
    <t>9060</t>
  </si>
  <si>
    <t>MARCEL MOLLELAAN</t>
  </si>
  <si>
    <t>17</t>
  </si>
  <si>
    <t>patricia.demeyer@cvbawonen.be</t>
  </si>
  <si>
    <t>+32 9 344 54 59</t>
  </si>
  <si>
    <t>DE VILDER Freddy</t>
  </si>
  <si>
    <t>www.cvbawonen.be</t>
  </si>
  <si>
    <t>0401023635</t>
  </si>
  <si>
    <t>3580</t>
  </si>
  <si>
    <t>VIOLETSTRAAT</t>
  </si>
  <si>
    <t>15</t>
  </si>
  <si>
    <t>info@kbmbe.be</t>
  </si>
  <si>
    <t>+32 11 24 60 60</t>
  </si>
  <si>
    <t>Baptist Ine</t>
  </si>
  <si>
    <t>www.kbmbe.be</t>
  </si>
  <si>
    <t>0401313348</t>
  </si>
  <si>
    <t>3630</t>
  </si>
  <si>
    <t>LANGSTRAAT</t>
  </si>
  <si>
    <t>31</t>
  </si>
  <si>
    <t>info@maaslandshuis.be</t>
  </si>
  <si>
    <t>+32 89 76 09 21</t>
  </si>
  <si>
    <t>VANDEKERCKHOVE Johan</t>
  </si>
  <si>
    <t>www.maaslandshuis.be</t>
  </si>
  <si>
    <t>0401327206</t>
  </si>
  <si>
    <t>3600</t>
  </si>
  <si>
    <t>GROTESTRAAT</t>
  </si>
  <si>
    <t>info@nieuwdak.be</t>
  </si>
  <si>
    <t>+32 89 62 90 20</t>
  </si>
  <si>
    <t>Indenkleef Myriam</t>
  </si>
  <si>
    <t>www.nieuwdak.be</t>
  </si>
  <si>
    <t>0401334035</t>
  </si>
  <si>
    <t>Hacosi</t>
  </si>
  <si>
    <t>3500</t>
  </si>
  <si>
    <t>GOUVERNEUR ROPPESINGEL</t>
  </si>
  <si>
    <t>53</t>
  </si>
  <si>
    <t>info@hacosi.be</t>
  </si>
  <si>
    <t>+32 11 28 83 10</t>
  </si>
  <si>
    <t>Vrancken Dominique</t>
  </si>
  <si>
    <t>www.hacosi.be</t>
  </si>
  <si>
    <t>0401304539</t>
  </si>
  <si>
    <t>133</t>
  </si>
  <si>
    <t>info@cordium.be</t>
  </si>
  <si>
    <t>+32 11 26 45 60</t>
  </si>
  <si>
    <t>BIELEN Alain</t>
  </si>
  <si>
    <t>www.cordium.be</t>
  </si>
  <si>
    <t>0401324929</t>
  </si>
  <si>
    <t>3530</t>
  </si>
  <si>
    <t>RINGLAAN</t>
  </si>
  <si>
    <t>info@cvkt.be</t>
  </si>
  <si>
    <t>+32 11 81 07 00</t>
  </si>
  <si>
    <t>BOLLEN Jo</t>
  </si>
  <si>
    <t>www.kempischtehuis.be</t>
  </si>
  <si>
    <t>0401314140</t>
  </si>
  <si>
    <t>3680</t>
  </si>
  <si>
    <t>MAASTRICHTERSTEENWEG</t>
  </si>
  <si>
    <t>info@onsdak.be</t>
  </si>
  <si>
    <t>+32 89 51 84 00</t>
  </si>
  <si>
    <t>VAN DEN BRUEL Koen</t>
  </si>
  <si>
    <t>www.onsdak.be</t>
  </si>
  <si>
    <t>0401336114</t>
  </si>
  <si>
    <t>3800</t>
  </si>
  <si>
    <t>GORSEMWEG</t>
  </si>
  <si>
    <t>info@nst.be</t>
  </si>
  <si>
    <t>+32 11 68 33 79</t>
  </si>
  <si>
    <t>FEUCHT Georges</t>
  </si>
  <si>
    <t>www.nieuwsinttruiden.be</t>
  </si>
  <si>
    <t>0400964742</t>
  </si>
  <si>
    <t>WOONZO</t>
  </si>
  <si>
    <t>3700</t>
  </si>
  <si>
    <t>HASSELTSESTEENWEG</t>
  </si>
  <si>
    <t>info@woonzo.be</t>
  </si>
  <si>
    <t>+32 12 44 02 00</t>
  </si>
  <si>
    <t>GAUBLOMME Inge</t>
  </si>
  <si>
    <t>www.woonzo.be</t>
  </si>
  <si>
    <t>0400979489</t>
  </si>
  <si>
    <t>koopsector</t>
  </si>
  <si>
    <t>102</t>
  </si>
  <si>
    <t>info@klekb.be</t>
  </si>
  <si>
    <t>+32 3 889 18 48</t>
  </si>
  <si>
    <t>www.klekb.be</t>
  </si>
  <si>
    <t>0400818351</t>
  </si>
  <si>
    <t>2100</t>
  </si>
  <si>
    <t>GIJSBRECHT VAN DEURNELAAN</t>
  </si>
  <si>
    <t>22</t>
  </si>
  <si>
    <t>info@arroantwerpen.be</t>
  </si>
  <si>
    <t>+32 3 663 77 20</t>
  </si>
  <si>
    <t>Vanachter Anne</t>
  </si>
  <si>
    <t>www.arroantwerpen.be</t>
  </si>
  <si>
    <t>0403837130</t>
  </si>
  <si>
    <t>Kleine Landeigendom Mechelen en Omstreken</t>
  </si>
  <si>
    <t>info@klemechelen.be</t>
  </si>
  <si>
    <t>+32 15 20 74 12</t>
  </si>
  <si>
    <t>BRIDTS Tom</t>
  </si>
  <si>
    <t>www.klemechelen.be</t>
  </si>
  <si>
    <t>0403602647</t>
  </si>
  <si>
    <t>TONGERLODORP</t>
  </si>
  <si>
    <t>info@klz.be</t>
  </si>
  <si>
    <t>+32 14 54 41 83</t>
  </si>
  <si>
    <t>VANSANT Bart</t>
  </si>
  <si>
    <t>www.klz.be</t>
  </si>
  <si>
    <t>0405794055</t>
  </si>
  <si>
    <t>BURGEMEESTER GEYSKENSSTRAAT</t>
  </si>
  <si>
    <t>info@vooruitzien.be</t>
  </si>
  <si>
    <t>+32 11 42 39 25</t>
  </si>
  <si>
    <t>COX Bert</t>
  </si>
  <si>
    <t>www.vooruitzien.be</t>
  </si>
  <si>
    <t>0401364026</t>
  </si>
  <si>
    <t>3910</t>
  </si>
  <si>
    <t>HEERSTRAAT</t>
  </si>
  <si>
    <t>info@landwaarts.be</t>
  </si>
  <si>
    <t>+32 89 32 30 80</t>
  </si>
  <si>
    <t>CAMPS Jos</t>
  </si>
  <si>
    <t>www.landwaarts.be</t>
  </si>
  <si>
    <t>0401334134</t>
  </si>
  <si>
    <t>PLINIUSWAL</t>
  </si>
  <si>
    <t>info@kleinelandeigendom.be</t>
  </si>
  <si>
    <t>+32 12 23 68 68</t>
  </si>
  <si>
    <t>CARLIER Erik</t>
  </si>
  <si>
    <t>www.kleinelandeigendom.be</t>
  </si>
  <si>
    <t>0400954844</t>
  </si>
  <si>
    <t>24</t>
  </si>
  <si>
    <t>info@sbkDendermonde.be</t>
  </si>
  <si>
    <t>+32 52 22 23 54</t>
  </si>
  <si>
    <t>HIEL Marie-Paule</t>
  </si>
  <si>
    <t>www.sbkdendermonde.be</t>
  </si>
  <si>
    <t>0400156078</t>
  </si>
  <si>
    <t>info@klehetvolk.be</t>
  </si>
  <si>
    <t>www.klehetvolk.be</t>
  </si>
  <si>
    <t>0400067590</t>
  </si>
  <si>
    <t>ONZE-LIEVE-VROUWPLEIN</t>
  </si>
  <si>
    <t>info@waasselandmaatschappij.be</t>
  </si>
  <si>
    <t>+32 3 777 25 92</t>
  </si>
  <si>
    <t>www.waasselandmaatschappij.be</t>
  </si>
  <si>
    <t>0405031913</t>
  </si>
  <si>
    <t xml:space="preserve">De Woonbrug </t>
  </si>
  <si>
    <t>HABITARE+</t>
  </si>
  <si>
    <t>Woonpunt Schelde-Rupel</t>
  </si>
  <si>
    <t>WoonAnker Waas</t>
  </si>
  <si>
    <t>regenwaterput conform Hemelwaterverordening + individueel bijvulsysteem met min. 2 aftappunten (toilet, wasmachine en/of dienstkraan)</t>
  </si>
  <si>
    <t>putinhoud min. 2.000 liter per aangesloten appartement.</t>
  </si>
  <si>
    <t>PELT</t>
  </si>
  <si>
    <t>KRUISEM</t>
  </si>
  <si>
    <t>LIEVEGEM</t>
  </si>
  <si>
    <t>OUDSBERGEN</t>
  </si>
  <si>
    <t>PUURS-SINT-AMANDS</t>
  </si>
  <si>
    <t>Terrassen</t>
  </si>
  <si>
    <t>MAXIMUM KOSTPRIJS- &amp; OPPERVLAKTESIMULATIE - BOUW &amp; RENOVATIE  FS3_2022</t>
  </si>
  <si>
    <t>100 EUR bouwlagen 1-4</t>
  </si>
  <si>
    <t>50 EURO vanaf bouwlaag 5</t>
  </si>
  <si>
    <t>50 EUR bouwlagen 1-4</t>
  </si>
  <si>
    <t>15 EURO vanaf bouwlaag 5</t>
  </si>
  <si>
    <t>schilderwerken</t>
  </si>
  <si>
    <t>warmtepompen LW (Lucht-Water)</t>
  </si>
  <si>
    <t>warmtepompen BW (Bodem-Water of Water-Water)</t>
  </si>
  <si>
    <t>forfait per woning</t>
  </si>
  <si>
    <t>gemeenschappelijke buitenruimte</t>
  </si>
  <si>
    <t>collectieve ruimte</t>
  </si>
  <si>
    <t>technieken - energieprestaties</t>
  </si>
  <si>
    <t>extra posten volgens raming</t>
  </si>
  <si>
    <t>WP/BW-app</t>
  </si>
  <si>
    <t>WP/BW-huis</t>
  </si>
  <si>
    <t>WP/LW-app</t>
  </si>
  <si>
    <t>WP/LW-huis</t>
  </si>
  <si>
    <t>gemeenschappelijke ruimte met woonfunctie (begrenzing oppervlakte tot verschil MaxWO en WO-meting</t>
  </si>
  <si>
    <t>buitenruimte-collectief</t>
  </si>
  <si>
    <t>21- na-isolatie gevels</t>
  </si>
  <si>
    <t>22 - vervanging gevelschil</t>
  </si>
  <si>
    <t>37 - dakranden &amp; kroonlijsten</t>
  </si>
  <si>
    <t>38 - dakwaterafvoer</t>
  </si>
  <si>
    <t>52 - dekvloer</t>
  </si>
  <si>
    <t>53 - vloerafwerking</t>
  </si>
  <si>
    <t>54-55 - binnendeuren &amp; trappen</t>
  </si>
  <si>
    <t>56 - keukenmeubilair</t>
  </si>
  <si>
    <t>57 - tabletten &amp; faience</t>
  </si>
  <si>
    <t>63-66 - CV-leidingen &amp; afgifte</t>
  </si>
  <si>
    <t>64-65 - CV-verwarmingstoestel, gas &amp; rookgasafvoer</t>
  </si>
  <si>
    <t>70 - elektro / grote upgrade (bv. nieuwe verdeelborden, …)</t>
  </si>
  <si>
    <t>70 - elektro / kleine upgrade (bv. in functie keuring AREI)</t>
  </si>
  <si>
    <t>71 - elektro / kleine upgrade (bv. in functie keuring AREI)</t>
  </si>
  <si>
    <t>Prijs Autoberging</t>
  </si>
  <si>
    <t>Autoberging (G-C-B-O)</t>
  </si>
  <si>
    <t>liften 25.000 euro + 6.250 euro / stopplaats</t>
  </si>
  <si>
    <t>B1, B2, B3, B4, B5, B6, B7, B8, B9, B10</t>
  </si>
  <si>
    <t>C1</t>
  </si>
  <si>
    <t>C2</t>
  </si>
  <si>
    <t>A1, A4, A5</t>
  </si>
  <si>
    <t>A2, A3, A6, A7</t>
  </si>
  <si>
    <t>A8  Aangepast MV</t>
  </si>
  <si>
    <t>plaatfundering</t>
  </si>
  <si>
    <t>03 - dakwerken &amp; isolatie (volledig nieuw)</t>
  </si>
  <si>
    <t>Lift app Blok A</t>
  </si>
  <si>
    <t>Tellerlokaal</t>
  </si>
  <si>
    <t>PV-installatie koopwoningen</t>
  </si>
  <si>
    <t>Gegroepeerde carports</t>
  </si>
  <si>
    <t>Zonneboiler Huizen</t>
  </si>
  <si>
    <t>Zonneboilers App</t>
  </si>
  <si>
    <t>Stookplaats dak App</t>
  </si>
  <si>
    <t>Regenwaterputten-huis Koop</t>
  </si>
  <si>
    <t>Regenwaterputten-huis Huur</t>
  </si>
  <si>
    <t>Regenwaterputten-app</t>
  </si>
  <si>
    <t>Tuinbergingen Blok B</t>
  </si>
  <si>
    <t>Fietsenberging Blok A</t>
  </si>
  <si>
    <t>Carports onder gebouw</t>
  </si>
  <si>
    <t>2018/0001/01</t>
  </si>
  <si>
    <t>B. Ricoleur</t>
  </si>
  <si>
    <t>50-51 - pleister- &amp; plaatafwerkingen</t>
  </si>
  <si>
    <t>Pakket vernieuwing keukenruimte (i) inclusief technieken en binnenafwerking</t>
  </si>
  <si>
    <t>Pakket vernieuwing badkamers (i) inclusief technieken en binnenafwerking</t>
  </si>
  <si>
    <t>21 - na-isolatie gevels</t>
  </si>
  <si>
    <t>61 - sanitaire toestellen</t>
  </si>
  <si>
    <t>Beschermd wonen 6 kamers</t>
  </si>
  <si>
    <t>x</t>
  </si>
  <si>
    <t>X</t>
  </si>
  <si>
    <t>Bouwen van 10 huurwon + 6 kamerwon + 10 koopwon, Dorpsstraat Huizegem</t>
  </si>
  <si>
    <t>* Kamerwoning</t>
  </si>
  <si>
    <r>
      <t xml:space="preserve">TYPE  </t>
    </r>
    <r>
      <rPr>
        <sz val="11"/>
        <color theme="1"/>
        <rFont val="Calibri"/>
        <family val="2"/>
      </rPr>
      <t>(A / E / K)</t>
    </r>
  </si>
  <si>
    <t>Buitenruimte Renovatie Huur</t>
  </si>
  <si>
    <t>IZI-Wonen</t>
  </si>
  <si>
    <t># won met toegang tot</t>
  </si>
  <si>
    <t>Versie 01-07-2022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</si>
</sst>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Red][&gt;1]0%;0%"/>
    <numFmt numFmtId="175" formatCode="#,##0.00\ [$€-1]"/>
    <numFmt numFmtId="176" formatCode="[Red][&gt;1]0.00%;0.00%"/>
    <numFmt numFmtId="177" formatCode="#,##0.00\ [$EUR]"/>
    <numFmt numFmtId="178" formatCode="[Red][&gt;1]0.0%;0.0%"/>
    <numFmt numFmtId="179" formatCode="&quot;€&quot;\ #,##0"/>
    <numFmt numFmtId="180" formatCode="&quot;€&quot;\ #,##0.00"/>
    <numFmt numFmtId="181" formatCode="#,##0.000"/>
    <numFmt numFmtId="182" formatCode="0.0%"/>
    <numFmt numFmtId="183" formatCode="&quot;Index&quot;\ 0.000"/>
    <numFmt numFmtId="184" formatCode="&quot;Abex &quot;0"/>
    <numFmt numFmtId="185" formatCode="&quot;Ref &quot;0"/>
    <numFmt numFmtId="186" formatCode="&quot;€&quot;\ #,##0&quot; /m²&quot;"/>
    <numFmt numFmtId="187" formatCode="&quot;Ja&quot;;&quot;Ja&quot;;&quot;Nee&quot;"/>
    <numFmt numFmtId="188" formatCode="&quot;Waar&quot;;&quot;Waar&quot;;&quot;Onwaar&quot;"/>
    <numFmt numFmtId="189" formatCode="&quot;Aan&quot;;&quot;Aan&quot;;&quot;Uit&quot;"/>
    <numFmt numFmtId="190" formatCode="[$€-2]\ #.##000_);[Red]\([$€-2]\ #.##000\)"/>
    <numFmt numFmtId="191" formatCode="#,##0.00\ &quot;€&quot;"/>
    <numFmt numFmtId="192" formatCode="#,##0.000\ &quot;€&quot;"/>
  </numFmts>
  <fonts count="135">
    <font>
      <sz val="11"/>
      <color theme="1"/>
      <name val="Calibri"/>
      <family val="2"/>
    </font>
    <font>
      <sz val="11"/>
      <color indexed="8"/>
      <name val="Calibri"/>
      <family val="2"/>
    </font>
    <font>
      <sz val="9"/>
      <name val="Arial"/>
      <family val="2"/>
    </font>
    <font>
      <b/>
      <sz val="10"/>
      <name val="Arial"/>
      <family val="2"/>
    </font>
    <font>
      <sz val="10"/>
      <color indexed="10"/>
      <name val="Arial"/>
      <family val="2"/>
    </font>
    <font>
      <b/>
      <sz val="12"/>
      <name val="Arial"/>
      <family val="2"/>
    </font>
    <font>
      <b/>
      <sz val="11"/>
      <name val="Arial"/>
      <family val="2"/>
    </font>
    <font>
      <sz val="10"/>
      <color indexed="8"/>
      <name val="Arial"/>
      <family val="2"/>
    </font>
    <font>
      <b/>
      <sz val="10"/>
      <color indexed="32"/>
      <name val="Arial"/>
      <family val="2"/>
    </font>
    <font>
      <sz val="10"/>
      <color indexed="32"/>
      <name val="Arial"/>
      <family val="2"/>
    </font>
    <font>
      <b/>
      <sz val="10"/>
      <color indexed="10"/>
      <name val="Arial"/>
      <family val="2"/>
    </font>
    <font>
      <b/>
      <sz val="16"/>
      <name val="Arial"/>
      <family val="2"/>
    </font>
    <font>
      <sz val="11"/>
      <color indexed="10"/>
      <name val="Calibri"/>
      <family val="2"/>
    </font>
    <font>
      <sz val="9"/>
      <name val="Tahoma"/>
      <family val="2"/>
    </font>
    <font>
      <b/>
      <sz val="9"/>
      <name val="Tahoma"/>
      <family val="2"/>
    </font>
    <font>
      <i/>
      <sz val="9"/>
      <name val="Arial"/>
      <family val="2"/>
    </font>
    <font>
      <b/>
      <sz val="9"/>
      <name val="Arial"/>
      <family val="2"/>
    </font>
    <font>
      <sz val="11"/>
      <name val="Calibri"/>
      <family val="2"/>
    </font>
    <font>
      <sz val="10"/>
      <name val="Arial"/>
      <family val="2"/>
    </font>
    <font>
      <b/>
      <sz val="14"/>
      <name val="Arial"/>
      <family val="2"/>
    </font>
    <font>
      <i/>
      <sz val="10"/>
      <name val="Arial"/>
      <family val="2"/>
    </font>
    <font>
      <b/>
      <i/>
      <sz val="10"/>
      <name val="Arial"/>
      <family val="2"/>
    </font>
    <font>
      <b/>
      <i/>
      <sz val="11"/>
      <name val="Arial"/>
      <family val="2"/>
    </font>
    <font>
      <sz val="10"/>
      <color indexed="18"/>
      <name val="Arial"/>
      <family val="2"/>
    </font>
    <font>
      <b/>
      <sz val="10"/>
      <color indexed="18"/>
      <name val="Arial"/>
      <family val="2"/>
    </font>
    <font>
      <i/>
      <sz val="11"/>
      <name val="Arial"/>
      <family val="2"/>
    </font>
    <font>
      <i/>
      <sz val="10"/>
      <color indexed="18"/>
      <name val="Arial"/>
      <family val="2"/>
    </font>
    <font>
      <sz val="11"/>
      <name val="Arial"/>
      <family val="2"/>
    </font>
    <font>
      <b/>
      <i/>
      <sz val="12"/>
      <name val="Arial"/>
      <family val="2"/>
    </font>
    <font>
      <i/>
      <sz val="12"/>
      <name val="Arial"/>
      <family val="2"/>
    </font>
    <font>
      <sz val="12"/>
      <name val="Arial"/>
      <family val="2"/>
    </font>
    <font>
      <sz val="8"/>
      <name val="Arial"/>
      <family val="2"/>
    </font>
    <font>
      <i/>
      <sz val="11"/>
      <color indexed="18"/>
      <name val="Arial"/>
      <family val="2"/>
    </font>
    <font>
      <b/>
      <i/>
      <sz val="12"/>
      <color indexed="18"/>
      <name val="Arial"/>
      <family val="2"/>
    </font>
    <font>
      <b/>
      <sz val="10"/>
      <color indexed="11"/>
      <name val="Tahoma"/>
      <family val="2"/>
    </font>
    <font>
      <sz val="9"/>
      <color indexed="8"/>
      <name val="Tahoma"/>
      <family val="2"/>
    </font>
    <font>
      <i/>
      <sz val="10"/>
      <color indexed="32"/>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b/>
      <sz val="11"/>
      <color indexed="10"/>
      <name val="Calibri"/>
      <family val="2"/>
    </font>
    <font>
      <i/>
      <sz val="11"/>
      <name val="Calibri"/>
      <family val="2"/>
    </font>
    <font>
      <i/>
      <sz val="11"/>
      <color indexed="8"/>
      <name val="Calibri"/>
      <family val="2"/>
    </font>
    <font>
      <sz val="10"/>
      <color indexed="56"/>
      <name val="Arial"/>
      <family val="2"/>
    </font>
    <font>
      <b/>
      <sz val="11"/>
      <color indexed="56"/>
      <name val="Arial"/>
      <family val="2"/>
    </font>
    <font>
      <b/>
      <i/>
      <sz val="11"/>
      <color indexed="56"/>
      <name val="Arial"/>
      <family val="2"/>
    </font>
    <font>
      <sz val="10"/>
      <name val="Calibri"/>
      <family val="2"/>
    </font>
    <font>
      <b/>
      <sz val="10"/>
      <color indexed="10"/>
      <name val="Tahoma"/>
      <family val="2"/>
    </font>
    <font>
      <b/>
      <sz val="9"/>
      <color indexed="10"/>
      <name val="Tahoma"/>
      <family val="2"/>
    </font>
    <font>
      <i/>
      <sz val="10"/>
      <color indexed="10"/>
      <name val="Arial"/>
      <family val="2"/>
    </font>
    <font>
      <b/>
      <sz val="10"/>
      <color indexed="56"/>
      <name val="Arial"/>
      <family val="2"/>
    </font>
    <font>
      <b/>
      <sz val="10"/>
      <color indexed="17"/>
      <name val="Arial"/>
      <family val="2"/>
    </font>
    <font>
      <b/>
      <sz val="10"/>
      <color indexed="53"/>
      <name val="Arial"/>
      <family val="2"/>
    </font>
    <font>
      <b/>
      <sz val="11"/>
      <color indexed="17"/>
      <name val="Calibri"/>
      <family val="2"/>
    </font>
    <font>
      <b/>
      <sz val="14"/>
      <color indexed="8"/>
      <name val="Calibri"/>
      <family val="2"/>
    </font>
    <font>
      <sz val="10"/>
      <color indexed="9"/>
      <name val="Arial"/>
      <family val="2"/>
    </font>
    <font>
      <sz val="11"/>
      <color indexed="8"/>
      <name val="Arial"/>
      <family val="2"/>
    </font>
    <font>
      <b/>
      <sz val="64"/>
      <color indexed="55"/>
      <name val="Arial"/>
      <family val="2"/>
    </font>
    <font>
      <sz val="11"/>
      <color indexed="56"/>
      <name val="Arial"/>
      <family val="2"/>
    </font>
    <font>
      <b/>
      <sz val="12"/>
      <color indexed="56"/>
      <name val="Calibri"/>
      <family val="2"/>
    </font>
    <font>
      <sz val="12"/>
      <color indexed="8"/>
      <name val="Calibri"/>
      <family val="2"/>
    </font>
    <font>
      <sz val="12"/>
      <color indexed="56"/>
      <name val="Arial"/>
      <family val="2"/>
    </font>
    <font>
      <b/>
      <sz val="12"/>
      <color indexed="56"/>
      <name val="Arial"/>
      <family val="2"/>
    </font>
    <font>
      <i/>
      <sz val="10"/>
      <color indexed="8"/>
      <name val="Arial"/>
      <family val="2"/>
    </font>
    <font>
      <i/>
      <sz val="10"/>
      <color indexed="56"/>
      <name val="Arial"/>
      <family val="2"/>
    </font>
    <font>
      <b/>
      <sz val="13"/>
      <color indexed="8"/>
      <name val="Arial"/>
      <family val="2"/>
    </font>
    <font>
      <b/>
      <sz val="30"/>
      <color indexed="55"/>
      <name val="Arial"/>
      <family val="2"/>
    </font>
    <font>
      <b/>
      <sz val="14"/>
      <color indexed="56"/>
      <name val="Calibri"/>
      <family val="2"/>
    </font>
    <font>
      <b/>
      <sz val="14"/>
      <color indexed="56"/>
      <name val="Arial"/>
      <family val="2"/>
    </font>
    <font>
      <b/>
      <sz val="10"/>
      <name val="Calibri"/>
      <family val="2"/>
    </font>
    <font>
      <b/>
      <sz val="11"/>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i/>
      <sz val="11"/>
      <color theme="1"/>
      <name val="Calibri"/>
      <family val="2"/>
    </font>
    <font>
      <sz val="10"/>
      <color rgb="FF002060"/>
      <name val="Arial"/>
      <family val="2"/>
    </font>
    <font>
      <sz val="10"/>
      <color theme="1"/>
      <name val="Arial"/>
      <family val="2"/>
    </font>
    <font>
      <b/>
      <sz val="11"/>
      <color rgb="FF002060"/>
      <name val="Arial"/>
      <family val="2"/>
    </font>
    <font>
      <b/>
      <i/>
      <sz val="11"/>
      <color rgb="FF002060"/>
      <name val="Arial"/>
      <family val="2"/>
    </font>
    <font>
      <b/>
      <sz val="10"/>
      <color rgb="FFFF0000"/>
      <name val="Tahoma"/>
      <family val="2"/>
    </font>
    <font>
      <b/>
      <sz val="9"/>
      <color rgb="FFFF0000"/>
      <name val="Tahoma"/>
      <family val="2"/>
    </font>
    <font>
      <sz val="11"/>
      <color rgb="FF000000"/>
      <name val="Calibri"/>
      <family val="2"/>
    </font>
    <font>
      <i/>
      <sz val="10"/>
      <color rgb="FFFF0000"/>
      <name val="Arial"/>
      <family val="2"/>
    </font>
    <font>
      <b/>
      <sz val="10"/>
      <color rgb="FF002060"/>
      <name val="Arial"/>
      <family val="2"/>
    </font>
    <font>
      <b/>
      <sz val="10"/>
      <color rgb="FF00B050"/>
      <name val="Arial"/>
      <family val="2"/>
    </font>
    <font>
      <b/>
      <sz val="10"/>
      <color theme="9" tint="-0.24997000396251678"/>
      <name val="Arial"/>
      <family val="2"/>
    </font>
    <font>
      <b/>
      <sz val="11"/>
      <color rgb="FF00B050"/>
      <name val="Calibri"/>
      <family val="2"/>
    </font>
    <font>
      <b/>
      <sz val="14"/>
      <color theme="1"/>
      <name val="Calibri"/>
      <family val="2"/>
    </font>
    <font>
      <sz val="10"/>
      <color theme="0"/>
      <name val="Arial"/>
      <family val="2"/>
    </font>
    <font>
      <b/>
      <sz val="30"/>
      <color theme="0" tint="-0.3499799966812134"/>
      <name val="Arial"/>
      <family val="2"/>
    </font>
    <font>
      <b/>
      <sz val="14"/>
      <color rgb="FF002060"/>
      <name val="Calibri"/>
      <family val="2"/>
    </font>
    <font>
      <b/>
      <sz val="14"/>
      <color rgb="FF002060"/>
      <name val="Arial"/>
      <family val="2"/>
    </font>
    <font>
      <sz val="11"/>
      <color theme="1"/>
      <name val="Arial"/>
      <family val="2"/>
    </font>
    <font>
      <b/>
      <sz val="12"/>
      <color rgb="FF002060"/>
      <name val="Arial"/>
      <family val="2"/>
    </font>
    <font>
      <sz val="12"/>
      <color theme="1"/>
      <name val="Calibri"/>
      <family val="2"/>
    </font>
    <font>
      <b/>
      <sz val="13"/>
      <color theme="1"/>
      <name val="Arial"/>
      <family val="2"/>
    </font>
    <font>
      <i/>
      <sz val="10"/>
      <color theme="1"/>
      <name val="Arial"/>
      <family val="2"/>
    </font>
    <font>
      <i/>
      <sz val="10"/>
      <color rgb="FF002060"/>
      <name val="Arial"/>
      <family val="2"/>
    </font>
    <font>
      <sz val="11"/>
      <color rgb="FF002060"/>
      <name val="Arial"/>
      <family val="2"/>
    </font>
    <font>
      <b/>
      <sz val="12"/>
      <color rgb="FF002060"/>
      <name val="Calibri"/>
      <family val="2"/>
    </font>
    <font>
      <sz val="12"/>
      <color rgb="FF002060"/>
      <name val="Arial"/>
      <family val="2"/>
    </font>
    <font>
      <b/>
      <sz val="64"/>
      <color theme="0" tint="-0.3499799966812134"/>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D9FDD1"/>
        <bgColor indexed="64"/>
      </patternFill>
    </fill>
    <fill>
      <patternFill patternType="solid">
        <fgColor rgb="FFDFCFC3"/>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rgb="FF00B0F0"/>
        <bgColor indexed="64"/>
      </patternFill>
    </fill>
    <fill>
      <patternFill patternType="solid">
        <fgColor rgb="FFD3F7FB"/>
        <bgColor indexed="64"/>
      </patternFill>
    </fill>
    <fill>
      <patternFill patternType="solid">
        <fgColor rgb="FFFFCCFF"/>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style="thin"/>
      <top>
        <color indexed="63"/>
      </top>
      <bottom>
        <color indexed="63"/>
      </bottom>
    </border>
    <border>
      <left>
        <color indexed="63"/>
      </left>
      <right style="thin"/>
      <top style="thin"/>
      <bottom style="thin"/>
    </border>
    <border>
      <left style="medium"/>
      <right style="thin"/>
      <top style="thin"/>
      <bottom/>
    </border>
    <border>
      <left style="medium"/>
      <right style="thin"/>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style="medium"/>
      <right style="hair"/>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hair"/>
      <right style="medium"/>
      <top style="thin"/>
      <bottom style="thin"/>
    </border>
    <border>
      <left style="medium"/>
      <right>
        <color indexed="63"/>
      </right>
      <top>
        <color indexed="63"/>
      </top>
      <bottom style="thin"/>
    </border>
    <border>
      <left style="hair"/>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color indexed="63"/>
      </top>
      <bottom>
        <color indexed="63"/>
      </bottom>
    </border>
    <border>
      <left style="thin"/>
      <right style="thin"/>
      <top style="medium"/>
      <bottom style="thin"/>
    </border>
    <border>
      <left>
        <color indexed="63"/>
      </left>
      <right style="thin"/>
      <top style="medium"/>
      <bottom style="thin"/>
    </border>
    <border>
      <left style="medium"/>
      <right style="medium"/>
      <top style="medium"/>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hair"/>
      <right style="medium"/>
      <top style="medium"/>
      <bottom style="medium"/>
    </border>
    <border>
      <left style="hair"/>
      <right>
        <color indexed="63"/>
      </right>
      <top style="medium"/>
      <bottom style="medium"/>
    </border>
    <border>
      <left style="medium"/>
      <right style="medium"/>
      <top>
        <color indexed="63"/>
      </top>
      <bottom style="medium"/>
    </border>
    <border>
      <left style="thin">
        <color indexed="10"/>
      </left>
      <right style="thin">
        <color indexed="10"/>
      </right>
      <top style="thin">
        <color indexed="10"/>
      </top>
      <bottom style="thin">
        <color indexed="10"/>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style="medium"/>
      <bottom/>
    </border>
    <border>
      <left style="thin"/>
      <right style="medium"/>
      <top style="medium"/>
      <bottom>
        <color indexed="63"/>
      </bottom>
    </border>
    <border>
      <left>
        <color indexed="63"/>
      </left>
      <right style="medium"/>
      <top style="thin"/>
      <bottom>
        <color indexed="63"/>
      </bottom>
    </border>
    <border>
      <left>
        <color indexed="63"/>
      </left>
      <right style="thin"/>
      <top style="medium"/>
      <bottom>
        <color indexed="63"/>
      </bottom>
    </border>
    <border>
      <left style="medium"/>
      <right style="thin"/>
      <top>
        <color indexed="63"/>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0" borderId="3" applyNumberFormat="0" applyFill="0" applyAlignment="0" applyProtection="0"/>
    <xf numFmtId="0" fontId="91" fillId="0" borderId="0" applyNumberFormat="0" applyFill="0" applyBorder="0" applyAlignment="0" applyProtection="0"/>
    <xf numFmtId="0" fontId="92" fillId="28" borderId="0" applyNumberFormat="0" applyBorder="0" applyAlignment="0" applyProtection="0"/>
    <xf numFmtId="0" fontId="93" fillId="0" borderId="0" applyNumberFormat="0" applyFill="0" applyBorder="0" applyAlignment="0" applyProtection="0"/>
    <xf numFmtId="0" fontId="9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5" fillId="0" borderId="4"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0" fillId="31" borderId="7" applyNumberFormat="0" applyFont="0" applyAlignment="0" applyProtection="0"/>
    <xf numFmtId="0" fontId="99" fillId="32" borderId="0" applyNumberFormat="0" applyBorder="0" applyAlignment="0" applyProtection="0"/>
    <xf numFmtId="9" fontId="0" fillId="0" borderId="0" applyFont="0" applyFill="0" applyBorder="0" applyAlignment="0" applyProtection="0"/>
    <xf numFmtId="0" fontId="18" fillId="0" borderId="0">
      <alignment/>
      <protection/>
    </xf>
    <xf numFmtId="0" fontId="7" fillId="0" borderId="0">
      <alignment/>
      <protection/>
    </xf>
    <xf numFmtId="0" fontId="100" fillId="0" borderId="0" applyNumberFormat="0" applyFill="0" applyBorder="0" applyAlignment="0" applyProtection="0"/>
    <xf numFmtId="0" fontId="101" fillId="0" borderId="8" applyNumberFormat="0" applyFill="0" applyAlignment="0" applyProtection="0"/>
    <xf numFmtId="0" fontId="10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cellStyleXfs>
  <cellXfs count="655">
    <xf numFmtId="0" fontId="0" fillId="0" borderId="0" xfId="0" applyFont="1" applyAlignment="1">
      <alignment/>
    </xf>
    <xf numFmtId="0" fontId="3" fillId="0" borderId="0" xfId="0" applyFont="1" applyAlignment="1" applyProtection="1">
      <alignment horizontal="center"/>
      <protection/>
    </xf>
    <xf numFmtId="0" fontId="0" fillId="0" borderId="0" xfId="0" applyAlignment="1" applyProtection="1">
      <alignment horizontal="center"/>
      <protection/>
    </xf>
    <xf numFmtId="0" fontId="0" fillId="0" borderId="0" xfId="0" applyAlignment="1">
      <alignment horizontal="center"/>
    </xf>
    <xf numFmtId="0" fontId="0" fillId="0" borderId="0" xfId="0" applyFill="1" applyAlignment="1">
      <alignment/>
    </xf>
    <xf numFmtId="0" fontId="0" fillId="0" borderId="0" xfId="0" applyAlignment="1">
      <alignment vertical="top" wrapText="1"/>
    </xf>
    <xf numFmtId="0" fontId="10" fillId="33" borderId="10" xfId="57" applyFont="1" applyFill="1" applyBorder="1" applyAlignment="1">
      <alignment horizontal="left"/>
      <protection/>
    </xf>
    <xf numFmtId="0" fontId="10" fillId="33" borderId="10" xfId="57" applyFont="1" applyFill="1" applyBorder="1" applyAlignment="1">
      <alignment horizontal="center"/>
      <protection/>
    </xf>
    <xf numFmtId="0" fontId="7" fillId="0" borderId="10" xfId="57" applyFont="1" applyFill="1" applyBorder="1" applyAlignment="1">
      <alignment horizontal="left"/>
      <protection/>
    </xf>
    <xf numFmtId="0" fontId="0" fillId="0" borderId="10" xfId="0" applyBorder="1" applyAlignment="1">
      <alignment/>
    </xf>
    <xf numFmtId="9" fontId="0" fillId="0" borderId="10" xfId="0" applyNumberFormat="1" applyBorder="1" applyAlignment="1">
      <alignment horizontal="center"/>
    </xf>
    <xf numFmtId="4" fontId="2" fillId="6" borderId="11" xfId="0" applyNumberFormat="1" applyFont="1" applyFill="1" applyBorder="1" applyAlignment="1" applyProtection="1">
      <alignment horizontal="center" vertical="center"/>
      <protection/>
    </xf>
    <xf numFmtId="0" fontId="3" fillId="11" borderId="12" xfId="0" applyFont="1" applyFill="1" applyBorder="1" applyAlignment="1" applyProtection="1">
      <alignment horizontal="center" vertical="center"/>
      <protection/>
    </xf>
    <xf numFmtId="0" fontId="10" fillId="5" borderId="10" xfId="57" applyFont="1" applyFill="1" applyBorder="1" applyAlignment="1">
      <alignment horizontal="left"/>
      <protection/>
    </xf>
    <xf numFmtId="9" fontId="12" fillId="5" borderId="10" xfId="0" applyNumberFormat="1" applyFont="1" applyFill="1" applyBorder="1" applyAlignment="1">
      <alignment horizontal="center"/>
    </xf>
    <xf numFmtId="0" fontId="7" fillId="2" borderId="10" xfId="57" applyFont="1" applyFill="1" applyBorder="1" applyAlignment="1">
      <alignment horizontal="left"/>
      <protection/>
    </xf>
    <xf numFmtId="9" fontId="0" fillId="2" borderId="10" xfId="0" applyNumberFormat="1" applyFill="1" applyBorder="1" applyAlignment="1">
      <alignment horizontal="center"/>
    </xf>
    <xf numFmtId="9" fontId="0" fillId="0" borderId="10" xfId="0" applyNumberFormat="1" applyFill="1" applyBorder="1" applyAlignment="1">
      <alignment horizontal="center"/>
    </xf>
    <xf numFmtId="0" fontId="0" fillId="0" borderId="10" xfId="0" applyBorder="1" applyAlignment="1">
      <alignment horizontal="center"/>
    </xf>
    <xf numFmtId="9" fontId="0" fillId="0" borderId="10" xfId="0" applyNumberFormat="1" applyBorder="1" applyAlignment="1">
      <alignment/>
    </xf>
    <xf numFmtId="4" fontId="0" fillId="0" borderId="10" xfId="0" applyNumberFormat="1" applyBorder="1" applyAlignment="1">
      <alignment/>
    </xf>
    <xf numFmtId="0" fontId="3" fillId="0" borderId="10" xfId="0" applyFont="1" applyBorder="1" applyAlignment="1">
      <alignment horizontal="center"/>
    </xf>
    <xf numFmtId="0" fontId="101" fillId="0" borderId="10" xfId="0" applyFont="1" applyBorder="1" applyAlignment="1">
      <alignment horizontal="center"/>
    </xf>
    <xf numFmtId="9" fontId="0" fillId="0" borderId="10" xfId="55" applyFont="1" applyBorder="1" applyAlignment="1">
      <alignment/>
    </xf>
    <xf numFmtId="0" fontId="0" fillId="0" borderId="10" xfId="0" applyFill="1" applyBorder="1" applyAlignment="1">
      <alignment/>
    </xf>
    <xf numFmtId="9" fontId="2" fillId="0" borderId="10" xfId="55" applyNumberFormat="1" applyFont="1" applyFill="1" applyBorder="1" applyAlignment="1">
      <alignment horizontal="center"/>
    </xf>
    <xf numFmtId="0" fontId="101" fillId="6" borderId="13" xfId="0" applyFont="1" applyFill="1" applyBorder="1" applyAlignment="1">
      <alignment/>
    </xf>
    <xf numFmtId="0" fontId="0" fillId="6" borderId="14" xfId="0" applyFill="1" applyBorder="1" applyAlignment="1">
      <alignment/>
    </xf>
    <xf numFmtId="0" fontId="0" fillId="6" borderId="15" xfId="0" applyFill="1" applyBorder="1" applyAlignment="1">
      <alignment/>
    </xf>
    <xf numFmtId="0" fontId="101" fillId="12" borderId="13" xfId="0" applyFont="1" applyFill="1" applyBorder="1" applyAlignment="1">
      <alignment/>
    </xf>
    <xf numFmtId="0" fontId="0" fillId="12" borderId="14" xfId="0" applyFill="1" applyBorder="1" applyAlignment="1">
      <alignment/>
    </xf>
    <xf numFmtId="0" fontId="0" fillId="12" borderId="15" xfId="0" applyFill="1" applyBorder="1" applyAlignment="1">
      <alignment/>
    </xf>
    <xf numFmtId="9" fontId="0" fillId="6" borderId="16" xfId="55" applyFont="1" applyFill="1" applyBorder="1" applyAlignment="1">
      <alignment horizontal="center"/>
    </xf>
    <xf numFmtId="0" fontId="0" fillId="12" borderId="17" xfId="0" applyFill="1" applyBorder="1" applyAlignment="1">
      <alignment/>
    </xf>
    <xf numFmtId="9" fontId="0" fillId="12" borderId="16" xfId="55" applyFont="1" applyFill="1" applyBorder="1" applyAlignment="1">
      <alignment horizontal="center"/>
    </xf>
    <xf numFmtId="9" fontId="0" fillId="18" borderId="16" xfId="55" applyFont="1" applyFill="1" applyBorder="1" applyAlignment="1">
      <alignment horizontal="center"/>
    </xf>
    <xf numFmtId="9" fontId="0" fillId="12" borderId="18" xfId="55" applyFont="1" applyFill="1" applyBorder="1" applyAlignment="1">
      <alignment horizontal="center"/>
    </xf>
    <xf numFmtId="9" fontId="0" fillId="18" borderId="18" xfId="55" applyFont="1" applyFill="1" applyBorder="1" applyAlignment="1">
      <alignment horizontal="center"/>
    </xf>
    <xf numFmtId="0" fontId="101" fillId="18" borderId="19" xfId="0" applyFont="1" applyFill="1" applyBorder="1" applyAlignment="1">
      <alignment horizontal="center"/>
    </xf>
    <xf numFmtId="0" fontId="101" fillId="6" borderId="15" xfId="0" applyFont="1" applyFill="1" applyBorder="1" applyAlignment="1">
      <alignment/>
    </xf>
    <xf numFmtId="9" fontId="105" fillId="18" borderId="20" xfId="0" applyNumberFormat="1" applyFont="1" applyFill="1" applyBorder="1" applyAlignment="1">
      <alignment horizontal="center"/>
    </xf>
    <xf numFmtId="0" fontId="101" fillId="6" borderId="19" xfId="0" applyFont="1" applyFill="1" applyBorder="1" applyAlignment="1">
      <alignment horizontal="center"/>
    </xf>
    <xf numFmtId="9" fontId="105" fillId="6" borderId="20" xfId="0" applyNumberFormat="1" applyFont="1" applyFill="1" applyBorder="1" applyAlignment="1">
      <alignment horizontal="center"/>
    </xf>
    <xf numFmtId="0" fontId="101" fillId="12" borderId="19" xfId="0" applyFont="1" applyFill="1" applyBorder="1" applyAlignment="1">
      <alignment horizontal="center"/>
    </xf>
    <xf numFmtId="0" fontId="101" fillId="12" borderId="15" xfId="0" applyFont="1" applyFill="1" applyBorder="1" applyAlignment="1">
      <alignment/>
    </xf>
    <xf numFmtId="9" fontId="105" fillId="12" borderId="20" xfId="0" applyNumberFormat="1" applyFont="1" applyFill="1" applyBorder="1" applyAlignment="1">
      <alignment horizontal="center"/>
    </xf>
    <xf numFmtId="0" fontId="101" fillId="18" borderId="13" xfId="0" applyFont="1" applyFill="1" applyBorder="1" applyAlignment="1">
      <alignment/>
    </xf>
    <xf numFmtId="0" fontId="101" fillId="18" borderId="15" xfId="0" applyFont="1" applyFill="1" applyBorder="1" applyAlignment="1">
      <alignment/>
    </xf>
    <xf numFmtId="0" fontId="0" fillId="18" borderId="17" xfId="0" applyFill="1" applyBorder="1" applyAlignment="1">
      <alignment/>
    </xf>
    <xf numFmtId="0" fontId="0" fillId="18" borderId="14" xfId="0" applyFill="1" applyBorder="1" applyAlignment="1">
      <alignment/>
    </xf>
    <xf numFmtId="0" fontId="0" fillId="18" borderId="15" xfId="0" applyFill="1" applyBorder="1" applyAlignment="1">
      <alignment/>
    </xf>
    <xf numFmtId="0" fontId="0" fillId="0" borderId="21" xfId="0" applyFill="1" applyBorder="1" applyAlignment="1">
      <alignment/>
    </xf>
    <xf numFmtId="0" fontId="17" fillId="0" borderId="22" xfId="0" applyFont="1" applyFill="1" applyBorder="1" applyAlignment="1">
      <alignment horizontal="left"/>
    </xf>
    <xf numFmtId="179" fontId="0" fillId="0" borderId="0" xfId="0" applyNumberFormat="1" applyAlignment="1">
      <alignment/>
    </xf>
    <xf numFmtId="179" fontId="0" fillId="0" borderId="10" xfId="0" applyNumberFormat="1" applyBorder="1" applyAlignment="1">
      <alignment/>
    </xf>
    <xf numFmtId="0" fontId="101" fillId="0" borderId="10" xfId="0" applyFont="1" applyBorder="1" applyAlignment="1">
      <alignment/>
    </xf>
    <xf numFmtId="179" fontId="101" fillId="0" borderId="10" xfId="0" applyNumberFormat="1" applyFont="1" applyBorder="1" applyAlignment="1">
      <alignment horizontal="center"/>
    </xf>
    <xf numFmtId="0" fontId="17" fillId="4" borderId="17" xfId="0" applyFont="1" applyFill="1" applyBorder="1" applyAlignment="1">
      <alignment horizontal="left"/>
    </xf>
    <xf numFmtId="0" fontId="17" fillId="4" borderId="14" xfId="0" applyFont="1" applyFill="1" applyBorder="1" applyAlignment="1">
      <alignment horizontal="left"/>
    </xf>
    <xf numFmtId="0" fontId="17" fillId="6" borderId="17" xfId="0" applyFont="1" applyFill="1" applyBorder="1" applyAlignment="1">
      <alignment horizontal="left"/>
    </xf>
    <xf numFmtId="0" fontId="17" fillId="6" borderId="14" xfId="0" applyFont="1" applyFill="1" applyBorder="1" applyAlignment="1">
      <alignment horizontal="left"/>
    </xf>
    <xf numFmtId="0" fontId="17" fillId="6" borderId="23" xfId="0" applyFont="1" applyFill="1" applyBorder="1" applyAlignment="1">
      <alignment horizontal="left"/>
    </xf>
    <xf numFmtId="0" fontId="17" fillId="7" borderId="17" xfId="0" applyFont="1" applyFill="1" applyBorder="1" applyAlignment="1">
      <alignment horizontal="left"/>
    </xf>
    <xf numFmtId="0" fontId="17" fillId="7" borderId="14" xfId="0" applyFont="1" applyFill="1" applyBorder="1" applyAlignment="1">
      <alignment horizontal="left"/>
    </xf>
    <xf numFmtId="0" fontId="56" fillId="7" borderId="24" xfId="0" applyFont="1" applyFill="1" applyBorder="1" applyAlignment="1">
      <alignment horizontal="left"/>
    </xf>
    <xf numFmtId="0" fontId="56" fillId="7" borderId="15" xfId="0" applyFont="1" applyFill="1" applyBorder="1" applyAlignment="1">
      <alignment horizontal="left"/>
    </xf>
    <xf numFmtId="0" fontId="56" fillId="4" borderId="14" xfId="0" applyFont="1" applyFill="1" applyBorder="1" applyAlignment="1">
      <alignment horizontal="left"/>
    </xf>
    <xf numFmtId="0" fontId="56" fillId="4" borderId="15" xfId="0" applyFont="1" applyFill="1" applyBorder="1" applyAlignment="1">
      <alignment horizontal="left"/>
    </xf>
    <xf numFmtId="0" fontId="17" fillId="4" borderId="15" xfId="0" applyFont="1" applyFill="1" applyBorder="1" applyAlignment="1">
      <alignment horizontal="left"/>
    </xf>
    <xf numFmtId="0" fontId="17" fillId="7" borderId="15" xfId="0" applyFont="1" applyFill="1" applyBorder="1" applyAlignment="1">
      <alignment horizontal="left"/>
    </xf>
    <xf numFmtId="0" fontId="17" fillId="0" borderId="10" xfId="0" applyFont="1" applyFill="1" applyBorder="1" applyAlignment="1">
      <alignment horizontal="left"/>
    </xf>
    <xf numFmtId="3" fontId="20" fillId="34" borderId="25" xfId="0" applyNumberFormat="1" applyFont="1" applyFill="1" applyBorder="1" applyAlignment="1" applyProtection="1">
      <alignment horizontal="center" vertical="center"/>
      <protection locked="0"/>
    </xf>
    <xf numFmtId="0" fontId="106" fillId="0" borderId="25" xfId="0" applyFont="1" applyBorder="1" applyAlignment="1">
      <alignment/>
    </xf>
    <xf numFmtId="0" fontId="106" fillId="0" borderId="26" xfId="0" applyFont="1" applyBorder="1" applyAlignment="1">
      <alignment/>
    </xf>
    <xf numFmtId="0" fontId="106" fillId="0" borderId="27" xfId="0" applyFont="1" applyBorder="1" applyAlignment="1">
      <alignment/>
    </xf>
    <xf numFmtId="0" fontId="106" fillId="0" borderId="28" xfId="0" applyFont="1" applyBorder="1" applyAlignment="1">
      <alignment/>
    </xf>
    <xf numFmtId="3" fontId="15" fillId="0" borderId="26" xfId="0" applyNumberFormat="1" applyFont="1" applyFill="1" applyBorder="1" applyAlignment="1" applyProtection="1">
      <alignment horizontal="center" vertical="center"/>
      <protection locked="0"/>
    </xf>
    <xf numFmtId="3" fontId="15" fillId="0" borderId="28" xfId="0" applyNumberFormat="1" applyFont="1" applyFill="1" applyBorder="1" applyAlignment="1" applyProtection="1">
      <alignment horizontal="center" vertical="center"/>
      <protection locked="0"/>
    </xf>
    <xf numFmtId="3" fontId="15" fillId="0" borderId="25" xfId="0" applyNumberFormat="1" applyFont="1" applyFill="1" applyBorder="1" applyAlignment="1" applyProtection="1">
      <alignment horizontal="center" vertical="center"/>
      <protection locked="0"/>
    </xf>
    <xf numFmtId="0" fontId="0" fillId="0" borderId="0" xfId="0" applyFont="1" applyAlignment="1">
      <alignment/>
    </xf>
    <xf numFmtId="3" fontId="3" fillId="34" borderId="29" xfId="0" applyNumberFormat="1" applyFont="1" applyFill="1" applyBorder="1" applyAlignment="1" applyProtection="1">
      <alignment horizontal="center" vertical="center" textRotation="90"/>
      <protection locked="0"/>
    </xf>
    <xf numFmtId="3" fontId="3" fillId="34" borderId="30" xfId="0" applyNumberFormat="1" applyFont="1" applyFill="1" applyBorder="1" applyAlignment="1" applyProtection="1">
      <alignment horizontal="center" vertical="center"/>
      <protection locked="0"/>
    </xf>
    <xf numFmtId="3" fontId="3" fillId="34" borderId="30" xfId="0" applyNumberFormat="1" applyFont="1" applyFill="1" applyBorder="1" applyAlignment="1" applyProtection="1">
      <alignment horizontal="center" vertical="center" textRotation="90"/>
      <protection locked="0"/>
    </xf>
    <xf numFmtId="3" fontId="21" fillId="34" borderId="30" xfId="0" applyNumberFormat="1" applyFont="1" applyFill="1" applyBorder="1" applyAlignment="1" applyProtection="1">
      <alignment horizontal="center" vertical="center" textRotation="90"/>
      <protection locked="0"/>
    </xf>
    <xf numFmtId="3" fontId="3" fillId="34" borderId="30" xfId="0" applyNumberFormat="1" applyFont="1" applyFill="1" applyBorder="1" applyAlignment="1" applyProtection="1">
      <alignment horizontal="center" vertical="center" textRotation="90" wrapText="1"/>
      <protection locked="0"/>
    </xf>
    <xf numFmtId="3" fontId="3" fillId="34" borderId="31" xfId="0" applyNumberFormat="1" applyFont="1" applyFill="1" applyBorder="1" applyAlignment="1" applyProtection="1">
      <alignment horizontal="center" vertical="center" textRotation="90"/>
      <protection locked="0"/>
    </xf>
    <xf numFmtId="3" fontId="21" fillId="34" borderId="32" xfId="0" applyNumberFormat="1" applyFont="1" applyFill="1" applyBorder="1" applyAlignment="1" applyProtection="1">
      <alignment horizontal="center" vertical="center" textRotation="90"/>
      <protection locked="0"/>
    </xf>
    <xf numFmtId="3" fontId="21" fillId="3" borderId="33" xfId="0" applyNumberFormat="1" applyFont="1" applyFill="1" applyBorder="1" applyAlignment="1" applyProtection="1">
      <alignment horizontal="center" vertical="center" textRotation="90"/>
      <protection locked="0"/>
    </xf>
    <xf numFmtId="3" fontId="21" fillId="3" borderId="30" xfId="0" applyNumberFormat="1" applyFont="1" applyFill="1" applyBorder="1" applyAlignment="1" applyProtection="1">
      <alignment horizontal="center" vertical="center" textRotation="90"/>
      <protection locked="0"/>
    </xf>
    <xf numFmtId="3" fontId="21" fillId="3" borderId="34" xfId="0" applyNumberFormat="1" applyFont="1" applyFill="1" applyBorder="1" applyAlignment="1" applyProtection="1">
      <alignment horizontal="center" vertical="center" textRotation="90"/>
      <protection locked="0"/>
    </xf>
    <xf numFmtId="3" fontId="21" fillId="3" borderId="35" xfId="0" applyNumberFormat="1" applyFont="1" applyFill="1" applyBorder="1" applyAlignment="1" applyProtection="1">
      <alignment horizontal="center" vertical="center" textRotation="90"/>
      <protection locked="0"/>
    </xf>
    <xf numFmtId="3" fontId="21" fillId="10" borderId="34" xfId="0" applyNumberFormat="1" applyFont="1" applyFill="1" applyBorder="1" applyAlignment="1" applyProtection="1">
      <alignment horizontal="center" vertical="center" textRotation="90"/>
      <protection locked="0"/>
    </xf>
    <xf numFmtId="3" fontId="21" fillId="10" borderId="31" xfId="0" applyNumberFormat="1" applyFont="1" applyFill="1" applyBorder="1" applyAlignment="1" applyProtection="1">
      <alignment horizontal="center" vertical="center" textRotation="90"/>
      <protection locked="0"/>
    </xf>
    <xf numFmtId="3" fontId="21" fillId="10" borderId="32" xfId="0" applyNumberFormat="1" applyFont="1" applyFill="1" applyBorder="1" applyAlignment="1" applyProtection="1">
      <alignment horizontal="center" vertical="center" textRotation="90"/>
      <protection locked="0"/>
    </xf>
    <xf numFmtId="3" fontId="21" fillId="2" borderId="33" xfId="0" applyNumberFormat="1" applyFont="1" applyFill="1" applyBorder="1" applyAlignment="1" applyProtection="1">
      <alignment horizontal="center" vertical="center" textRotation="90"/>
      <protection locked="0"/>
    </xf>
    <xf numFmtId="3" fontId="21" fillId="2" borderId="30" xfId="0" applyNumberFormat="1" applyFont="1" applyFill="1" applyBorder="1" applyAlignment="1" applyProtection="1">
      <alignment horizontal="center" vertical="center" textRotation="90"/>
      <protection locked="0"/>
    </xf>
    <xf numFmtId="3" fontId="21" fillId="2" borderId="34" xfId="0" applyNumberFormat="1" applyFont="1" applyFill="1" applyBorder="1" applyAlignment="1" applyProtection="1">
      <alignment horizontal="center" vertical="center" textRotation="90"/>
      <protection locked="0"/>
    </xf>
    <xf numFmtId="3" fontId="21" fillId="2" borderId="35" xfId="0" applyNumberFormat="1" applyFont="1" applyFill="1" applyBorder="1" applyAlignment="1" applyProtection="1">
      <alignment horizontal="center" vertical="center" textRotation="90"/>
      <protection locked="0"/>
    </xf>
    <xf numFmtId="3" fontId="21" fillId="35" borderId="34" xfId="0" applyNumberFormat="1" applyFont="1" applyFill="1" applyBorder="1" applyAlignment="1" applyProtection="1">
      <alignment horizontal="center" vertical="center" textRotation="90"/>
      <protection locked="0"/>
    </xf>
    <xf numFmtId="3" fontId="3" fillId="34" borderId="34" xfId="0" applyNumberFormat="1" applyFont="1" applyFill="1" applyBorder="1" applyAlignment="1" applyProtection="1">
      <alignment horizontal="center" vertical="center" textRotation="90"/>
      <protection locked="0"/>
    </xf>
    <xf numFmtId="0" fontId="4" fillId="0" borderId="0" xfId="0" applyFont="1" applyAlignment="1">
      <alignment/>
    </xf>
    <xf numFmtId="0" fontId="3" fillId="34" borderId="29" xfId="0" applyNumberFormat="1" applyFont="1" applyFill="1" applyBorder="1" applyAlignment="1" applyProtection="1">
      <alignment horizontal="center" vertical="center"/>
      <protection locked="0"/>
    </xf>
    <xf numFmtId="3" fontId="18" fillId="34" borderId="36" xfId="0" applyNumberFormat="1" applyFont="1" applyFill="1" applyBorder="1" applyAlignment="1" applyProtection="1">
      <alignment horizontal="center" vertical="center"/>
      <protection locked="0"/>
    </xf>
    <xf numFmtId="0" fontId="22" fillId="34" borderId="36" xfId="0" applyNumberFormat="1" applyFont="1" applyFill="1" applyBorder="1" applyAlignment="1" applyProtection="1">
      <alignment horizontal="center" vertical="center"/>
      <protection locked="0"/>
    </xf>
    <xf numFmtId="3" fontId="20" fillId="34" borderId="36" xfId="0" applyNumberFormat="1" applyFont="1" applyFill="1" applyBorder="1" applyAlignment="1" applyProtection="1">
      <alignment horizontal="center" vertical="center"/>
      <protection locked="0"/>
    </xf>
    <xf numFmtId="3" fontId="20" fillId="34" borderId="32" xfId="0" applyNumberFormat="1" applyFont="1" applyFill="1" applyBorder="1" applyAlignment="1" applyProtection="1">
      <alignment horizontal="center" vertical="center"/>
      <protection locked="0"/>
    </xf>
    <xf numFmtId="3" fontId="20" fillId="34" borderId="37" xfId="0" applyNumberFormat="1" applyFont="1" applyFill="1" applyBorder="1" applyAlignment="1" applyProtection="1">
      <alignment horizontal="center" vertical="center"/>
      <protection locked="0"/>
    </xf>
    <xf numFmtId="3" fontId="20" fillId="34" borderId="0" xfId="0" applyNumberFormat="1" applyFont="1" applyFill="1" applyBorder="1" applyAlignment="1" applyProtection="1">
      <alignment horizontal="center" vertical="center"/>
      <protection locked="0"/>
    </xf>
    <xf numFmtId="3" fontId="20" fillId="34" borderId="38" xfId="0" applyNumberFormat="1" applyFont="1" applyFill="1" applyBorder="1" applyAlignment="1" applyProtection="1">
      <alignment horizontal="center" vertical="center"/>
      <protection locked="0"/>
    </xf>
    <xf numFmtId="3" fontId="20" fillId="34" borderId="39" xfId="0" applyNumberFormat="1" applyFont="1" applyFill="1" applyBorder="1" applyAlignment="1" applyProtection="1">
      <alignment horizontal="center" vertical="center"/>
      <protection locked="0"/>
    </xf>
    <xf numFmtId="3" fontId="20" fillId="34" borderId="40" xfId="0" applyNumberFormat="1" applyFont="1" applyFill="1" applyBorder="1" applyAlignment="1" applyProtection="1">
      <alignment horizontal="center" vertical="center"/>
      <protection locked="0"/>
    </xf>
    <xf numFmtId="3" fontId="20" fillId="34" borderId="41" xfId="0" applyNumberFormat="1" applyFont="1" applyFill="1" applyBorder="1" applyAlignment="1" applyProtection="1">
      <alignment horizontal="center" vertical="center"/>
      <protection locked="0"/>
    </xf>
    <xf numFmtId="3" fontId="18" fillId="34" borderId="42" xfId="0" applyNumberFormat="1" applyFont="1" applyFill="1" applyBorder="1" applyAlignment="1" applyProtection="1">
      <alignment horizontal="center" vertical="center"/>
      <protection locked="0"/>
    </xf>
    <xf numFmtId="3" fontId="23" fillId="5" borderId="14" xfId="0" applyNumberFormat="1" applyFont="1" applyFill="1" applyBorder="1" applyAlignment="1" applyProtection="1">
      <alignment horizontal="center" vertical="center"/>
      <protection locked="0"/>
    </xf>
    <xf numFmtId="3" fontId="23" fillId="5" borderId="11" xfId="0" applyNumberFormat="1" applyFont="1" applyFill="1" applyBorder="1" applyAlignment="1" applyProtection="1">
      <alignment horizontal="center" vertical="center"/>
      <protection locked="0"/>
    </xf>
    <xf numFmtId="3" fontId="23" fillId="5" borderId="22" xfId="0" applyNumberFormat="1" applyFont="1" applyFill="1" applyBorder="1" applyAlignment="1" applyProtection="1">
      <alignment horizontal="left" vertical="center"/>
      <protection locked="0"/>
    </xf>
    <xf numFmtId="3" fontId="24" fillId="5" borderId="10" xfId="0" applyNumberFormat="1" applyFont="1" applyFill="1" applyBorder="1" applyAlignment="1" applyProtection="1">
      <alignment horizontal="center" vertical="center"/>
      <protection locked="0"/>
    </xf>
    <xf numFmtId="3" fontId="23" fillId="5" borderId="10" xfId="0" applyNumberFormat="1" applyFont="1" applyFill="1" applyBorder="1" applyAlignment="1" applyProtection="1">
      <alignment horizontal="center" vertical="center"/>
      <protection locked="0"/>
    </xf>
    <xf numFmtId="3" fontId="23" fillId="13" borderId="10" xfId="0" applyNumberFormat="1" applyFont="1" applyFill="1" applyBorder="1" applyAlignment="1" applyProtection="1">
      <alignment horizontal="center" vertical="center"/>
      <protection locked="0"/>
    </xf>
    <xf numFmtId="4" fontId="23" fillId="13" borderId="10" xfId="0" applyNumberFormat="1" applyFont="1" applyFill="1" applyBorder="1" applyAlignment="1" applyProtection="1">
      <alignment horizontal="center" vertical="center"/>
      <protection locked="0"/>
    </xf>
    <xf numFmtId="4" fontId="24" fillId="13" borderId="11" xfId="0" applyNumberFormat="1" applyFont="1" applyFill="1" applyBorder="1" applyAlignment="1" applyProtection="1">
      <alignment horizontal="center" vertical="center"/>
      <protection locked="0"/>
    </xf>
    <xf numFmtId="3" fontId="20" fillId="34" borderId="43" xfId="0" applyNumberFormat="1" applyFont="1" applyFill="1" applyBorder="1" applyAlignment="1" applyProtection="1">
      <alignment horizontal="center" vertical="center"/>
      <protection locked="0"/>
    </xf>
    <xf numFmtId="4" fontId="20" fillId="34" borderId="44" xfId="0" applyNumberFormat="1" applyFont="1" applyFill="1" applyBorder="1" applyAlignment="1" applyProtection="1">
      <alignment horizontal="center" vertical="center"/>
      <protection locked="0"/>
    </xf>
    <xf numFmtId="3" fontId="25" fillId="34" borderId="44" xfId="0" applyNumberFormat="1" applyFont="1" applyFill="1" applyBorder="1" applyAlignment="1" applyProtection="1">
      <alignment horizontal="center" vertical="center"/>
      <protection locked="0"/>
    </xf>
    <xf numFmtId="3" fontId="25" fillId="34" borderId="45" xfId="0" applyNumberFormat="1" applyFont="1" applyFill="1" applyBorder="1" applyAlignment="1" applyProtection="1">
      <alignment horizontal="center" vertical="center"/>
      <protection locked="0"/>
    </xf>
    <xf numFmtId="174" fontId="18" fillId="34" borderId="46" xfId="0" applyNumberFormat="1" applyFont="1" applyFill="1" applyBorder="1" applyAlignment="1" applyProtection="1">
      <alignment horizontal="center" vertical="center"/>
      <protection locked="0"/>
    </xf>
    <xf numFmtId="4" fontId="18" fillId="34" borderId="44" xfId="0" applyNumberFormat="1" applyFont="1" applyFill="1" applyBorder="1" applyAlignment="1" applyProtection="1">
      <alignment horizontal="center" vertical="center"/>
      <protection locked="0"/>
    </xf>
    <xf numFmtId="4" fontId="18" fillId="34" borderId="44" xfId="0" applyNumberFormat="1" applyFont="1" applyFill="1" applyBorder="1" applyAlignment="1" applyProtection="1">
      <alignment horizontal="center" vertical="center"/>
      <protection/>
    </xf>
    <xf numFmtId="0" fontId="23" fillId="36" borderId="46" xfId="0" applyNumberFormat="1" applyFont="1" applyFill="1" applyBorder="1" applyAlignment="1" applyProtection="1">
      <alignment horizontal="center" vertical="center"/>
      <protection locked="0"/>
    </xf>
    <xf numFmtId="4" fontId="23" fillId="36" borderId="47" xfId="0" applyNumberFormat="1" applyFont="1" applyFill="1" applyBorder="1" applyAlignment="1" applyProtection="1">
      <alignment horizontal="center" vertical="center"/>
      <protection locked="0"/>
    </xf>
    <xf numFmtId="0" fontId="23" fillId="36" borderId="12" xfId="0" applyNumberFormat="1" applyFont="1" applyFill="1" applyBorder="1" applyAlignment="1" applyProtection="1">
      <alignment horizontal="center" vertical="center"/>
      <protection locked="0"/>
    </xf>
    <xf numFmtId="179" fontId="18" fillId="34" borderId="43" xfId="0" applyNumberFormat="1" applyFont="1" applyFill="1" applyBorder="1" applyAlignment="1" applyProtection="1">
      <alignment horizontal="center" vertical="center"/>
      <protection locked="0"/>
    </xf>
    <xf numFmtId="9" fontId="18" fillId="34" borderId="43" xfId="55" applyFont="1" applyFill="1" applyBorder="1" applyAlignment="1" applyProtection="1">
      <alignment horizontal="center" vertical="center"/>
      <protection locked="0"/>
    </xf>
    <xf numFmtId="9" fontId="18" fillId="34" borderId="48" xfId="55" applyFont="1" applyFill="1" applyBorder="1" applyAlignment="1" applyProtection="1">
      <alignment horizontal="center" vertical="center"/>
      <protection locked="0"/>
    </xf>
    <xf numFmtId="9" fontId="23" fillId="37" borderId="46" xfId="55" applyFont="1" applyFill="1" applyBorder="1" applyAlignment="1" applyProtection="1">
      <alignment horizontal="center" vertical="center"/>
      <protection locked="0"/>
    </xf>
    <xf numFmtId="9" fontId="23" fillId="37" borderId="47" xfId="55" applyFont="1" applyFill="1" applyBorder="1" applyAlignment="1" applyProtection="1">
      <alignment horizontal="center" vertical="center"/>
      <protection locked="0"/>
    </xf>
    <xf numFmtId="4" fontId="18" fillId="34" borderId="46" xfId="0" applyNumberFormat="1" applyFont="1" applyFill="1" applyBorder="1" applyAlignment="1" applyProtection="1">
      <alignment horizontal="center" vertical="center"/>
      <protection locked="0"/>
    </xf>
    <xf numFmtId="181" fontId="18" fillId="34" borderId="44" xfId="0" applyNumberFormat="1" applyFont="1" applyFill="1" applyBorder="1" applyAlignment="1" applyProtection="1">
      <alignment horizontal="center" vertical="center"/>
      <protection locked="0"/>
    </xf>
    <xf numFmtId="179" fontId="18" fillId="34" borderId="45" xfId="0" applyNumberFormat="1" applyFont="1" applyFill="1" applyBorder="1" applyAlignment="1" applyProtection="1">
      <alignment horizontal="center" vertical="center"/>
      <protection locked="0"/>
    </xf>
    <xf numFmtId="179" fontId="20" fillId="34" borderId="12" xfId="0" applyNumberFormat="1" applyFont="1" applyFill="1" applyBorder="1" applyAlignment="1" applyProtection="1">
      <alignment horizontal="center" vertical="center"/>
      <protection locked="0"/>
    </xf>
    <xf numFmtId="179" fontId="20" fillId="3" borderId="14" xfId="0" applyNumberFormat="1" applyFont="1" applyFill="1" applyBorder="1" applyAlignment="1" applyProtection="1">
      <alignment horizontal="center" vertical="center"/>
      <protection/>
    </xf>
    <xf numFmtId="179" fontId="20" fillId="3" borderId="10" xfId="0" applyNumberFormat="1" applyFont="1" applyFill="1" applyBorder="1" applyAlignment="1" applyProtection="1">
      <alignment horizontal="center" vertical="center"/>
      <protection/>
    </xf>
    <xf numFmtId="179" fontId="20" fillId="3" borderId="11" xfId="0" applyNumberFormat="1" applyFont="1" applyFill="1" applyBorder="1" applyAlignment="1" applyProtection="1">
      <alignment horizontal="center" vertical="center"/>
      <protection/>
    </xf>
    <xf numFmtId="179" fontId="20" fillId="3" borderId="22" xfId="0" applyNumberFormat="1" applyFont="1" applyFill="1" applyBorder="1" applyAlignment="1" applyProtection="1">
      <alignment horizontal="center" vertical="center"/>
      <protection/>
    </xf>
    <xf numFmtId="179" fontId="20" fillId="10" borderId="14" xfId="0" applyNumberFormat="1" applyFont="1" applyFill="1" applyBorder="1" applyAlignment="1" applyProtection="1">
      <alignment horizontal="center" vertical="center"/>
      <protection locked="0"/>
    </xf>
    <xf numFmtId="179" fontId="20" fillId="10" borderId="10" xfId="0" applyNumberFormat="1" applyFont="1" applyFill="1" applyBorder="1" applyAlignment="1" applyProtection="1">
      <alignment horizontal="center" vertical="center"/>
      <protection locked="0"/>
    </xf>
    <xf numFmtId="179" fontId="20" fillId="10" borderId="49" xfId="0" applyNumberFormat="1" applyFont="1" applyFill="1" applyBorder="1" applyAlignment="1" applyProtection="1">
      <alignment horizontal="center" vertical="center"/>
      <protection locked="0"/>
    </xf>
    <xf numFmtId="179" fontId="20" fillId="10" borderId="11" xfId="0" applyNumberFormat="1" applyFont="1" applyFill="1" applyBorder="1" applyAlignment="1" applyProtection="1">
      <alignment horizontal="center" vertical="center"/>
      <protection locked="0"/>
    </xf>
    <xf numFmtId="179" fontId="26" fillId="2" borderId="46" xfId="0" applyNumberFormat="1" applyFont="1" applyFill="1" applyBorder="1" applyAlignment="1" applyProtection="1">
      <alignment horizontal="center" vertical="center"/>
      <protection locked="0"/>
    </xf>
    <xf numFmtId="179" fontId="26" fillId="2" borderId="43" xfId="0" applyNumberFormat="1" applyFont="1" applyFill="1" applyBorder="1" applyAlignment="1" applyProtection="1">
      <alignment horizontal="center" vertical="center"/>
      <protection locked="0"/>
    </xf>
    <xf numFmtId="179" fontId="26" fillId="2" borderId="47" xfId="0" applyNumberFormat="1" applyFont="1" applyFill="1" applyBorder="1" applyAlignment="1" applyProtection="1">
      <alignment horizontal="center" vertical="center"/>
      <protection locked="0"/>
    </xf>
    <xf numFmtId="179" fontId="26" fillId="35" borderId="47" xfId="0" applyNumberFormat="1" applyFont="1" applyFill="1" applyBorder="1" applyAlignment="1" applyProtection="1">
      <alignment horizontal="center" vertical="center"/>
      <protection locked="0"/>
    </xf>
    <xf numFmtId="180" fontId="18" fillId="34" borderId="50" xfId="0" applyNumberFormat="1" applyFont="1" applyFill="1" applyBorder="1" applyAlignment="1" applyProtection="1">
      <alignment horizontal="center" vertical="center"/>
      <protection locked="0"/>
    </xf>
    <xf numFmtId="3" fontId="0" fillId="0" borderId="0" xfId="0" applyNumberFormat="1" applyFont="1" applyAlignment="1">
      <alignment/>
    </xf>
    <xf numFmtId="0" fontId="18" fillId="34" borderId="36" xfId="0" applyNumberFormat="1" applyFont="1" applyFill="1" applyBorder="1" applyAlignment="1" applyProtection="1">
      <alignment horizontal="center" vertical="center"/>
      <protection locked="0"/>
    </xf>
    <xf numFmtId="0" fontId="20" fillId="34" borderId="36" xfId="0" applyNumberFormat="1" applyFont="1" applyFill="1" applyBorder="1" applyAlignment="1" applyProtection="1">
      <alignment horizontal="center" vertical="center"/>
      <protection locked="0"/>
    </xf>
    <xf numFmtId="0" fontId="25" fillId="34" borderId="36" xfId="0" applyNumberFormat="1" applyFont="1" applyFill="1" applyBorder="1" applyAlignment="1" applyProtection="1">
      <alignment horizontal="center" vertical="center"/>
      <protection locked="0"/>
    </xf>
    <xf numFmtId="0" fontId="20" fillId="34" borderId="32" xfId="0" applyNumberFormat="1" applyFont="1" applyFill="1" applyBorder="1" applyAlignment="1" applyProtection="1">
      <alignment horizontal="center" vertical="center"/>
      <protection locked="0"/>
    </xf>
    <xf numFmtId="0" fontId="20" fillId="34" borderId="29" xfId="0" applyNumberFormat="1" applyFont="1" applyFill="1" applyBorder="1" applyAlignment="1" applyProtection="1">
      <alignment horizontal="center" vertical="center"/>
      <protection locked="0"/>
    </xf>
    <xf numFmtId="0" fontId="20" fillId="34" borderId="42" xfId="0" applyNumberFormat="1" applyFont="1" applyFill="1" applyBorder="1" applyAlignment="1" applyProtection="1">
      <alignment horizontal="center" vertical="center"/>
      <protection locked="0"/>
    </xf>
    <xf numFmtId="0" fontId="18" fillId="34" borderId="42" xfId="0" applyNumberFormat="1" applyFont="1" applyFill="1" applyBorder="1" applyAlignment="1" applyProtection="1">
      <alignment horizontal="center" vertical="center"/>
      <protection locked="0"/>
    </xf>
    <xf numFmtId="3" fontId="23" fillId="5" borderId="17" xfId="0" applyNumberFormat="1" applyFont="1" applyFill="1" applyBorder="1" applyAlignment="1" applyProtection="1">
      <alignment horizontal="center" vertical="center"/>
      <protection locked="0"/>
    </xf>
    <xf numFmtId="3" fontId="23" fillId="5" borderId="16" xfId="0" applyNumberFormat="1" applyFont="1" applyFill="1" applyBorder="1" applyAlignment="1" applyProtection="1">
      <alignment horizontal="center" vertical="center"/>
      <protection locked="0"/>
    </xf>
    <xf numFmtId="3" fontId="107" fillId="38" borderId="51" xfId="0" applyNumberFormat="1" applyFont="1" applyFill="1" applyBorder="1" applyAlignment="1" applyProtection="1">
      <alignment horizontal="left" vertical="center"/>
      <protection locked="0"/>
    </xf>
    <xf numFmtId="3" fontId="107" fillId="38" borderId="52" xfId="0" applyNumberFormat="1" applyFont="1" applyFill="1" applyBorder="1" applyAlignment="1" applyProtection="1">
      <alignment horizontal="center" vertical="center"/>
      <protection locked="0"/>
    </xf>
    <xf numFmtId="0" fontId="27" fillId="34" borderId="0" xfId="0" applyNumberFormat="1"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center" vertical="center"/>
      <protection locked="0"/>
    </xf>
    <xf numFmtId="3" fontId="20" fillId="34" borderId="53" xfId="0" applyNumberFormat="1" applyFont="1" applyFill="1" applyBorder="1" applyAlignment="1" applyProtection="1">
      <alignment horizontal="center" vertical="center"/>
      <protection locked="0"/>
    </xf>
    <xf numFmtId="0" fontId="18" fillId="34" borderId="37" xfId="0" applyNumberFormat="1" applyFont="1" applyFill="1" applyBorder="1" applyAlignment="1" applyProtection="1">
      <alignment horizontal="center" vertical="center"/>
      <protection locked="0"/>
    </xf>
    <xf numFmtId="3" fontId="18" fillId="34" borderId="54" xfId="0" applyNumberFormat="1" applyFont="1" applyFill="1" applyBorder="1" applyAlignment="1" applyProtection="1">
      <alignment horizontal="center" vertical="center"/>
      <protection locked="0"/>
    </xf>
    <xf numFmtId="3" fontId="18" fillId="34" borderId="55" xfId="0" applyNumberFormat="1" applyFont="1" applyFill="1" applyBorder="1" applyAlignment="1" applyProtection="1">
      <alignment horizontal="center" vertical="center"/>
      <protection locked="0"/>
    </xf>
    <xf numFmtId="3" fontId="18" fillId="34" borderId="56" xfId="0" applyNumberFormat="1" applyFont="1" applyFill="1" applyBorder="1" applyAlignment="1" applyProtection="1">
      <alignment horizontal="center" vertical="center"/>
      <protection locked="0"/>
    </xf>
    <xf numFmtId="181" fontId="18" fillId="34" borderId="57" xfId="0" applyNumberFormat="1" applyFont="1" applyFill="1" applyBorder="1" applyAlignment="1" applyProtection="1">
      <alignment horizontal="center" vertical="center"/>
      <protection locked="0"/>
    </xf>
    <xf numFmtId="181" fontId="18" fillId="34" borderId="58" xfId="0" applyNumberFormat="1" applyFont="1" applyFill="1" applyBorder="1" applyAlignment="1" applyProtection="1">
      <alignment horizontal="center" vertical="center"/>
      <protection locked="0"/>
    </xf>
    <xf numFmtId="179" fontId="18" fillId="34" borderId="59" xfId="0" applyNumberFormat="1" applyFont="1" applyFill="1" applyBorder="1" applyAlignment="1" applyProtection="1">
      <alignment horizontal="center" vertical="center"/>
      <protection locked="0"/>
    </xf>
    <xf numFmtId="179" fontId="20" fillId="34" borderId="60" xfId="0" applyNumberFormat="1" applyFont="1" applyFill="1" applyBorder="1" applyAlignment="1" applyProtection="1">
      <alignment horizontal="center" vertical="center"/>
      <protection locked="0"/>
    </xf>
    <xf numFmtId="179" fontId="20" fillId="34" borderId="37" xfId="0" applyNumberFormat="1" applyFont="1" applyFill="1" applyBorder="1" applyAlignment="1" applyProtection="1">
      <alignment horizontal="center" vertical="center"/>
      <protection locked="0"/>
    </xf>
    <xf numFmtId="179" fontId="20" fillId="34" borderId="0" xfId="0" applyNumberFormat="1" applyFont="1" applyFill="1" applyBorder="1" applyAlignment="1" applyProtection="1">
      <alignment horizontal="center" vertical="center"/>
      <protection locked="0"/>
    </xf>
    <xf numFmtId="179" fontId="20" fillId="34" borderId="38" xfId="0" applyNumberFormat="1" applyFont="1" applyFill="1" applyBorder="1" applyAlignment="1" applyProtection="1">
      <alignment horizontal="center" vertical="center"/>
      <protection locked="0"/>
    </xf>
    <xf numFmtId="179" fontId="20" fillId="10" borderId="17" xfId="0" applyNumberFormat="1" applyFont="1" applyFill="1" applyBorder="1" applyAlignment="1" applyProtection="1">
      <alignment horizontal="center" vertical="center"/>
      <protection locked="0"/>
    </xf>
    <xf numFmtId="179" fontId="20" fillId="10" borderId="54" xfId="0" applyNumberFormat="1" applyFont="1" applyFill="1" applyBorder="1" applyAlignment="1" applyProtection="1">
      <alignment horizontal="center" vertical="center"/>
      <protection locked="0"/>
    </xf>
    <xf numFmtId="179" fontId="20" fillId="10" borderId="16" xfId="0" applyNumberFormat="1" applyFont="1" applyFill="1" applyBorder="1" applyAlignment="1" applyProtection="1">
      <alignment horizontal="center" vertical="center"/>
      <protection locked="0"/>
    </xf>
    <xf numFmtId="179" fontId="18" fillId="34" borderId="52" xfId="0" applyNumberFormat="1" applyFont="1" applyFill="1" applyBorder="1" applyAlignment="1" applyProtection="1">
      <alignment horizontal="center" vertical="center"/>
      <protection locked="0"/>
    </xf>
    <xf numFmtId="3" fontId="107" fillId="38" borderId="61" xfId="0" applyNumberFormat="1" applyFont="1" applyFill="1" applyBorder="1" applyAlignment="1" applyProtection="1">
      <alignment vertical="center"/>
      <protection locked="0"/>
    </xf>
    <xf numFmtId="3" fontId="20" fillId="34" borderId="62" xfId="0" applyNumberFormat="1" applyFont="1" applyFill="1" applyBorder="1" applyAlignment="1" applyProtection="1">
      <alignment horizontal="center" vertical="center"/>
      <protection locked="0"/>
    </xf>
    <xf numFmtId="3" fontId="107" fillId="38" borderId="10" xfId="0" applyNumberFormat="1" applyFont="1" applyFill="1" applyBorder="1" applyAlignment="1" applyProtection="1">
      <alignment horizontal="center" vertical="center"/>
      <protection locked="0"/>
    </xf>
    <xf numFmtId="3" fontId="18" fillId="34" borderId="10" xfId="0" applyNumberFormat="1" applyFont="1" applyFill="1" applyBorder="1" applyAlignment="1" applyProtection="1">
      <alignment horizontal="center" vertical="center"/>
      <protection locked="0"/>
    </xf>
    <xf numFmtId="3" fontId="18" fillId="34" borderId="49" xfId="0" applyNumberFormat="1" applyFont="1" applyFill="1" applyBorder="1" applyAlignment="1" applyProtection="1">
      <alignment horizontal="center" vertical="center"/>
      <protection locked="0"/>
    </xf>
    <xf numFmtId="3" fontId="18" fillId="34" borderId="22" xfId="0" applyNumberFormat="1" applyFont="1" applyFill="1" applyBorder="1" applyAlignment="1" applyProtection="1">
      <alignment horizontal="center" vertical="center"/>
      <protection locked="0"/>
    </xf>
    <xf numFmtId="181" fontId="18" fillId="34" borderId="43" xfId="0" applyNumberFormat="1" applyFont="1" applyFill="1" applyBorder="1" applyAlignment="1" applyProtection="1">
      <alignment horizontal="center" vertical="center"/>
      <protection locked="0"/>
    </xf>
    <xf numFmtId="179" fontId="106" fillId="34" borderId="37" xfId="0" applyNumberFormat="1" applyFont="1" applyFill="1" applyBorder="1" applyAlignment="1">
      <alignment/>
    </xf>
    <xf numFmtId="179" fontId="106" fillId="34" borderId="0" xfId="0" applyNumberFormat="1" applyFont="1" applyFill="1" applyBorder="1" applyAlignment="1">
      <alignment/>
    </xf>
    <xf numFmtId="179" fontId="106" fillId="34" borderId="38" xfId="0" applyNumberFormat="1" applyFont="1" applyFill="1" applyBorder="1" applyAlignment="1">
      <alignment/>
    </xf>
    <xf numFmtId="179" fontId="18" fillId="34" borderId="50" xfId="0" applyNumberFormat="1" applyFont="1" applyFill="1" applyBorder="1" applyAlignment="1" applyProtection="1">
      <alignment horizontal="center" vertical="center"/>
      <protection locked="0"/>
    </xf>
    <xf numFmtId="3" fontId="107" fillId="38" borderId="63" xfId="0" applyNumberFormat="1" applyFont="1" applyFill="1" applyBorder="1" applyAlignment="1" applyProtection="1">
      <alignment horizontal="left" vertical="center"/>
      <protection locked="0"/>
    </xf>
    <xf numFmtId="4" fontId="23" fillId="38" borderId="12" xfId="0" applyNumberFormat="1" applyFont="1" applyFill="1" applyBorder="1" applyAlignment="1" applyProtection="1">
      <alignment horizontal="center" vertical="center"/>
      <protection locked="0"/>
    </xf>
    <xf numFmtId="3" fontId="20" fillId="34" borderId="48" xfId="0" applyNumberFormat="1" applyFont="1" applyFill="1" applyBorder="1" applyAlignment="1" applyProtection="1">
      <alignment horizontal="center" vertical="center"/>
      <protection locked="0"/>
    </xf>
    <xf numFmtId="3" fontId="107" fillId="38" borderId="63" xfId="0" applyNumberFormat="1" applyFont="1" applyFill="1" applyBorder="1" applyAlignment="1" applyProtection="1">
      <alignment vertical="center"/>
      <protection locked="0"/>
    </xf>
    <xf numFmtId="0" fontId="18" fillId="34" borderId="28" xfId="0" applyNumberFormat="1" applyFont="1" applyFill="1" applyBorder="1" applyAlignment="1" applyProtection="1">
      <alignment horizontal="center" vertical="center"/>
      <protection locked="0"/>
    </xf>
    <xf numFmtId="0" fontId="20" fillId="34" borderId="25" xfId="0" applyNumberFormat="1" applyFont="1" applyFill="1" applyBorder="1" applyAlignment="1" applyProtection="1">
      <alignment horizontal="center" vertical="center"/>
      <protection locked="0"/>
    </xf>
    <xf numFmtId="0" fontId="20" fillId="34" borderId="27" xfId="0" applyNumberFormat="1" applyFont="1" applyFill="1" applyBorder="1" applyAlignment="1" applyProtection="1">
      <alignment horizontal="center" vertical="center"/>
      <protection locked="0"/>
    </xf>
    <xf numFmtId="0" fontId="20" fillId="34" borderId="28" xfId="0" applyNumberFormat="1" applyFont="1" applyFill="1" applyBorder="1" applyAlignment="1" applyProtection="1">
      <alignment horizontal="center" vertical="center"/>
      <protection locked="0"/>
    </xf>
    <xf numFmtId="0" fontId="20" fillId="34" borderId="26" xfId="0" applyNumberFormat="1" applyFont="1" applyFill="1" applyBorder="1" applyAlignment="1" applyProtection="1">
      <alignment horizontal="center" vertical="center"/>
      <protection locked="0"/>
    </xf>
    <xf numFmtId="180" fontId="20" fillId="34" borderId="27" xfId="0" applyNumberFormat="1" applyFont="1" applyFill="1" applyBorder="1" applyAlignment="1" applyProtection="1">
      <alignment horizontal="center" vertical="center"/>
      <protection locked="0"/>
    </xf>
    <xf numFmtId="180" fontId="20" fillId="34" borderId="28" xfId="0" applyNumberFormat="1" applyFont="1" applyFill="1" applyBorder="1" applyAlignment="1" applyProtection="1">
      <alignment horizontal="center" vertical="center"/>
      <protection locked="0"/>
    </xf>
    <xf numFmtId="0" fontId="18" fillId="34" borderId="26" xfId="0" applyNumberFormat="1"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left" vertical="center"/>
      <protection locked="0"/>
    </xf>
    <xf numFmtId="0" fontId="108" fillId="0" borderId="0" xfId="0" applyFont="1" applyBorder="1" applyAlignment="1">
      <alignment vertical="center"/>
    </xf>
    <xf numFmtId="4" fontId="5" fillId="34" borderId="64" xfId="0" applyNumberFormat="1" applyFont="1" applyFill="1" applyBorder="1" applyAlignment="1" applyProtection="1">
      <alignment horizontal="center" vertical="center"/>
      <protection locked="0"/>
    </xf>
    <xf numFmtId="180" fontId="20" fillId="34" borderId="37" xfId="0" applyNumberFormat="1" applyFont="1" applyFill="1" applyBorder="1" applyAlignment="1" applyProtection="1">
      <alignment horizontal="center" vertical="center"/>
      <protection locked="0"/>
    </xf>
    <xf numFmtId="180" fontId="20" fillId="34" borderId="0" xfId="0" applyNumberFormat="1" applyFont="1" applyFill="1" applyBorder="1" applyAlignment="1" applyProtection="1">
      <alignment horizontal="center" vertical="center"/>
      <protection locked="0"/>
    </xf>
    <xf numFmtId="4" fontId="5" fillId="34" borderId="38" xfId="0" applyNumberFormat="1" applyFont="1" applyFill="1" applyBorder="1" applyAlignment="1" applyProtection="1">
      <alignment horizontal="center" vertical="center"/>
      <protection locked="0"/>
    </xf>
    <xf numFmtId="0" fontId="0" fillId="0" borderId="0" xfId="0" applyFont="1" applyAlignment="1">
      <alignment vertical="center"/>
    </xf>
    <xf numFmtId="3" fontId="27" fillId="34" borderId="65" xfId="0" applyNumberFormat="1" applyFont="1" applyFill="1" applyBorder="1" applyAlignment="1" applyProtection="1">
      <alignment horizontal="center" vertical="center"/>
      <protection locked="0"/>
    </xf>
    <xf numFmtId="180" fontId="109" fillId="34" borderId="65" xfId="0" applyNumberFormat="1" applyFont="1" applyFill="1" applyBorder="1" applyAlignment="1" applyProtection="1">
      <alignment horizontal="center" vertical="center"/>
      <protection locked="0"/>
    </xf>
    <xf numFmtId="9" fontId="27" fillId="34" borderId="65" xfId="0" applyNumberFormat="1" applyFont="1" applyFill="1" applyBorder="1" applyAlignment="1" applyProtection="1">
      <alignment horizontal="center" vertical="center"/>
      <protection locked="0"/>
    </xf>
    <xf numFmtId="3" fontId="27" fillId="34" borderId="19" xfId="0" applyNumberFormat="1" applyFont="1" applyFill="1" applyBorder="1" applyAlignment="1" applyProtection="1">
      <alignment horizontal="center" vertical="center"/>
      <protection locked="0"/>
    </xf>
    <xf numFmtId="3" fontId="27" fillId="34" borderId="66" xfId="0" applyNumberFormat="1" applyFont="1" applyFill="1" applyBorder="1" applyAlignment="1" applyProtection="1">
      <alignment horizontal="center" vertical="center"/>
      <protection locked="0"/>
    </xf>
    <xf numFmtId="3" fontId="6" fillId="34" borderId="0" xfId="0" applyNumberFormat="1" applyFont="1" applyFill="1" applyBorder="1" applyAlignment="1" applyProtection="1">
      <alignment horizontal="center" vertical="center"/>
      <protection locked="0"/>
    </xf>
    <xf numFmtId="180" fontId="27" fillId="34" borderId="13" xfId="0" applyNumberFormat="1" applyFont="1" applyFill="1" applyBorder="1" applyAlignment="1" applyProtection="1">
      <alignment horizontal="center" vertical="center"/>
      <protection locked="0"/>
    </xf>
    <xf numFmtId="0" fontId="101" fillId="34" borderId="64" xfId="0" applyFont="1" applyFill="1" applyBorder="1" applyAlignment="1">
      <alignment horizontal="right"/>
    </xf>
    <xf numFmtId="0" fontId="25" fillId="34" borderId="37" xfId="0" applyNumberFormat="1" applyFont="1" applyFill="1" applyBorder="1" applyAlignment="1" applyProtection="1">
      <alignment vertical="center"/>
      <protection locked="0"/>
    </xf>
    <xf numFmtId="0" fontId="25" fillId="34" borderId="0" xfId="0" applyNumberFormat="1" applyFont="1" applyFill="1" applyBorder="1" applyAlignment="1" applyProtection="1">
      <alignment vertical="center"/>
      <protection locked="0"/>
    </xf>
    <xf numFmtId="0" fontId="25" fillId="34" borderId="38" xfId="0" applyNumberFormat="1" applyFont="1" applyFill="1" applyBorder="1" applyAlignment="1" applyProtection="1">
      <alignment vertical="center"/>
      <protection locked="0"/>
    </xf>
    <xf numFmtId="180" fontId="25" fillId="34" borderId="37" xfId="0" applyNumberFormat="1" applyFont="1" applyFill="1" applyBorder="1" applyAlignment="1" applyProtection="1">
      <alignment horizontal="center" vertical="center"/>
      <protection locked="0"/>
    </xf>
    <xf numFmtId="180" fontId="25" fillId="34" borderId="0" xfId="0" applyNumberFormat="1" applyFont="1" applyFill="1" applyBorder="1" applyAlignment="1" applyProtection="1">
      <alignment horizontal="center" vertical="center"/>
      <protection locked="0"/>
    </xf>
    <xf numFmtId="4" fontId="110" fillId="34" borderId="37" xfId="0" applyNumberFormat="1" applyFont="1" applyFill="1" applyBorder="1" applyAlignment="1" applyProtection="1">
      <alignment horizontal="center" vertical="center"/>
      <protection/>
    </xf>
    <xf numFmtId="4" fontId="110" fillId="34" borderId="0" xfId="0" applyNumberFormat="1" applyFont="1" applyFill="1" applyBorder="1" applyAlignment="1" applyProtection="1">
      <alignment horizontal="center" vertical="center"/>
      <protection/>
    </xf>
    <xf numFmtId="4" fontId="110" fillId="34" borderId="38" xfId="0" applyNumberFormat="1" applyFont="1" applyFill="1" applyBorder="1" applyAlignment="1" applyProtection="1">
      <alignment horizontal="center" vertical="center"/>
      <protection/>
    </xf>
    <xf numFmtId="3" fontId="22" fillId="34" borderId="37" xfId="0" applyNumberFormat="1" applyFont="1" applyFill="1" applyBorder="1" applyAlignment="1" applyProtection="1">
      <alignment horizontal="center" vertical="center"/>
      <protection locked="0"/>
    </xf>
    <xf numFmtId="3" fontId="22" fillId="34" borderId="0" xfId="0" applyNumberFormat="1" applyFont="1" applyFill="1" applyBorder="1" applyAlignment="1" applyProtection="1">
      <alignment horizontal="center" vertical="center"/>
      <protection locked="0"/>
    </xf>
    <xf numFmtId="3" fontId="22" fillId="34" borderId="38" xfId="0" applyNumberFormat="1" applyFont="1" applyFill="1" applyBorder="1" applyAlignment="1" applyProtection="1">
      <alignment horizontal="center" vertical="center"/>
      <protection locked="0"/>
    </xf>
    <xf numFmtId="3" fontId="22" fillId="34" borderId="64" xfId="0" applyNumberFormat="1" applyFont="1" applyFill="1" applyBorder="1" applyAlignment="1" applyProtection="1">
      <alignment horizontal="center" vertical="center"/>
      <protection locked="0"/>
    </xf>
    <xf numFmtId="180" fontId="27" fillId="34" borderId="67" xfId="0" applyNumberFormat="1" applyFont="1" applyFill="1" applyBorder="1" applyAlignment="1" applyProtection="1">
      <alignment horizontal="center" vertical="center"/>
      <protection locked="0"/>
    </xf>
    <xf numFmtId="3" fontId="27" fillId="34" borderId="10" xfId="0" applyNumberFormat="1" applyFont="1" applyFill="1" applyBorder="1" applyAlignment="1" applyProtection="1">
      <alignment horizontal="center" vertical="center"/>
      <protection locked="0"/>
    </xf>
    <xf numFmtId="10" fontId="27" fillId="34" borderId="10" xfId="55" applyNumberFormat="1" applyFont="1" applyFill="1" applyBorder="1" applyAlignment="1" applyProtection="1">
      <alignment horizontal="center" vertical="center"/>
      <protection locked="0"/>
    </xf>
    <xf numFmtId="9" fontId="27" fillId="34" borderId="10" xfId="0" applyNumberFormat="1" applyFont="1" applyFill="1" applyBorder="1" applyAlignment="1" applyProtection="1">
      <alignment horizontal="center" vertical="center"/>
      <protection locked="0"/>
    </xf>
    <xf numFmtId="3" fontId="27" fillId="34" borderId="11" xfId="0" applyNumberFormat="1" applyFont="1" applyFill="1" applyBorder="1" applyAlignment="1" applyProtection="1">
      <alignment horizontal="center" vertical="center"/>
      <protection locked="0"/>
    </xf>
    <xf numFmtId="3" fontId="27" fillId="34" borderId="22" xfId="0" applyNumberFormat="1" applyFont="1" applyFill="1" applyBorder="1" applyAlignment="1" applyProtection="1">
      <alignment horizontal="center" vertical="center"/>
      <protection locked="0"/>
    </xf>
    <xf numFmtId="180" fontId="27" fillId="34" borderId="14" xfId="0" applyNumberFormat="1" applyFont="1" applyFill="1" applyBorder="1" applyAlignment="1" applyProtection="1">
      <alignment horizontal="center" vertical="center"/>
      <protection locked="0"/>
    </xf>
    <xf numFmtId="180" fontId="27" fillId="34" borderId="12" xfId="0" applyNumberFormat="1" applyFont="1" applyFill="1" applyBorder="1" applyAlignment="1" applyProtection="1">
      <alignment horizontal="center" vertical="center"/>
      <protection locked="0"/>
    </xf>
    <xf numFmtId="3" fontId="27" fillId="34" borderId="68" xfId="0" applyNumberFormat="1" applyFont="1" applyFill="1" applyBorder="1" applyAlignment="1" applyProtection="1">
      <alignment horizontal="center" vertical="center"/>
      <protection locked="0"/>
    </xf>
    <xf numFmtId="180" fontId="6" fillId="34" borderId="68" xfId="0" applyNumberFormat="1" applyFont="1" applyFill="1" applyBorder="1" applyAlignment="1" applyProtection="1">
      <alignment horizontal="center" vertical="center"/>
      <protection locked="0"/>
    </xf>
    <xf numFmtId="9" fontId="27" fillId="34" borderId="68" xfId="0" applyNumberFormat="1" applyFont="1" applyFill="1" applyBorder="1" applyAlignment="1" applyProtection="1">
      <alignment horizontal="center" vertical="center"/>
      <protection locked="0"/>
    </xf>
    <xf numFmtId="3" fontId="27" fillId="34" borderId="20" xfId="0" applyNumberFormat="1" applyFont="1" applyFill="1" applyBorder="1" applyAlignment="1" applyProtection="1">
      <alignment horizontal="center" vertical="center"/>
      <protection locked="0"/>
    </xf>
    <xf numFmtId="3" fontId="27" fillId="34" borderId="69" xfId="0" applyNumberFormat="1" applyFont="1" applyFill="1" applyBorder="1" applyAlignment="1" applyProtection="1">
      <alignment horizontal="center" vertical="center"/>
      <protection locked="0"/>
    </xf>
    <xf numFmtId="180" fontId="27" fillId="34" borderId="15" xfId="0" applyNumberFormat="1" applyFont="1" applyFill="1" applyBorder="1" applyAlignment="1" applyProtection="1">
      <alignment horizontal="center" vertical="center"/>
      <protection locked="0"/>
    </xf>
    <xf numFmtId="180" fontId="27" fillId="34" borderId="70" xfId="0" applyNumberFormat="1" applyFont="1" applyFill="1" applyBorder="1" applyAlignment="1" applyProtection="1">
      <alignment horizontal="center" vertical="center"/>
      <protection locked="0"/>
    </xf>
    <xf numFmtId="3" fontId="5" fillId="34" borderId="0" xfId="0" applyNumberFormat="1" applyFont="1" applyFill="1" applyBorder="1" applyAlignment="1" applyProtection="1">
      <alignment horizontal="right" vertical="center"/>
      <protection locked="0"/>
    </xf>
    <xf numFmtId="3" fontId="5" fillId="34" borderId="40" xfId="0" applyNumberFormat="1" applyFont="1" applyFill="1" applyBorder="1" applyAlignment="1" applyProtection="1">
      <alignment horizontal="center" vertical="center"/>
      <protection locked="0"/>
    </xf>
    <xf numFmtId="3" fontId="18" fillId="34" borderId="40" xfId="0" applyNumberFormat="1" applyFont="1" applyFill="1" applyBorder="1" applyAlignment="1" applyProtection="1">
      <alignment horizontal="center" vertical="center"/>
      <protection locked="0"/>
    </xf>
    <xf numFmtId="3" fontId="28" fillId="34" borderId="40" xfId="0" applyNumberFormat="1" applyFont="1" applyFill="1" applyBorder="1" applyAlignment="1" applyProtection="1">
      <alignment horizontal="center" vertical="center"/>
      <protection locked="0"/>
    </xf>
    <xf numFmtId="3" fontId="29" fillId="34" borderId="40" xfId="0" applyNumberFormat="1" applyFont="1" applyFill="1" applyBorder="1" applyAlignment="1" applyProtection="1">
      <alignment horizontal="center" vertical="center"/>
      <protection locked="0"/>
    </xf>
    <xf numFmtId="9" fontId="5" fillId="34" borderId="40" xfId="0" applyNumberFormat="1" applyFont="1" applyFill="1" applyBorder="1" applyAlignment="1" applyProtection="1">
      <alignment horizontal="center" vertical="center"/>
      <protection locked="0"/>
    </xf>
    <xf numFmtId="175" fontId="25" fillId="34" borderId="0" xfId="0" applyNumberFormat="1" applyFont="1" applyFill="1" applyBorder="1" applyAlignment="1" applyProtection="1">
      <alignment horizontal="center" vertical="center"/>
      <protection/>
    </xf>
    <xf numFmtId="175" fontId="25" fillId="34" borderId="40" xfId="0" applyNumberFormat="1" applyFont="1" applyFill="1" applyBorder="1" applyAlignment="1" applyProtection="1">
      <alignment horizontal="center" vertical="center"/>
      <protection/>
    </xf>
    <xf numFmtId="3" fontId="30" fillId="34" borderId="0" xfId="0" applyNumberFormat="1" applyFont="1" applyFill="1" applyBorder="1" applyAlignment="1" applyProtection="1">
      <alignment horizontal="center" vertical="center"/>
      <protection locked="0"/>
    </xf>
    <xf numFmtId="3" fontId="5" fillId="34" borderId="0"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center" vertical="center"/>
      <protection locked="0"/>
    </xf>
    <xf numFmtId="3" fontId="31" fillId="34" borderId="0" xfId="0" applyNumberFormat="1" applyFont="1" applyFill="1" applyBorder="1" applyAlignment="1" applyProtection="1">
      <alignment horizontal="center" vertical="center"/>
      <protection locked="0"/>
    </xf>
    <xf numFmtId="3" fontId="31" fillId="34" borderId="37" xfId="0" applyNumberFormat="1" applyFont="1" applyFill="1" applyBorder="1" applyAlignment="1" applyProtection="1">
      <alignment horizontal="center" vertical="center"/>
      <protection locked="0"/>
    </xf>
    <xf numFmtId="3" fontId="31" fillId="34" borderId="38" xfId="0" applyNumberFormat="1" applyFont="1" applyFill="1" applyBorder="1" applyAlignment="1" applyProtection="1">
      <alignment horizontal="center" vertical="center"/>
      <protection locked="0"/>
    </xf>
    <xf numFmtId="3" fontId="31" fillId="34" borderId="64" xfId="0" applyNumberFormat="1" applyFont="1" applyFill="1" applyBorder="1" applyAlignment="1" applyProtection="1">
      <alignment horizontal="center" vertical="center"/>
      <protection locked="0"/>
    </xf>
    <xf numFmtId="3" fontId="5" fillId="0" borderId="29" xfId="0" applyNumberFormat="1" applyFont="1" applyFill="1" applyBorder="1" applyAlignment="1" applyProtection="1">
      <alignment horizontal="center" vertical="center"/>
      <protection locked="0"/>
    </xf>
    <xf numFmtId="3" fontId="28" fillId="34" borderId="36" xfId="0" applyNumberFormat="1" applyFont="1" applyFill="1" applyBorder="1" applyAlignment="1" applyProtection="1">
      <alignment horizontal="center" vertical="center"/>
      <protection locked="0"/>
    </xf>
    <xf numFmtId="3" fontId="29" fillId="34" borderId="36" xfId="0" applyNumberFormat="1" applyFont="1" applyFill="1" applyBorder="1" applyAlignment="1" applyProtection="1">
      <alignment horizontal="center" vertical="center"/>
      <protection locked="0"/>
    </xf>
    <xf numFmtId="178" fontId="6" fillId="34" borderId="32" xfId="0" applyNumberFormat="1" applyFon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34" borderId="29" xfId="0" applyNumberFormat="1" applyFont="1" applyFill="1" applyBorder="1" applyAlignment="1" applyProtection="1">
      <alignment horizontal="center" vertical="center"/>
      <protection locked="0"/>
    </xf>
    <xf numFmtId="180" fontId="6" fillId="34" borderId="32" xfId="0" applyNumberFormat="1" applyFont="1" applyFill="1" applyBorder="1" applyAlignment="1" applyProtection="1">
      <alignment horizontal="center" vertical="center"/>
      <protection locked="0"/>
    </xf>
    <xf numFmtId="0" fontId="20" fillId="34" borderId="37" xfId="0" applyNumberFormat="1" applyFont="1" applyFill="1" applyBorder="1" applyAlignment="1" applyProtection="1">
      <alignment vertical="center"/>
      <protection locked="0"/>
    </xf>
    <xf numFmtId="0" fontId="20" fillId="34" borderId="0" xfId="0" applyNumberFormat="1" applyFont="1" applyFill="1" applyBorder="1" applyAlignment="1" applyProtection="1">
      <alignment vertical="center"/>
      <protection locked="0"/>
    </xf>
    <xf numFmtId="0" fontId="20" fillId="34" borderId="38" xfId="0" applyNumberFormat="1" applyFont="1" applyFill="1" applyBorder="1" applyAlignment="1" applyProtection="1">
      <alignment vertical="center"/>
      <protection locked="0"/>
    </xf>
    <xf numFmtId="4" fontId="22" fillId="0" borderId="32" xfId="0" applyNumberFormat="1" applyFont="1" applyFill="1" applyBorder="1" applyAlignment="1" applyProtection="1">
      <alignment horizontal="center" vertical="center"/>
      <protection/>
    </xf>
    <xf numFmtId="4" fontId="22" fillId="0" borderId="71" xfId="0" applyNumberFormat="1" applyFont="1" applyFill="1" applyBorder="1" applyAlignment="1" applyProtection="1">
      <alignment horizontal="center" vertical="center"/>
      <protection/>
    </xf>
    <xf numFmtId="4" fontId="22" fillId="0" borderId="72" xfId="0" applyNumberFormat="1" applyFont="1" applyFill="1" applyBorder="1" applyAlignment="1" applyProtection="1">
      <alignment horizontal="center" vertical="center"/>
      <protection/>
    </xf>
    <xf numFmtId="0" fontId="106" fillId="34" borderId="37" xfId="0" applyFont="1" applyFill="1" applyBorder="1" applyAlignment="1">
      <alignment/>
    </xf>
    <xf numFmtId="0" fontId="106" fillId="34" borderId="0" xfId="0" applyFont="1" applyFill="1" applyBorder="1" applyAlignment="1">
      <alignment/>
    </xf>
    <xf numFmtId="0" fontId="106" fillId="34" borderId="38" xfId="0" applyFont="1" applyFill="1" applyBorder="1" applyAlignment="1">
      <alignment/>
    </xf>
    <xf numFmtId="0" fontId="106" fillId="34" borderId="64" xfId="0" applyFont="1" applyFill="1" applyBorder="1" applyAlignment="1">
      <alignment/>
    </xf>
    <xf numFmtId="179" fontId="11" fillId="34" borderId="32" xfId="0" applyNumberFormat="1" applyFont="1" applyFill="1" applyBorder="1" applyAlignment="1" applyProtection="1">
      <alignment horizontal="center" vertical="center"/>
      <protection/>
    </xf>
    <xf numFmtId="180" fontId="0" fillId="0" borderId="0" xfId="0" applyNumberFormat="1" applyFont="1" applyAlignment="1">
      <alignment/>
    </xf>
    <xf numFmtId="3" fontId="5" fillId="34" borderId="28" xfId="0" applyNumberFormat="1" applyFont="1" applyFill="1" applyBorder="1" applyAlignment="1" applyProtection="1">
      <alignment horizontal="center" vertical="center"/>
      <protection locked="0"/>
    </xf>
    <xf numFmtId="3" fontId="28" fillId="34" borderId="28" xfId="0" applyNumberFormat="1" applyFont="1" applyFill="1" applyBorder="1" applyAlignment="1" applyProtection="1">
      <alignment horizontal="center" vertical="center"/>
      <protection locked="0"/>
    </xf>
    <xf numFmtId="3" fontId="29" fillId="34" borderId="28" xfId="0" applyNumberFormat="1" applyFont="1" applyFill="1" applyBorder="1" applyAlignment="1" applyProtection="1">
      <alignment horizontal="center" vertical="center"/>
      <protection locked="0"/>
    </xf>
    <xf numFmtId="178" fontId="3" fillId="34" borderId="28" xfId="0" applyNumberFormat="1" applyFont="1" applyFill="1" applyBorder="1" applyAlignment="1" applyProtection="1">
      <alignment horizontal="center" vertical="center"/>
      <protection locked="0"/>
    </xf>
    <xf numFmtId="180" fontId="18" fillId="34" borderId="28" xfId="0" applyNumberFormat="1" applyFont="1" applyFill="1" applyBorder="1" applyAlignment="1" applyProtection="1">
      <alignment horizontal="center" vertical="center"/>
      <protection locked="0"/>
    </xf>
    <xf numFmtId="3" fontId="6" fillId="34" borderId="28" xfId="0" applyNumberFormat="1" applyFont="1" applyFill="1" applyBorder="1" applyAlignment="1" applyProtection="1">
      <alignment horizontal="center" vertical="center"/>
      <protection locked="0"/>
    </xf>
    <xf numFmtId="3" fontId="6" fillId="34" borderId="0" xfId="0" applyNumberFormat="1" applyFont="1" applyFill="1" applyBorder="1" applyAlignment="1" applyProtection="1">
      <alignment horizontal="right" vertical="center"/>
      <protection locked="0"/>
    </xf>
    <xf numFmtId="183" fontId="32" fillId="34" borderId="0" xfId="0" applyNumberFormat="1" applyFont="1" applyFill="1" applyBorder="1" applyAlignment="1" applyProtection="1">
      <alignment horizontal="right" vertical="center"/>
      <protection locked="0"/>
    </xf>
    <xf numFmtId="183" fontId="32" fillId="34" borderId="0" xfId="0" applyNumberFormat="1" applyFont="1" applyFill="1" applyBorder="1" applyAlignment="1" applyProtection="1">
      <alignment horizontal="center" vertical="center"/>
      <protection locked="0"/>
    </xf>
    <xf numFmtId="4" fontId="22" fillId="34" borderId="25" xfId="0" applyNumberFormat="1" applyFont="1" applyFill="1" applyBorder="1" applyAlignment="1" applyProtection="1">
      <alignment horizontal="center" vertical="center"/>
      <protection/>
    </xf>
    <xf numFmtId="4" fontId="22" fillId="34" borderId="38" xfId="0" applyNumberFormat="1" applyFont="1" applyFill="1" applyBorder="1" applyAlignment="1" applyProtection="1">
      <alignment horizontal="center" vertical="center"/>
      <protection/>
    </xf>
    <xf numFmtId="4" fontId="6" fillId="34" borderId="38" xfId="0" applyNumberFormat="1" applyFont="1" applyFill="1" applyBorder="1" applyAlignment="1" applyProtection="1">
      <alignment horizontal="center" vertical="center"/>
      <protection/>
    </xf>
    <xf numFmtId="4" fontId="33" fillId="34" borderId="64" xfId="0" applyNumberFormat="1" applyFont="1" applyFill="1" applyBorder="1" applyAlignment="1" applyProtection="1">
      <alignment horizontal="center" vertical="center"/>
      <protection locked="0"/>
    </xf>
    <xf numFmtId="4" fontId="33" fillId="34" borderId="38" xfId="0" applyNumberFormat="1" applyFont="1" applyFill="1" applyBorder="1" applyAlignment="1" applyProtection="1">
      <alignment horizontal="center" vertical="center"/>
      <protection locked="0"/>
    </xf>
    <xf numFmtId="176" fontId="28" fillId="34" borderId="64" xfId="0" applyNumberFormat="1" applyFont="1" applyFill="1" applyBorder="1" applyAlignment="1" applyProtection="1">
      <alignment horizontal="center" vertical="center"/>
      <protection locked="0"/>
    </xf>
    <xf numFmtId="176" fontId="28" fillId="34" borderId="38" xfId="0" applyNumberFormat="1" applyFont="1" applyFill="1" applyBorder="1" applyAlignment="1" applyProtection="1">
      <alignment horizontal="center" vertical="center"/>
      <protection locked="0"/>
    </xf>
    <xf numFmtId="4" fontId="28" fillId="34" borderId="64" xfId="0" applyNumberFormat="1" applyFont="1" applyFill="1" applyBorder="1" applyAlignment="1" applyProtection="1">
      <alignment horizontal="center" vertical="center"/>
      <protection locked="0"/>
    </xf>
    <xf numFmtId="0" fontId="101" fillId="34" borderId="73" xfId="0" applyFont="1" applyFill="1" applyBorder="1" applyAlignment="1">
      <alignment horizontal="right"/>
    </xf>
    <xf numFmtId="0" fontId="20" fillId="34" borderId="39" xfId="0" applyNumberFormat="1" applyFont="1" applyFill="1" applyBorder="1" applyAlignment="1" applyProtection="1">
      <alignment vertical="center"/>
      <protection locked="0"/>
    </xf>
    <xf numFmtId="0" fontId="20" fillId="34" borderId="40" xfId="0" applyNumberFormat="1" applyFont="1" applyFill="1" applyBorder="1" applyAlignment="1" applyProtection="1">
      <alignment vertical="center"/>
      <protection locked="0"/>
    </xf>
    <xf numFmtId="0" fontId="20" fillId="34" borderId="41" xfId="0" applyNumberFormat="1" applyFont="1" applyFill="1" applyBorder="1" applyAlignment="1" applyProtection="1">
      <alignment vertical="center"/>
      <protection locked="0"/>
    </xf>
    <xf numFmtId="180" fontId="20" fillId="34" borderId="39" xfId="0" applyNumberFormat="1" applyFont="1" applyFill="1" applyBorder="1" applyAlignment="1" applyProtection="1">
      <alignment horizontal="center" vertical="center"/>
      <protection locked="0"/>
    </xf>
    <xf numFmtId="180" fontId="20" fillId="34" borderId="40" xfId="0" applyNumberFormat="1" applyFont="1" applyFill="1" applyBorder="1" applyAlignment="1" applyProtection="1">
      <alignment horizontal="center" vertical="center"/>
      <protection locked="0"/>
    </xf>
    <xf numFmtId="4" fontId="28" fillId="34" borderId="73" xfId="0" applyNumberFormat="1" applyFont="1" applyFill="1" applyBorder="1" applyAlignment="1" applyProtection="1">
      <alignment horizontal="center" vertical="center"/>
      <protection locked="0"/>
    </xf>
    <xf numFmtId="4" fontId="28" fillId="34" borderId="41" xfId="0" applyNumberFormat="1" applyFont="1" applyFill="1" applyBorder="1" applyAlignment="1" applyProtection="1">
      <alignment horizontal="center" vertical="center"/>
      <protection locked="0"/>
    </xf>
    <xf numFmtId="0" fontId="106" fillId="34" borderId="39" xfId="0" applyFont="1" applyFill="1" applyBorder="1" applyAlignment="1">
      <alignment/>
    </xf>
    <xf numFmtId="0" fontId="106" fillId="34" borderId="40" xfId="0" applyFont="1" applyFill="1" applyBorder="1" applyAlignment="1">
      <alignment/>
    </xf>
    <xf numFmtId="0" fontId="106" fillId="34" borderId="41" xfId="0" applyFont="1" applyFill="1" applyBorder="1" applyAlignment="1">
      <alignment/>
    </xf>
    <xf numFmtId="0" fontId="106" fillId="34" borderId="73" xfId="0" applyFont="1" applyFill="1" applyBorder="1" applyAlignment="1">
      <alignment/>
    </xf>
    <xf numFmtId="3" fontId="18" fillId="0" borderId="0" xfId="0" applyNumberFormat="1" applyFont="1" applyFill="1" applyAlignment="1" applyProtection="1">
      <alignment horizontal="center" vertical="center"/>
      <protection locked="0"/>
    </xf>
    <xf numFmtId="3" fontId="20" fillId="0" borderId="0" xfId="0" applyNumberFormat="1" applyFont="1" applyFill="1" applyAlignment="1" applyProtection="1">
      <alignment horizontal="center" vertical="center"/>
      <protection locked="0"/>
    </xf>
    <xf numFmtId="0" fontId="0" fillId="0" borderId="0" xfId="0" applyFont="1" applyAlignment="1">
      <alignment horizontal="center"/>
    </xf>
    <xf numFmtId="0" fontId="106" fillId="0" borderId="0" xfId="0" applyFont="1" applyAlignment="1">
      <alignment/>
    </xf>
    <xf numFmtId="0" fontId="18" fillId="34" borderId="0" xfId="0" applyNumberFormat="1" applyFont="1" applyFill="1" applyBorder="1" applyAlignment="1" applyProtection="1">
      <alignment horizontal="center" vertical="center"/>
      <protection locked="0"/>
    </xf>
    <xf numFmtId="3" fontId="107" fillId="38" borderId="54" xfId="0" applyNumberFormat="1" applyFont="1" applyFill="1" applyBorder="1" applyAlignment="1" applyProtection="1">
      <alignment horizontal="center" vertical="center"/>
      <protection locked="0"/>
    </xf>
    <xf numFmtId="9" fontId="0" fillId="6" borderId="19" xfId="55" applyFont="1" applyFill="1" applyBorder="1" applyAlignment="1">
      <alignment horizontal="center"/>
    </xf>
    <xf numFmtId="9" fontId="0" fillId="6" borderId="18" xfId="55" applyFont="1" applyFill="1" applyBorder="1" applyAlignment="1">
      <alignment horizontal="center"/>
    </xf>
    <xf numFmtId="3" fontId="3" fillId="0" borderId="0" xfId="0" applyNumberFormat="1" applyFont="1" applyFill="1" applyAlignment="1" applyProtection="1">
      <alignment horizontal="center" vertical="center"/>
      <protection locked="0"/>
    </xf>
    <xf numFmtId="3" fontId="3" fillId="0" borderId="0" xfId="0" applyNumberFormat="1" applyFont="1" applyFill="1" applyAlignment="1" applyProtection="1">
      <alignment horizontal="left" vertical="center"/>
      <protection locked="0"/>
    </xf>
    <xf numFmtId="9" fontId="3" fillId="0" borderId="0" xfId="55" applyFont="1" applyFill="1" applyBorder="1" applyAlignment="1" applyProtection="1">
      <alignment horizontal="center" vertical="center"/>
      <protection locked="0"/>
    </xf>
    <xf numFmtId="0" fontId="101" fillId="0" borderId="0" xfId="0" applyFont="1" applyAlignment="1">
      <alignment/>
    </xf>
    <xf numFmtId="3" fontId="21" fillId="0" borderId="0" xfId="0" applyNumberFormat="1" applyFont="1" applyFill="1" applyAlignment="1" applyProtection="1">
      <alignment horizontal="center" vertical="center"/>
      <protection locked="0"/>
    </xf>
    <xf numFmtId="3" fontId="2" fillId="34" borderId="26" xfId="0" applyNumberFormat="1" applyFont="1" applyFill="1" applyBorder="1" applyAlignment="1" applyProtection="1">
      <alignment horizontal="center" vertical="center"/>
      <protection locked="0"/>
    </xf>
    <xf numFmtId="9" fontId="3" fillId="0" borderId="0" xfId="55" applyFont="1" applyFill="1" applyAlignment="1" applyProtection="1">
      <alignment horizontal="center" vertical="center"/>
      <protection locked="0"/>
    </xf>
    <xf numFmtId="9" fontId="61" fillId="0" borderId="0" xfId="55" applyFont="1" applyFill="1" applyBorder="1" applyAlignment="1" applyProtection="1">
      <alignment horizontal="center" vertical="center"/>
      <protection locked="0"/>
    </xf>
    <xf numFmtId="9" fontId="61" fillId="0" borderId="0" xfId="55" applyFont="1" applyFill="1" applyAlignment="1" applyProtection="1">
      <alignment horizontal="center" vertical="center"/>
      <protection locked="0"/>
    </xf>
    <xf numFmtId="0" fontId="111" fillId="39" borderId="74" xfId="56" applyFont="1" applyFill="1" applyBorder="1" applyAlignment="1" applyProtection="1">
      <alignment horizontal="center" vertical="center" wrapText="1" readingOrder="1"/>
      <protection locked="0"/>
    </xf>
    <xf numFmtId="0" fontId="111" fillId="39" borderId="74" xfId="56" applyFont="1" applyFill="1" applyBorder="1" applyAlignment="1" applyProtection="1">
      <alignment vertical="center" wrapText="1" readingOrder="1"/>
      <protection locked="0"/>
    </xf>
    <xf numFmtId="0" fontId="0" fillId="0" borderId="0" xfId="0" applyAlignment="1">
      <alignment vertical="center"/>
    </xf>
    <xf numFmtId="0" fontId="35" fillId="0" borderId="74" xfId="56" applyFont="1" applyBorder="1" applyAlignment="1" applyProtection="1">
      <alignment horizontal="center" vertical="center" wrapText="1" readingOrder="1"/>
      <protection locked="0"/>
    </xf>
    <xf numFmtId="0" fontId="35" fillId="0" borderId="74" xfId="56" applyFont="1" applyBorder="1" applyAlignment="1" applyProtection="1">
      <alignment vertical="center" wrapText="1" readingOrder="1"/>
      <protection locked="0"/>
    </xf>
    <xf numFmtId="0" fontId="34" fillId="40" borderId="74" xfId="56" applyFont="1" applyFill="1" applyBorder="1" applyAlignment="1" applyProtection="1">
      <alignment vertical="center" wrapText="1" readingOrder="1"/>
      <protection locked="0"/>
    </xf>
    <xf numFmtId="0" fontId="34" fillId="40" borderId="74" xfId="56" applyFont="1" applyFill="1" applyBorder="1" applyAlignment="1" applyProtection="1">
      <alignment horizontal="center" vertical="center" wrapText="1" readingOrder="1"/>
      <protection locked="0"/>
    </xf>
    <xf numFmtId="1" fontId="0" fillId="0" borderId="0" xfId="0" applyNumberFormat="1" applyAlignment="1">
      <alignment vertical="center"/>
    </xf>
    <xf numFmtId="0" fontId="0" fillId="0" borderId="0" xfId="0" applyAlignment="1">
      <alignment horizontal="center" vertical="center"/>
    </xf>
    <xf numFmtId="0" fontId="112" fillId="0" borderId="74" xfId="56" applyFont="1" applyBorder="1" applyAlignment="1" applyProtection="1">
      <alignment vertical="center" wrapText="1" readingOrder="1"/>
      <protection locked="0"/>
    </xf>
    <xf numFmtId="0" fontId="3" fillId="11" borderId="60" xfId="0" applyFont="1" applyFill="1" applyBorder="1" applyAlignment="1" applyProtection="1">
      <alignment horizontal="center" vertical="center"/>
      <protection/>
    </xf>
    <xf numFmtId="4" fontId="2" fillId="6" borderId="16" xfId="0" applyNumberFormat="1" applyFont="1" applyFill="1" applyBorder="1" applyAlignment="1" applyProtection="1">
      <alignment horizontal="center" vertical="center"/>
      <protection/>
    </xf>
    <xf numFmtId="0" fontId="6" fillId="11" borderId="33" xfId="0" applyFont="1" applyFill="1" applyBorder="1" applyAlignment="1" applyProtection="1">
      <alignment horizontal="center" vertical="center"/>
      <protection/>
    </xf>
    <xf numFmtId="0" fontId="6" fillId="6" borderId="34" xfId="0" applyFont="1" applyFill="1" applyBorder="1" applyAlignment="1" applyProtection="1">
      <alignment horizontal="center" vertical="center"/>
      <protection/>
    </xf>
    <xf numFmtId="177" fontId="0" fillId="0" borderId="0" xfId="0" applyNumberFormat="1" applyFill="1" applyBorder="1" applyAlignment="1">
      <alignment vertical="center"/>
    </xf>
    <xf numFmtId="0" fontId="0" fillId="0" borderId="38" xfId="0" applyBorder="1" applyAlignment="1" quotePrefix="1">
      <alignment vertical="center"/>
    </xf>
    <xf numFmtId="177" fontId="0" fillId="0" borderId="28" xfId="0" applyNumberFormat="1" applyFill="1" applyBorder="1" applyAlignment="1">
      <alignment vertical="center"/>
    </xf>
    <xf numFmtId="0" fontId="0" fillId="0" borderId="26" xfId="0" applyFill="1" applyBorder="1" applyAlignment="1" quotePrefix="1">
      <alignment vertical="center"/>
    </xf>
    <xf numFmtId="177" fontId="0" fillId="6" borderId="0" xfId="0" applyNumberFormat="1" applyFill="1" applyBorder="1" applyAlignment="1">
      <alignment vertical="center"/>
    </xf>
    <xf numFmtId="0" fontId="0" fillId="6" borderId="38" xfId="0" applyFill="1" applyBorder="1" applyAlignment="1">
      <alignment vertical="center"/>
    </xf>
    <xf numFmtId="0" fontId="0" fillId="6" borderId="0" xfId="0" applyFill="1" applyBorder="1" applyAlignment="1">
      <alignment horizontal="center" vertical="center" wrapText="1"/>
    </xf>
    <xf numFmtId="0" fontId="106" fillId="0" borderId="10" xfId="0" applyFont="1" applyBorder="1" applyAlignment="1">
      <alignment horizontal="center"/>
    </xf>
    <xf numFmtId="1" fontId="18" fillId="0" borderId="10" xfId="0" applyNumberFormat="1" applyFont="1" applyBorder="1" applyAlignment="1">
      <alignment horizontal="center"/>
    </xf>
    <xf numFmtId="0" fontId="113" fillId="35" borderId="10" xfId="0" applyFont="1" applyFill="1" applyBorder="1" applyAlignment="1">
      <alignment/>
    </xf>
    <xf numFmtId="0" fontId="4" fillId="5" borderId="22" xfId="57" applyFont="1" applyFill="1" applyBorder="1" applyAlignment="1">
      <alignment horizontal="left"/>
      <protection/>
    </xf>
    <xf numFmtId="0" fontId="0" fillId="0" borderId="22" xfId="0" applyBorder="1" applyAlignment="1">
      <alignment/>
    </xf>
    <xf numFmtId="0" fontId="7" fillId="0" borderId="22" xfId="57" applyFont="1" applyFill="1" applyBorder="1" applyAlignment="1">
      <alignment horizontal="left"/>
      <protection/>
    </xf>
    <xf numFmtId="0" fontId="7" fillId="2" borderId="22" xfId="57" applyFont="1" applyFill="1" applyBorder="1" applyAlignment="1">
      <alignment horizontal="left"/>
      <protection/>
    </xf>
    <xf numFmtId="0" fontId="113" fillId="41" borderId="10" xfId="0" applyFont="1" applyFill="1" applyBorder="1" applyAlignment="1">
      <alignment vertical="center"/>
    </xf>
    <xf numFmtId="3" fontId="20" fillId="3" borderId="29" xfId="0" applyNumberFormat="1" applyFont="1" applyFill="1" applyBorder="1" applyAlignment="1" applyProtection="1">
      <alignment horizontal="center" vertical="center"/>
      <protection locked="0"/>
    </xf>
    <xf numFmtId="3" fontId="20" fillId="3" borderId="36" xfId="0" applyNumberFormat="1" applyFont="1" applyFill="1" applyBorder="1" applyAlignment="1" applyProtection="1">
      <alignment horizontal="center" vertical="center"/>
      <protection locked="0"/>
    </xf>
    <xf numFmtId="3" fontId="20" fillId="3" borderId="42" xfId="0" applyNumberFormat="1" applyFont="1" applyFill="1" applyBorder="1" applyAlignment="1" applyProtection="1">
      <alignment horizontal="center" vertical="center"/>
      <protection locked="0"/>
    </xf>
    <xf numFmtId="4" fontId="20" fillId="3" borderId="29" xfId="0" applyNumberFormat="1" applyFont="1" applyFill="1" applyBorder="1" applyAlignment="1" applyProtection="1">
      <alignment horizontal="center" vertical="center"/>
      <protection locked="0"/>
    </xf>
    <xf numFmtId="4" fontId="20" fillId="3" borderId="36" xfId="0" applyNumberFormat="1" applyFont="1" applyFill="1" applyBorder="1" applyAlignment="1" applyProtection="1">
      <alignment horizontal="center" vertical="center"/>
      <protection locked="0"/>
    </xf>
    <xf numFmtId="4" fontId="20" fillId="3" borderId="42" xfId="0" applyNumberFormat="1" applyFont="1" applyFill="1" applyBorder="1" applyAlignment="1" applyProtection="1">
      <alignment horizontal="center" vertical="center"/>
      <protection locked="0"/>
    </xf>
    <xf numFmtId="180" fontId="20" fillId="34" borderId="29" xfId="0" applyNumberFormat="1" applyFont="1" applyFill="1" applyBorder="1" applyAlignment="1" applyProtection="1">
      <alignment horizontal="center" vertical="center"/>
      <protection locked="0"/>
    </xf>
    <xf numFmtId="180" fontId="20" fillId="34" borderId="36" xfId="0" applyNumberFormat="1" applyFont="1" applyFill="1" applyBorder="1" applyAlignment="1" applyProtection="1">
      <alignment horizontal="center" vertical="center"/>
      <protection locked="0"/>
    </xf>
    <xf numFmtId="4" fontId="114" fillId="10" borderId="33" xfId="0" applyNumberFormat="1" applyFont="1" applyFill="1" applyBorder="1" applyAlignment="1" applyProtection="1">
      <alignment horizontal="center" vertical="center"/>
      <protection locked="0"/>
    </xf>
    <xf numFmtId="4" fontId="114" fillId="10" borderId="32" xfId="0" applyNumberFormat="1" applyFont="1" applyFill="1" applyBorder="1" applyAlignment="1" applyProtection="1">
      <alignment horizontal="center" vertical="center"/>
      <protection locked="0"/>
    </xf>
    <xf numFmtId="3" fontId="20" fillId="2" borderId="29" xfId="0" applyNumberFormat="1" applyFont="1" applyFill="1" applyBorder="1" applyAlignment="1" applyProtection="1">
      <alignment horizontal="center" vertical="center"/>
      <protection locked="0"/>
    </xf>
    <xf numFmtId="3" fontId="20" fillId="2" borderId="36" xfId="0" applyNumberFormat="1" applyFont="1" applyFill="1" applyBorder="1" applyAlignment="1" applyProtection="1">
      <alignment horizontal="center" vertical="center"/>
      <protection locked="0"/>
    </xf>
    <xf numFmtId="3" fontId="20" fillId="2" borderId="42" xfId="0" applyNumberFormat="1" applyFont="1" applyFill="1" applyBorder="1" applyAlignment="1" applyProtection="1">
      <alignment horizontal="center" vertical="center"/>
      <protection locked="0"/>
    </xf>
    <xf numFmtId="3" fontId="20" fillId="2" borderId="32" xfId="0" applyNumberFormat="1" applyFont="1" applyFill="1" applyBorder="1" applyAlignment="1" applyProtection="1">
      <alignment horizontal="center" vertical="center"/>
      <protection locked="0"/>
    </xf>
    <xf numFmtId="0" fontId="56" fillId="6" borderId="41" xfId="0" applyFont="1" applyFill="1" applyBorder="1" applyAlignment="1">
      <alignment horizontal="left"/>
    </xf>
    <xf numFmtId="0" fontId="3" fillId="11" borderId="70" xfId="0" applyFont="1" applyFill="1" applyBorder="1" applyAlignment="1" applyProtection="1">
      <alignment horizontal="center" vertical="center"/>
      <protection/>
    </xf>
    <xf numFmtId="4" fontId="2" fillId="6" borderId="20" xfId="0" applyNumberFormat="1" applyFont="1" applyFill="1" applyBorder="1" applyAlignment="1" applyProtection="1">
      <alignment horizontal="center" vertical="center"/>
      <protection/>
    </xf>
    <xf numFmtId="0" fontId="11" fillId="12" borderId="27" xfId="0" applyFont="1" applyFill="1" applyBorder="1" applyAlignment="1">
      <alignment vertical="center"/>
    </xf>
    <xf numFmtId="0" fontId="0" fillId="12" borderId="28" xfId="0" applyFill="1" applyBorder="1" applyAlignment="1">
      <alignment vertical="center"/>
    </xf>
    <xf numFmtId="0" fontId="3" fillId="6" borderId="37" xfId="0" applyFont="1" applyFill="1" applyBorder="1" applyAlignment="1">
      <alignment vertical="center"/>
    </xf>
    <xf numFmtId="0" fontId="0" fillId="0" borderId="37" xfId="0" applyBorder="1" applyAlignment="1">
      <alignment vertical="center"/>
    </xf>
    <xf numFmtId="0" fontId="0" fillId="0" borderId="37" xfId="0" applyBorder="1" applyAlignment="1">
      <alignment vertical="center" wrapText="1"/>
    </xf>
    <xf numFmtId="0" fontId="0" fillId="0" borderId="27" xfId="0" applyBorder="1" applyAlignment="1">
      <alignment vertical="center" wrapText="1"/>
    </xf>
    <xf numFmtId="177" fontId="0" fillId="0" borderId="28" xfId="0" applyNumberFormat="1" applyBorder="1" applyAlignment="1">
      <alignment vertical="center"/>
    </xf>
    <xf numFmtId="0" fontId="0" fillId="0" borderId="26" xfId="0" applyBorder="1" applyAlignment="1" quotePrefix="1">
      <alignment vertical="center"/>
    </xf>
    <xf numFmtId="0" fontId="0" fillId="0" borderId="37" xfId="0" applyBorder="1" applyAlignment="1" quotePrefix="1">
      <alignment vertical="center" wrapText="1"/>
    </xf>
    <xf numFmtId="0" fontId="101" fillId="6" borderId="37" xfId="0" applyFont="1" applyFill="1" applyBorder="1" applyAlignment="1">
      <alignment vertical="center"/>
    </xf>
    <xf numFmtId="0" fontId="0" fillId="12" borderId="26" xfId="0" applyFill="1" applyBorder="1" applyAlignment="1">
      <alignment vertical="center"/>
    </xf>
    <xf numFmtId="177" fontId="0" fillId="0" borderId="0" xfId="0" applyNumberFormat="1" applyBorder="1" applyAlignment="1">
      <alignment vertical="center"/>
    </xf>
    <xf numFmtId="0" fontId="17" fillId="0" borderId="26" xfId="0" applyFont="1" applyFill="1" applyBorder="1" applyAlignment="1" quotePrefix="1">
      <alignment vertical="center"/>
    </xf>
    <xf numFmtId="0" fontId="17" fillId="0" borderId="37" xfId="0" applyFont="1" applyFill="1" applyBorder="1" applyAlignment="1">
      <alignment vertical="center" wrapText="1"/>
    </xf>
    <xf numFmtId="177" fontId="17" fillId="0" borderId="0" xfId="0" applyNumberFormat="1" applyFont="1" applyFill="1" applyBorder="1" applyAlignment="1">
      <alignment vertical="center"/>
    </xf>
    <xf numFmtId="0" fontId="17" fillId="0" borderId="38" xfId="0" applyFont="1" applyFill="1" applyBorder="1" applyAlignment="1" quotePrefix="1">
      <alignment vertical="center"/>
    </xf>
    <xf numFmtId="0" fontId="17" fillId="0" borderId="39" xfId="0" applyFont="1" applyFill="1" applyBorder="1" applyAlignment="1">
      <alignment vertical="center" wrapText="1"/>
    </xf>
    <xf numFmtId="177" fontId="17" fillId="0" borderId="40" xfId="0" applyNumberFormat="1" applyFont="1" applyFill="1" applyBorder="1" applyAlignment="1">
      <alignment vertical="center"/>
    </xf>
    <xf numFmtId="0" fontId="17" fillId="0" borderId="41" xfId="0" applyFont="1" applyFill="1" applyBorder="1" applyAlignment="1" quotePrefix="1">
      <alignment vertical="center"/>
    </xf>
    <xf numFmtId="0" fontId="0" fillId="0" borderId="37" xfId="0" applyFill="1" applyBorder="1" applyAlignment="1">
      <alignment vertical="center" wrapText="1"/>
    </xf>
    <xf numFmtId="0" fontId="0" fillId="0" borderId="38" xfId="0" applyFill="1" applyBorder="1" applyAlignment="1" quotePrefix="1">
      <alignment vertical="center"/>
    </xf>
    <xf numFmtId="177" fontId="0" fillId="0" borderId="36" xfId="0" applyNumberFormat="1" applyFill="1" applyBorder="1" applyAlignment="1">
      <alignment vertical="center"/>
    </xf>
    <xf numFmtId="0" fontId="0" fillId="0" borderId="29" xfId="0" applyFill="1" applyBorder="1" applyAlignment="1">
      <alignment vertical="center"/>
    </xf>
    <xf numFmtId="0" fontId="0" fillId="0" borderId="42" xfId="0" applyFill="1" applyBorder="1" applyAlignment="1">
      <alignment vertical="center" wrapText="1"/>
    </xf>
    <xf numFmtId="0" fontId="0" fillId="0" borderId="27" xfId="0" applyBorder="1" applyAlignment="1">
      <alignment vertical="center"/>
    </xf>
    <xf numFmtId="0" fontId="0" fillId="0" borderId="26" xfId="0" applyBorder="1" applyAlignment="1">
      <alignment vertical="center"/>
    </xf>
    <xf numFmtId="0" fontId="0" fillId="0" borderId="39" xfId="0" applyBorder="1" applyAlignment="1" quotePrefix="1">
      <alignment vertical="center" wrapText="1"/>
    </xf>
    <xf numFmtId="177" fontId="0" fillId="0" borderId="40" xfId="0" applyNumberFormat="1" applyBorder="1" applyAlignment="1">
      <alignment vertical="center"/>
    </xf>
    <xf numFmtId="0" fontId="0" fillId="0" borderId="41" xfId="0" applyBorder="1" applyAlignment="1" quotePrefix="1">
      <alignment vertical="center"/>
    </xf>
    <xf numFmtId="0" fontId="0" fillId="0" borderId="39" xfId="0" applyBorder="1" applyAlignment="1">
      <alignment vertical="center" wrapText="1"/>
    </xf>
    <xf numFmtId="0" fontId="0" fillId="0" borderId="39" xfId="0" applyBorder="1" applyAlignment="1">
      <alignment vertical="center"/>
    </xf>
    <xf numFmtId="177" fontId="0" fillId="0" borderId="41" xfId="0" applyNumberFormat="1" applyBorder="1" applyAlignment="1">
      <alignment vertical="center"/>
    </xf>
    <xf numFmtId="0" fontId="0" fillId="0" borderId="49" xfId="0" applyBorder="1" applyAlignment="1">
      <alignment/>
    </xf>
    <xf numFmtId="0" fontId="11" fillId="0" borderId="22" xfId="0" applyFont="1" applyBorder="1" applyAlignment="1">
      <alignment horizontal="left"/>
    </xf>
    <xf numFmtId="9" fontId="5" fillId="0" borderId="10" xfId="55" applyFont="1" applyFill="1" applyBorder="1" applyAlignment="1">
      <alignment horizontal="center"/>
    </xf>
    <xf numFmtId="0" fontId="17" fillId="0" borderId="22" xfId="0" applyFont="1" applyBorder="1" applyAlignment="1">
      <alignment horizontal="left"/>
    </xf>
    <xf numFmtId="9" fontId="16" fillId="0" borderId="10" xfId="55" applyFont="1" applyFill="1" applyBorder="1" applyAlignment="1">
      <alignment horizontal="center"/>
    </xf>
    <xf numFmtId="9" fontId="2" fillId="0" borderId="10" xfId="55" applyFont="1" applyFill="1" applyBorder="1" applyAlignment="1">
      <alignment horizontal="center"/>
    </xf>
    <xf numFmtId="9" fontId="2" fillId="6" borderId="55" xfId="55" applyFont="1" applyFill="1" applyBorder="1" applyAlignment="1">
      <alignment horizontal="center"/>
    </xf>
    <xf numFmtId="9" fontId="2" fillId="6" borderId="49" xfId="55" applyFont="1" applyFill="1" applyBorder="1" applyAlignment="1">
      <alignment horizontal="center"/>
    </xf>
    <xf numFmtId="9" fontId="2" fillId="6" borderId="75" xfId="55" applyFont="1" applyFill="1" applyBorder="1" applyAlignment="1">
      <alignment horizontal="center"/>
    </xf>
    <xf numFmtId="9" fontId="16" fillId="6" borderId="32" xfId="55" applyFont="1" applyFill="1" applyBorder="1" applyAlignment="1">
      <alignment horizontal="center"/>
    </xf>
    <xf numFmtId="9" fontId="2" fillId="4" borderId="55" xfId="55" applyFont="1" applyFill="1" applyBorder="1" applyAlignment="1">
      <alignment horizontal="center" vertical="center"/>
    </xf>
    <xf numFmtId="9" fontId="2" fillId="4" borderId="49" xfId="55" applyFont="1" applyFill="1" applyBorder="1" applyAlignment="1">
      <alignment horizontal="center"/>
    </xf>
    <xf numFmtId="9" fontId="2" fillId="4" borderId="76" xfId="55" applyFont="1" applyFill="1" applyBorder="1" applyAlignment="1">
      <alignment horizontal="center"/>
    </xf>
    <xf numFmtId="9" fontId="15" fillId="4" borderId="10" xfId="55" applyFont="1" applyFill="1" applyBorder="1" applyAlignment="1">
      <alignment horizontal="center"/>
    </xf>
    <xf numFmtId="9" fontId="15" fillId="4" borderId="68" xfId="55" applyFont="1" applyFill="1" applyBorder="1" applyAlignment="1">
      <alignment horizontal="center"/>
    </xf>
    <xf numFmtId="9" fontId="16" fillId="7" borderId="32" xfId="55" applyFont="1" applyFill="1" applyBorder="1" applyAlignment="1">
      <alignment horizontal="center"/>
    </xf>
    <xf numFmtId="9" fontId="2" fillId="7" borderId="55" xfId="55" applyFont="1" applyFill="1" applyBorder="1" applyAlignment="1">
      <alignment horizontal="center"/>
    </xf>
    <xf numFmtId="9" fontId="2" fillId="7" borderId="49" xfId="55" applyFont="1" applyFill="1" applyBorder="1" applyAlignment="1">
      <alignment horizontal="center"/>
    </xf>
    <xf numFmtId="9" fontId="2" fillId="7" borderId="76" xfId="55" applyFont="1" applyFill="1" applyBorder="1" applyAlignment="1">
      <alignment horizontal="center"/>
    </xf>
    <xf numFmtId="9" fontId="15" fillId="7" borderId="20" xfId="55" applyFont="1" applyFill="1" applyBorder="1" applyAlignment="1">
      <alignment horizontal="center"/>
    </xf>
    <xf numFmtId="0" fontId="56" fillId="7" borderId="14" xfId="0" applyFont="1" applyFill="1" applyBorder="1" applyAlignment="1">
      <alignment horizontal="left"/>
    </xf>
    <xf numFmtId="9" fontId="15" fillId="7" borderId="11" xfId="55" applyFont="1" applyFill="1" applyBorder="1" applyAlignment="1">
      <alignment horizontal="center"/>
    </xf>
    <xf numFmtId="3" fontId="3" fillId="34" borderId="30" xfId="0" applyNumberFormat="1" applyFont="1" applyFill="1" applyBorder="1" applyAlignment="1" applyProtection="1">
      <alignment horizontal="center" vertical="center" textRotation="90"/>
      <protection locked="0"/>
    </xf>
    <xf numFmtId="177" fontId="17" fillId="0" borderId="28"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77" fontId="17" fillId="0" borderId="40" xfId="0" applyNumberFormat="1" applyFont="1" applyFill="1" applyBorder="1" applyAlignment="1">
      <alignment horizontal="right" vertical="center"/>
    </xf>
    <xf numFmtId="0" fontId="23" fillId="36" borderId="12" xfId="0" applyFont="1" applyFill="1" applyBorder="1" applyAlignment="1" applyProtection="1">
      <alignment horizontal="center" vertical="center"/>
      <protection locked="0"/>
    </xf>
    <xf numFmtId="4" fontId="23" fillId="0" borderId="60" xfId="0" applyNumberFormat="1" applyFont="1" applyBorder="1" applyAlignment="1" applyProtection="1">
      <alignment horizontal="center" vertical="center"/>
      <protection locked="0"/>
    </xf>
    <xf numFmtId="4" fontId="23" fillId="0" borderId="12" xfId="0" applyNumberFormat="1" applyFont="1" applyBorder="1" applyAlignment="1" applyProtection="1">
      <alignment horizontal="center" vertical="center"/>
      <protection locked="0"/>
    </xf>
    <xf numFmtId="0" fontId="18" fillId="38" borderId="17" xfId="0" applyFont="1" applyFill="1" applyBorder="1" applyAlignment="1" applyProtection="1">
      <alignment horizontal="center" vertical="center"/>
      <protection locked="0"/>
    </xf>
    <xf numFmtId="0" fontId="18" fillId="38" borderId="14" xfId="0" applyFont="1" applyFill="1" applyBorder="1" applyAlignment="1" applyProtection="1">
      <alignment horizontal="center" vertical="center"/>
      <protection locked="0"/>
    </xf>
    <xf numFmtId="0" fontId="107" fillId="38" borderId="10" xfId="0" applyFont="1" applyFill="1" applyBorder="1" applyAlignment="1" applyProtection="1">
      <alignment horizontal="center" vertical="center"/>
      <protection locked="0"/>
    </xf>
    <xf numFmtId="3" fontId="115" fillId="38" borderId="10" xfId="0" applyNumberFormat="1" applyFont="1" applyFill="1" applyBorder="1" applyAlignment="1" applyProtection="1">
      <alignment horizontal="center" vertical="center"/>
      <protection locked="0"/>
    </xf>
    <xf numFmtId="9" fontId="15" fillId="7" borderId="77" xfId="55" applyFont="1" applyFill="1" applyBorder="1" applyAlignment="1">
      <alignment horizontal="center"/>
    </xf>
    <xf numFmtId="10" fontId="0" fillId="0" borderId="0" xfId="55" applyNumberFormat="1" applyFont="1" applyAlignment="1">
      <alignment/>
    </xf>
    <xf numFmtId="0" fontId="17" fillId="6" borderId="67" xfId="0" applyFont="1" applyFill="1" applyBorder="1" applyAlignment="1">
      <alignment horizontal="left"/>
    </xf>
    <xf numFmtId="9" fontId="17" fillId="6" borderId="0" xfId="55" applyFont="1" applyFill="1" applyBorder="1" applyAlignment="1">
      <alignment horizontal="center"/>
    </xf>
    <xf numFmtId="0" fontId="17" fillId="6" borderId="70" xfId="0" applyFont="1" applyFill="1" applyBorder="1" applyAlignment="1">
      <alignment horizontal="left"/>
    </xf>
    <xf numFmtId="9" fontId="17" fillId="6" borderId="0" xfId="0" applyNumberFormat="1" applyFont="1" applyFill="1" applyBorder="1" applyAlignment="1">
      <alignment horizontal="center"/>
    </xf>
    <xf numFmtId="0" fontId="17" fillId="7" borderId="23" xfId="0" applyFont="1" applyFill="1" applyBorder="1" applyAlignment="1">
      <alignment horizontal="left"/>
    </xf>
    <xf numFmtId="9" fontId="2" fillId="7" borderId="75" xfId="55" applyFont="1" applyFill="1" applyBorder="1" applyAlignment="1">
      <alignment horizontal="center"/>
    </xf>
    <xf numFmtId="9" fontId="16" fillId="7" borderId="32" xfId="55" applyFont="1" applyFill="1" applyBorder="1" applyAlignment="1">
      <alignment horizontal="center" vertical="center"/>
    </xf>
    <xf numFmtId="0" fontId="9" fillId="0" borderId="49" xfId="0" applyFont="1" applyBorder="1" applyAlignment="1">
      <alignment horizontal="center"/>
    </xf>
    <xf numFmtId="0" fontId="8" fillId="0" borderId="13" xfId="0" applyFont="1" applyBorder="1" applyAlignment="1">
      <alignment horizontal="center"/>
    </xf>
    <xf numFmtId="0" fontId="8" fillId="0" borderId="65" xfId="0" applyFont="1" applyBorder="1" applyAlignment="1">
      <alignment horizontal="center"/>
    </xf>
    <xf numFmtId="0" fontId="9" fillId="0" borderId="65" xfId="0" applyFont="1" applyBorder="1" applyAlignment="1">
      <alignment horizontal="center"/>
    </xf>
    <xf numFmtId="0" fontId="36" fillId="0" borderId="65" xfId="0" applyFont="1" applyBorder="1" applyAlignment="1">
      <alignment horizontal="center"/>
    </xf>
    <xf numFmtId="0" fontId="9" fillId="0" borderId="19" xfId="0" applyFont="1" applyBorder="1" applyAlignment="1">
      <alignment horizontal="center"/>
    </xf>
    <xf numFmtId="0" fontId="107" fillId="0" borderId="10" xfId="0" applyFont="1" applyBorder="1" applyAlignment="1">
      <alignment horizontal="center"/>
    </xf>
    <xf numFmtId="0" fontId="0" fillId="0" borderId="49" xfId="0" applyBorder="1" applyAlignment="1">
      <alignment horizontal="center"/>
    </xf>
    <xf numFmtId="0" fontId="18" fillId="0" borderId="14"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15" fillId="0" borderId="10" xfId="0" applyFont="1" applyBorder="1" applyAlignment="1">
      <alignment horizontal="center"/>
    </xf>
    <xf numFmtId="1" fontId="116" fillId="0" borderId="14" xfId="0" applyNumberFormat="1" applyFont="1" applyBorder="1" applyAlignment="1">
      <alignment horizontal="center"/>
    </xf>
    <xf numFmtId="1" fontId="117" fillId="6" borderId="14" xfId="0" applyNumberFormat="1" applyFont="1" applyFill="1" applyBorder="1" applyAlignment="1">
      <alignment horizontal="center"/>
    </xf>
    <xf numFmtId="1" fontId="116" fillId="0" borderId="10" xfId="0" applyNumberFormat="1" applyFont="1" applyBorder="1" applyAlignment="1">
      <alignment horizontal="center"/>
    </xf>
    <xf numFmtId="1" fontId="18" fillId="0" borderId="14" xfId="0" applyNumberFormat="1" applyFont="1" applyBorder="1" applyAlignment="1">
      <alignment horizontal="center"/>
    </xf>
    <xf numFmtId="1" fontId="117" fillId="6" borderId="10" xfId="0" applyNumberFormat="1" applyFont="1" applyFill="1" applyBorder="1" applyAlignment="1">
      <alignment horizontal="center"/>
    </xf>
    <xf numFmtId="0" fontId="116" fillId="0" borderId="10" xfId="0" applyFont="1" applyBorder="1" applyAlignment="1">
      <alignment horizontal="center"/>
    </xf>
    <xf numFmtId="0" fontId="118" fillId="0" borderId="10" xfId="0" applyFont="1" applyBorder="1" applyAlignment="1">
      <alignment horizontal="center"/>
    </xf>
    <xf numFmtId="1" fontId="18" fillId="0" borderId="15" xfId="0" applyNumberFormat="1" applyFont="1" applyBorder="1" applyAlignment="1">
      <alignment horizontal="center"/>
    </xf>
    <xf numFmtId="1" fontId="18" fillId="0" borderId="68" xfId="0" applyNumberFormat="1" applyFont="1" applyBorder="1" applyAlignment="1">
      <alignment horizontal="center"/>
    </xf>
    <xf numFmtId="1" fontId="117" fillId="6" borderId="68" xfId="0" applyNumberFormat="1" applyFont="1" applyFill="1" applyBorder="1" applyAlignment="1">
      <alignment horizontal="center"/>
    </xf>
    <xf numFmtId="1" fontId="116" fillId="0" borderId="68" xfId="0" applyNumberFormat="1" applyFont="1" applyBorder="1" applyAlignment="1">
      <alignment horizontal="center"/>
    </xf>
    <xf numFmtId="0" fontId="118" fillId="0" borderId="68" xfId="0" applyFont="1" applyBorder="1" applyAlignment="1">
      <alignment horizontal="center"/>
    </xf>
    <xf numFmtId="0" fontId="118" fillId="0" borderId="20" xfId="0" applyFont="1" applyBorder="1" applyAlignment="1">
      <alignment horizontal="center"/>
    </xf>
    <xf numFmtId="0" fontId="18" fillId="34" borderId="0" xfId="0" applyNumberFormat="1" applyFont="1" applyFill="1" applyBorder="1" applyAlignment="1" applyProtection="1">
      <alignment horizontal="center" vertical="center"/>
      <protection locked="0"/>
    </xf>
    <xf numFmtId="0" fontId="119" fillId="7" borderId="10" xfId="0" applyFont="1" applyFill="1" applyBorder="1" applyAlignment="1">
      <alignment vertical="top" wrapText="1"/>
    </xf>
    <xf numFmtId="0" fontId="0" fillId="0" borderId="10" xfId="0" applyBorder="1" applyAlignment="1">
      <alignment vertical="top" wrapText="1"/>
    </xf>
    <xf numFmtId="180" fontId="27" fillId="34" borderId="68" xfId="0" applyNumberFormat="1"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center" vertical="center"/>
      <protection locked="0"/>
    </xf>
    <xf numFmtId="180" fontId="27" fillId="34" borderId="65" xfId="0" applyNumberFormat="1" applyFont="1" applyFill="1" applyBorder="1" applyAlignment="1" applyProtection="1">
      <alignment horizontal="center" vertical="center"/>
      <protection locked="0"/>
    </xf>
    <xf numFmtId="180" fontId="27" fillId="34" borderId="10" xfId="0" applyNumberFormat="1" applyFont="1" applyFill="1" applyBorder="1" applyAlignment="1" applyProtection="1">
      <alignment horizontal="center" vertical="center"/>
      <protection locked="0"/>
    </xf>
    <xf numFmtId="9" fontId="23" fillId="37" borderId="78" xfId="55" applyFont="1" applyFill="1" applyBorder="1" applyAlignment="1" applyProtection="1">
      <alignment horizontal="center" vertical="center"/>
      <protection locked="0"/>
    </xf>
    <xf numFmtId="9" fontId="18" fillId="0" borderId="13" xfId="55" applyFont="1" applyFill="1" applyBorder="1" applyAlignment="1" applyProtection="1">
      <alignment horizontal="center" vertical="center"/>
      <protection locked="0"/>
    </xf>
    <xf numFmtId="9" fontId="18" fillId="0" borderId="14" xfId="55" applyFont="1" applyFill="1" applyBorder="1" applyAlignment="1" applyProtection="1">
      <alignment horizontal="center" vertical="center"/>
      <protection locked="0"/>
    </xf>
    <xf numFmtId="9" fontId="18" fillId="0" borderId="15" xfId="55" applyFont="1" applyFill="1" applyBorder="1" applyAlignment="1" applyProtection="1">
      <alignment horizontal="center" vertical="center"/>
      <protection locked="0"/>
    </xf>
    <xf numFmtId="9" fontId="18" fillId="0" borderId="19" xfId="55" applyFont="1" applyFill="1" applyBorder="1" applyAlignment="1" applyProtection="1">
      <alignment horizontal="center" vertical="center"/>
      <protection locked="0"/>
    </xf>
    <xf numFmtId="9" fontId="18" fillId="0" borderId="11" xfId="55" applyFont="1" applyFill="1" applyBorder="1" applyAlignment="1" applyProtection="1">
      <alignment horizontal="center" vertical="center"/>
      <protection locked="0"/>
    </xf>
    <xf numFmtId="9" fontId="18" fillId="0" borderId="20" xfId="55"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center" vertical="center"/>
      <protection locked="0"/>
    </xf>
    <xf numFmtId="3" fontId="25" fillId="0" borderId="44" xfId="0" applyNumberFormat="1" applyFont="1" applyFill="1" applyBorder="1" applyAlignment="1" applyProtection="1">
      <alignment horizontal="center" vertical="center"/>
      <protection locked="0"/>
    </xf>
    <xf numFmtId="4" fontId="120" fillId="34" borderId="0" xfId="0" applyNumberFormat="1" applyFont="1" applyFill="1" applyBorder="1" applyAlignment="1" applyProtection="1">
      <alignment horizontal="center" vertical="center"/>
      <protection locked="0"/>
    </xf>
    <xf numFmtId="180" fontId="23" fillId="38" borderId="49" xfId="0" applyNumberFormat="1" applyFont="1" applyFill="1" applyBorder="1" applyAlignment="1" applyProtection="1">
      <alignment horizontal="center" vertical="center"/>
      <protection locked="0"/>
    </xf>
    <xf numFmtId="180" fontId="23" fillId="38" borderId="47" xfId="0" applyNumberFormat="1" applyFont="1" applyFill="1" applyBorder="1" applyAlignment="1" applyProtection="1">
      <alignment horizontal="center" vertical="center"/>
      <protection locked="0"/>
    </xf>
    <xf numFmtId="0" fontId="0" fillId="0" borderId="0" xfId="0" applyFont="1" applyAlignment="1">
      <alignment horizontal="left"/>
    </xf>
    <xf numFmtId="3" fontId="61" fillId="0" borderId="0" xfId="0" applyNumberFormat="1" applyFont="1" applyFill="1" applyBorder="1" applyAlignment="1" applyProtection="1">
      <alignment horizontal="left" vertical="center"/>
      <protection locked="0"/>
    </xf>
    <xf numFmtId="3" fontId="84" fillId="0" borderId="0" xfId="0" applyNumberFormat="1" applyFont="1" applyFill="1" applyAlignment="1" applyProtection="1">
      <alignment horizontal="left" vertical="center"/>
      <protection locked="0"/>
    </xf>
    <xf numFmtId="3" fontId="3" fillId="0" borderId="0" xfId="0" applyNumberFormat="1" applyFont="1" applyFill="1" applyAlignment="1" applyProtection="1">
      <alignment horizontal="left" vertical="center"/>
      <protection locked="0"/>
    </xf>
    <xf numFmtId="3" fontId="3" fillId="0" borderId="0" xfId="0" applyNumberFormat="1" applyFont="1" applyFill="1" applyBorder="1" applyAlignment="1" applyProtection="1">
      <alignment horizontal="left" vertical="center"/>
      <protection locked="0"/>
    </xf>
    <xf numFmtId="3" fontId="61" fillId="0" borderId="0" xfId="0" applyNumberFormat="1" applyFont="1" applyFill="1" applyAlignment="1" applyProtection="1">
      <alignment horizontal="left" vertical="center"/>
      <protection locked="0"/>
    </xf>
    <xf numFmtId="3" fontId="107" fillId="38" borderId="48" xfId="0" applyNumberFormat="1" applyFont="1" applyFill="1" applyBorder="1" applyAlignment="1" applyProtection="1">
      <alignment horizontal="left" vertical="center"/>
      <protection locked="0"/>
    </xf>
    <xf numFmtId="3" fontId="107" fillId="38" borderId="43" xfId="0" applyNumberFormat="1" applyFont="1" applyFill="1" applyBorder="1" applyAlignment="1" applyProtection="1">
      <alignment horizontal="left" vertical="center"/>
      <protection locked="0"/>
    </xf>
    <xf numFmtId="3" fontId="121" fillId="34" borderId="27" xfId="0" applyNumberFormat="1" applyFont="1" applyFill="1" applyBorder="1" applyAlignment="1" applyProtection="1">
      <alignment horizontal="center" vertical="center" textRotation="90"/>
      <protection locked="0"/>
    </xf>
    <xf numFmtId="3" fontId="121" fillId="34" borderId="28" xfId="0" applyNumberFormat="1" applyFont="1" applyFill="1" applyBorder="1" applyAlignment="1" applyProtection="1">
      <alignment horizontal="center" vertical="center" textRotation="90"/>
      <protection locked="0"/>
    </xf>
    <xf numFmtId="3" fontId="121" fillId="34" borderId="37" xfId="0" applyNumberFormat="1" applyFont="1" applyFill="1" applyBorder="1" applyAlignment="1" applyProtection="1">
      <alignment horizontal="center" vertical="center" textRotation="90"/>
      <protection locked="0"/>
    </xf>
    <xf numFmtId="3" fontId="121" fillId="34" borderId="0" xfId="0" applyNumberFormat="1" applyFont="1" applyFill="1" applyBorder="1" applyAlignment="1" applyProtection="1">
      <alignment horizontal="center" vertical="center" textRotation="90"/>
      <protection locked="0"/>
    </xf>
    <xf numFmtId="3" fontId="121" fillId="34" borderId="39" xfId="0" applyNumberFormat="1" applyFont="1" applyFill="1" applyBorder="1" applyAlignment="1" applyProtection="1">
      <alignment horizontal="center" vertical="center" textRotation="90"/>
      <protection locked="0"/>
    </xf>
    <xf numFmtId="3" fontId="121" fillId="34" borderId="40" xfId="0" applyNumberFormat="1" applyFont="1" applyFill="1" applyBorder="1" applyAlignment="1" applyProtection="1">
      <alignment horizontal="center" vertical="center" textRotation="90"/>
      <protection locked="0"/>
    </xf>
    <xf numFmtId="3" fontId="6" fillId="34" borderId="0" xfId="0" applyNumberFormat="1" applyFont="1" applyFill="1" applyBorder="1" applyAlignment="1" applyProtection="1">
      <alignment horizontal="right" vertical="center"/>
      <protection locked="0"/>
    </xf>
    <xf numFmtId="3" fontId="6" fillId="34" borderId="38" xfId="0" applyNumberFormat="1" applyFont="1" applyFill="1" applyBorder="1" applyAlignment="1" applyProtection="1">
      <alignment horizontal="right" vertical="center"/>
      <protection locked="0"/>
    </xf>
    <xf numFmtId="3" fontId="19" fillId="34" borderId="0" xfId="0" applyNumberFormat="1" applyFont="1" applyFill="1" applyBorder="1" applyAlignment="1" applyProtection="1">
      <alignment horizontal="right" vertical="center"/>
      <protection locked="0"/>
    </xf>
    <xf numFmtId="3" fontId="19" fillId="34" borderId="38" xfId="0" applyNumberFormat="1" applyFont="1" applyFill="1" applyBorder="1" applyAlignment="1" applyProtection="1">
      <alignment horizontal="right" vertical="center"/>
      <protection locked="0"/>
    </xf>
    <xf numFmtId="183" fontId="6" fillId="34" borderId="37" xfId="0" applyNumberFormat="1" applyFont="1" applyFill="1" applyBorder="1" applyAlignment="1" applyProtection="1">
      <alignment horizontal="right" vertical="center"/>
      <protection locked="0"/>
    </xf>
    <xf numFmtId="183" fontId="6" fillId="34" borderId="0" xfId="0" applyNumberFormat="1" applyFont="1" applyFill="1" applyBorder="1" applyAlignment="1" applyProtection="1">
      <alignment horizontal="right" vertical="center"/>
      <protection locked="0"/>
    </xf>
    <xf numFmtId="183" fontId="6" fillId="34" borderId="38" xfId="0" applyNumberFormat="1" applyFont="1" applyFill="1" applyBorder="1" applyAlignment="1" applyProtection="1">
      <alignment horizontal="right" vertical="center"/>
      <protection locked="0"/>
    </xf>
    <xf numFmtId="0" fontId="122" fillId="42" borderId="0" xfId="0" applyFont="1" applyFill="1" applyBorder="1" applyAlignment="1">
      <alignment horizontal="center" vertical="center"/>
    </xf>
    <xf numFmtId="0" fontId="122" fillId="42" borderId="38" xfId="0" applyFont="1" applyFill="1" applyBorder="1" applyAlignment="1">
      <alignment horizontal="center" vertical="center"/>
    </xf>
    <xf numFmtId="1" fontId="123" fillId="42" borderId="27" xfId="0" applyNumberFormat="1" applyFont="1" applyFill="1" applyBorder="1" applyAlignment="1">
      <alignment horizontal="center" vertical="center"/>
    </xf>
    <xf numFmtId="1" fontId="123" fillId="42" borderId="28" xfId="0" applyNumberFormat="1" applyFont="1" applyFill="1" applyBorder="1" applyAlignment="1">
      <alignment horizontal="center" vertical="center"/>
    </xf>
    <xf numFmtId="1" fontId="124" fillId="34" borderId="15" xfId="0" applyNumberFormat="1" applyFont="1" applyFill="1" applyBorder="1" applyAlignment="1">
      <alignment horizontal="center" vertical="center"/>
    </xf>
    <xf numFmtId="1" fontId="124" fillId="34" borderId="68" xfId="0" applyNumberFormat="1" applyFont="1" applyFill="1" applyBorder="1" applyAlignment="1">
      <alignment horizontal="center" vertical="center"/>
    </xf>
    <xf numFmtId="3" fontId="125" fillId="34" borderId="28" xfId="0" applyNumberFormat="1" applyFont="1" applyFill="1" applyBorder="1" applyAlignment="1">
      <alignment horizontal="center" vertical="center"/>
    </xf>
    <xf numFmtId="3" fontId="125" fillId="34" borderId="26" xfId="0" applyNumberFormat="1" applyFont="1" applyFill="1" applyBorder="1" applyAlignment="1">
      <alignment horizontal="center" vertical="center"/>
    </xf>
    <xf numFmtId="3" fontId="20" fillId="34" borderId="36" xfId="0" applyNumberFormat="1" applyFont="1" applyFill="1" applyBorder="1" applyAlignment="1" applyProtection="1">
      <alignment horizontal="center" vertical="center"/>
      <protection locked="0"/>
    </xf>
    <xf numFmtId="1" fontId="6" fillId="34" borderId="0" xfId="0" applyNumberFormat="1" applyFont="1" applyFill="1" applyBorder="1" applyAlignment="1">
      <alignment horizontal="right" vertical="center"/>
    </xf>
    <xf numFmtId="1" fontId="6" fillId="34" borderId="38" xfId="0" applyNumberFormat="1" applyFont="1" applyFill="1" applyBorder="1" applyAlignment="1">
      <alignment horizontal="right" vertical="center"/>
    </xf>
    <xf numFmtId="0" fontId="18" fillId="34" borderId="0" xfId="0" applyNumberFormat="1" applyFont="1" applyFill="1" applyBorder="1" applyAlignment="1" applyProtection="1">
      <alignment horizontal="center" vertical="center"/>
      <protection locked="0"/>
    </xf>
    <xf numFmtId="0" fontId="126" fillId="34" borderId="28" xfId="0" applyFont="1" applyFill="1" applyBorder="1" applyAlignment="1">
      <alignment horizontal="center" vertical="center"/>
    </xf>
    <xf numFmtId="0" fontId="126" fillId="34" borderId="26" xfId="0" applyFont="1" applyFill="1" applyBorder="1" applyAlignment="1">
      <alignment horizontal="center" vertical="center"/>
    </xf>
    <xf numFmtId="3" fontId="18" fillId="34" borderId="29" xfId="0" applyNumberFormat="1" applyFont="1" applyFill="1" applyBorder="1" applyAlignment="1" applyProtection="1">
      <alignment horizontal="center" vertical="center"/>
      <protection locked="0"/>
    </xf>
    <xf numFmtId="3" fontId="18" fillId="34" borderId="36" xfId="0" applyNumberFormat="1" applyFont="1" applyFill="1" applyBorder="1" applyAlignment="1" applyProtection="1">
      <alignment horizontal="center" vertical="center"/>
      <protection locked="0"/>
    </xf>
    <xf numFmtId="3" fontId="19" fillId="34" borderId="36" xfId="0" applyNumberFormat="1" applyFont="1" applyFill="1" applyBorder="1" applyAlignment="1" applyProtection="1">
      <alignment horizontal="center" vertical="center"/>
      <protection locked="0"/>
    </xf>
    <xf numFmtId="3" fontId="107" fillId="38" borderId="53" xfId="0" applyNumberFormat="1" applyFont="1" applyFill="1" applyBorder="1" applyAlignment="1" applyProtection="1">
      <alignment horizontal="left" vertical="center"/>
      <protection locked="0"/>
    </xf>
    <xf numFmtId="3" fontId="107" fillId="38" borderId="57" xfId="0" applyNumberFormat="1" applyFont="1" applyFill="1" applyBorder="1" applyAlignment="1" applyProtection="1">
      <alignment horizontal="left" vertical="center"/>
      <protection locked="0"/>
    </xf>
    <xf numFmtId="180" fontId="20" fillId="34" borderId="39" xfId="0" applyNumberFormat="1" applyFont="1" applyFill="1" applyBorder="1" applyAlignment="1" applyProtection="1">
      <alignment horizontal="center" vertical="center"/>
      <protection locked="0"/>
    </xf>
    <xf numFmtId="180" fontId="20" fillId="34" borderId="40" xfId="0" applyNumberFormat="1" applyFont="1" applyFill="1" applyBorder="1" applyAlignment="1" applyProtection="1">
      <alignment horizontal="center" vertical="center"/>
      <protection locked="0"/>
    </xf>
    <xf numFmtId="3" fontId="6" fillId="34" borderId="39" xfId="0" applyNumberFormat="1" applyFont="1" applyFill="1" applyBorder="1" applyAlignment="1" applyProtection="1">
      <alignment horizontal="right" vertical="center"/>
      <protection locked="0"/>
    </xf>
    <xf numFmtId="3" fontId="6" fillId="34" borderId="40" xfId="0" applyNumberFormat="1" applyFont="1" applyFill="1" applyBorder="1" applyAlignment="1" applyProtection="1">
      <alignment horizontal="right" vertical="center"/>
      <protection locked="0"/>
    </xf>
    <xf numFmtId="3" fontId="6" fillId="34" borderId="37" xfId="0" applyNumberFormat="1" applyFont="1" applyFill="1" applyBorder="1" applyAlignment="1" applyProtection="1">
      <alignment horizontal="right" vertical="center"/>
      <protection locked="0"/>
    </xf>
    <xf numFmtId="179" fontId="11" fillId="34" borderId="29" xfId="0" applyNumberFormat="1" applyFont="1" applyFill="1" applyBorder="1" applyAlignment="1" applyProtection="1">
      <alignment horizontal="center" vertical="center"/>
      <protection/>
    </xf>
    <xf numFmtId="179" fontId="11" fillId="34" borderId="36" xfId="0" applyNumberFormat="1" applyFont="1" applyFill="1" applyBorder="1" applyAlignment="1" applyProtection="1">
      <alignment horizontal="center" vertical="center"/>
      <protection/>
    </xf>
    <xf numFmtId="179" fontId="11" fillId="34" borderId="42" xfId="0" applyNumberFormat="1" applyFont="1" applyFill="1" applyBorder="1" applyAlignment="1" applyProtection="1">
      <alignment horizontal="center" vertical="center"/>
      <protection/>
    </xf>
    <xf numFmtId="186" fontId="6" fillId="34" borderId="0" xfId="0" applyNumberFormat="1" applyFont="1" applyFill="1" applyBorder="1" applyAlignment="1" applyProtection="1">
      <alignment horizontal="center" vertical="center"/>
      <protection locked="0"/>
    </xf>
    <xf numFmtId="186" fontId="6" fillId="34" borderId="40" xfId="0" applyNumberFormat="1" applyFont="1" applyFill="1" applyBorder="1" applyAlignment="1" applyProtection="1">
      <alignment horizontal="center" vertical="center"/>
      <protection locked="0"/>
    </xf>
    <xf numFmtId="182" fontId="127" fillId="0" borderId="29" xfId="55" applyNumberFormat="1" applyFont="1" applyBorder="1" applyAlignment="1">
      <alignment horizontal="center" vertical="center"/>
    </xf>
    <xf numFmtId="182" fontId="127" fillId="0" borderId="36" xfId="55" applyNumberFormat="1" applyFont="1" applyBorder="1" applyAlignment="1">
      <alignment horizontal="center" vertical="center"/>
    </xf>
    <xf numFmtId="179" fontId="6" fillId="34" borderId="28" xfId="0" applyNumberFormat="1" applyFont="1" applyFill="1" applyBorder="1" applyAlignment="1" applyProtection="1">
      <alignment horizontal="center" vertical="center"/>
      <protection locked="0"/>
    </xf>
    <xf numFmtId="185" fontId="128" fillId="34" borderId="36" xfId="0" applyNumberFormat="1" applyFont="1" applyFill="1" applyBorder="1" applyAlignment="1">
      <alignment horizontal="center" vertical="center"/>
    </xf>
    <xf numFmtId="185" fontId="128" fillId="34" borderId="42" xfId="0" applyNumberFormat="1" applyFont="1" applyFill="1" applyBorder="1" applyAlignment="1">
      <alignment horizontal="center" vertical="center"/>
    </xf>
    <xf numFmtId="184" fontId="129" fillId="43" borderId="29" xfId="0" applyNumberFormat="1" applyFont="1" applyFill="1" applyBorder="1" applyAlignment="1" applyProtection="1">
      <alignment horizontal="center" vertical="center"/>
      <protection locked="0"/>
    </xf>
    <xf numFmtId="184" fontId="129" fillId="43" borderId="36" xfId="0" applyNumberFormat="1" applyFont="1" applyFill="1" applyBorder="1" applyAlignment="1" applyProtection="1">
      <alignment horizontal="center" vertical="center"/>
      <protection locked="0"/>
    </xf>
    <xf numFmtId="184" fontId="129" fillId="43" borderId="42" xfId="0" applyNumberFormat="1" applyFont="1" applyFill="1" applyBorder="1" applyAlignment="1" applyProtection="1">
      <alignment horizontal="center" vertical="center"/>
      <protection locked="0"/>
    </xf>
    <xf numFmtId="180" fontId="6" fillId="34" borderId="29" xfId="0" applyNumberFormat="1" applyFont="1" applyFill="1" applyBorder="1" applyAlignment="1" applyProtection="1">
      <alignment horizontal="center" vertical="center"/>
      <protection locked="0"/>
    </xf>
    <xf numFmtId="180" fontId="6" fillId="34" borderId="42" xfId="0" applyNumberFormat="1" applyFont="1" applyFill="1" applyBorder="1" applyAlignment="1" applyProtection="1">
      <alignment horizontal="center" vertical="center"/>
      <protection locked="0"/>
    </xf>
    <xf numFmtId="180" fontId="130" fillId="43" borderId="79" xfId="0" applyNumberFormat="1" applyFont="1" applyFill="1" applyBorder="1" applyAlignment="1" applyProtection="1">
      <alignment horizontal="center" vertical="center"/>
      <protection locked="0"/>
    </xf>
    <xf numFmtId="180" fontId="130" fillId="43" borderId="80" xfId="0" applyNumberFormat="1" applyFont="1" applyFill="1" applyBorder="1" applyAlignment="1" applyProtection="1">
      <alignment horizontal="center" vertical="center"/>
      <protection locked="0"/>
    </xf>
    <xf numFmtId="180" fontId="130" fillId="43" borderId="81" xfId="0" applyNumberFormat="1" applyFont="1" applyFill="1" applyBorder="1" applyAlignment="1" applyProtection="1">
      <alignment horizontal="center" vertical="center"/>
      <protection locked="0"/>
    </xf>
    <xf numFmtId="3" fontId="31" fillId="34" borderId="36" xfId="0" applyNumberFormat="1" applyFont="1" applyFill="1" applyBorder="1" applyAlignment="1" applyProtection="1">
      <alignment horizontal="center" vertical="center"/>
      <protection locked="0"/>
    </xf>
    <xf numFmtId="1" fontId="27" fillId="34" borderId="14" xfId="55" applyNumberFormat="1" applyFont="1" applyFill="1" applyBorder="1" applyAlignment="1" applyProtection="1">
      <alignment horizontal="center" vertical="center"/>
      <protection locked="0"/>
    </xf>
    <xf numFmtId="1" fontId="27" fillId="34" borderId="10" xfId="55" applyNumberFormat="1" applyFont="1" applyFill="1" applyBorder="1" applyAlignment="1" applyProtection="1">
      <alignment horizontal="center" vertical="center"/>
      <protection locked="0"/>
    </xf>
    <xf numFmtId="180" fontId="27" fillId="34" borderId="65" xfId="0" applyNumberFormat="1" applyFont="1" applyFill="1" applyBorder="1" applyAlignment="1" applyProtection="1">
      <alignment horizontal="center" vertical="center"/>
      <protection locked="0"/>
    </xf>
    <xf numFmtId="180" fontId="27" fillId="34" borderId="19" xfId="0" applyNumberFormat="1" applyFont="1" applyFill="1" applyBorder="1" applyAlignment="1" applyProtection="1">
      <alignment horizontal="center" vertical="center"/>
      <protection locked="0"/>
    </xf>
    <xf numFmtId="3" fontId="5" fillId="34" borderId="29" xfId="0" applyNumberFormat="1" applyFont="1" applyFill="1" applyBorder="1" applyAlignment="1" applyProtection="1">
      <alignment horizontal="center" vertical="center"/>
      <protection locked="0"/>
    </xf>
    <xf numFmtId="3" fontId="5" fillId="34" borderId="36" xfId="0" applyNumberFormat="1" applyFont="1" applyFill="1" applyBorder="1" applyAlignment="1" applyProtection="1">
      <alignment horizontal="center" vertical="center"/>
      <protection locked="0"/>
    </xf>
    <xf numFmtId="3" fontId="5" fillId="34" borderId="42" xfId="0" applyNumberFormat="1" applyFont="1" applyFill="1" applyBorder="1" applyAlignment="1" applyProtection="1">
      <alignment horizontal="center" vertical="center"/>
      <protection locked="0"/>
    </xf>
    <xf numFmtId="180" fontId="27" fillId="34" borderId="49" xfId="0" applyNumberFormat="1" applyFont="1" applyFill="1" applyBorder="1" applyAlignment="1" applyProtection="1">
      <alignment horizontal="center" vertical="center"/>
      <protection locked="0"/>
    </xf>
    <xf numFmtId="180" fontId="27" fillId="34" borderId="47" xfId="0" applyNumberFormat="1" applyFont="1" applyFill="1" applyBorder="1" applyAlignment="1" applyProtection="1">
      <alignment horizontal="center" vertical="center"/>
      <protection locked="0"/>
    </xf>
    <xf numFmtId="180" fontId="27" fillId="34" borderId="76" xfId="0" applyNumberFormat="1" applyFont="1" applyFill="1" applyBorder="1" applyAlignment="1" applyProtection="1">
      <alignment horizontal="center" vertical="center"/>
      <protection locked="0"/>
    </xf>
    <xf numFmtId="180" fontId="27" fillId="34" borderId="81" xfId="0" applyNumberFormat="1" applyFont="1" applyFill="1" applyBorder="1" applyAlignment="1" applyProtection="1">
      <alignment horizontal="center" vertical="center"/>
      <protection locked="0"/>
    </xf>
    <xf numFmtId="0" fontId="131" fillId="42" borderId="40" xfId="0" applyFont="1" applyFill="1" applyBorder="1" applyAlignment="1">
      <alignment horizontal="center" vertical="center"/>
    </xf>
    <xf numFmtId="0" fontId="131" fillId="42" borderId="41" xfId="0" applyFont="1" applyFill="1" applyBorder="1" applyAlignment="1">
      <alignment horizontal="center" vertical="center"/>
    </xf>
    <xf numFmtId="0" fontId="126" fillId="34" borderId="0" xfId="0" applyFont="1" applyFill="1" applyBorder="1" applyAlignment="1">
      <alignment horizontal="center" vertical="center"/>
    </xf>
    <xf numFmtId="0" fontId="126" fillId="34" borderId="38" xfId="0" applyFont="1" applyFill="1" applyBorder="1" applyAlignment="1">
      <alignment horizontal="center" vertical="center"/>
    </xf>
    <xf numFmtId="3" fontId="6" fillId="34" borderId="41" xfId="0" applyNumberFormat="1" applyFont="1" applyFill="1" applyBorder="1" applyAlignment="1" applyProtection="1">
      <alignment horizontal="right" vertical="center"/>
      <protection locked="0"/>
    </xf>
    <xf numFmtId="3" fontId="132" fillId="42" borderId="37" xfId="0" applyNumberFormat="1" applyFont="1" applyFill="1" applyBorder="1" applyAlignment="1" applyProtection="1">
      <alignment horizontal="center" vertical="center"/>
      <protection locked="0"/>
    </xf>
    <xf numFmtId="3" fontId="132" fillId="42" borderId="0" xfId="0" applyNumberFormat="1" applyFont="1" applyFill="1" applyAlignment="1" applyProtection="1">
      <alignment horizontal="center" vertical="center"/>
      <protection locked="0"/>
    </xf>
    <xf numFmtId="3" fontId="132" fillId="42" borderId="38" xfId="0" applyNumberFormat="1" applyFont="1" applyFill="1" applyBorder="1" applyAlignment="1" applyProtection="1">
      <alignment horizontal="center" vertical="center"/>
      <protection locked="0"/>
    </xf>
    <xf numFmtId="3" fontId="132" fillId="42" borderId="39" xfId="0" applyNumberFormat="1" applyFont="1" applyFill="1" applyBorder="1" applyAlignment="1" applyProtection="1">
      <alignment horizontal="center" vertical="center"/>
      <protection locked="0"/>
    </xf>
    <xf numFmtId="3" fontId="132" fillId="42" borderId="40" xfId="0" applyNumberFormat="1" applyFont="1" applyFill="1" applyBorder="1" applyAlignment="1" applyProtection="1">
      <alignment horizontal="center" vertical="center"/>
      <protection locked="0"/>
    </xf>
    <xf numFmtId="3" fontId="132" fillId="42" borderId="41" xfId="0" applyNumberFormat="1" applyFont="1" applyFill="1" applyBorder="1" applyAlignment="1" applyProtection="1">
      <alignment horizontal="center" vertical="center"/>
      <protection locked="0"/>
    </xf>
    <xf numFmtId="3" fontId="125" fillId="42" borderId="37" xfId="0" applyNumberFormat="1" applyFont="1" applyFill="1" applyBorder="1" applyAlignment="1" applyProtection="1">
      <alignment horizontal="center" vertical="center"/>
      <protection locked="0"/>
    </xf>
    <xf numFmtId="3" fontId="125" fillId="42" borderId="0" xfId="0" applyNumberFormat="1" applyFont="1" applyFill="1" applyAlignment="1" applyProtection="1">
      <alignment horizontal="center" vertical="center"/>
      <protection locked="0"/>
    </xf>
    <xf numFmtId="3" fontId="125" fillId="42" borderId="38" xfId="0" applyNumberFormat="1" applyFont="1" applyFill="1" applyBorder="1" applyAlignment="1" applyProtection="1">
      <alignment horizontal="center" vertical="center"/>
      <protection locked="0"/>
    </xf>
    <xf numFmtId="182" fontId="6" fillId="34" borderId="37" xfId="55" applyNumberFormat="1" applyFont="1" applyFill="1" applyBorder="1" applyAlignment="1" applyProtection="1">
      <alignment horizontal="center" vertical="center"/>
      <protection locked="0"/>
    </xf>
    <xf numFmtId="182" fontId="6" fillId="34" borderId="0" xfId="55" applyNumberFormat="1" applyFont="1" applyFill="1" applyBorder="1" applyAlignment="1" applyProtection="1">
      <alignment horizontal="center" vertical="center"/>
      <protection locked="0"/>
    </xf>
    <xf numFmtId="183" fontId="18" fillId="0" borderId="37" xfId="0" applyNumberFormat="1" applyFont="1" applyFill="1" applyBorder="1" applyAlignment="1" applyProtection="1">
      <alignment horizontal="center" vertical="center"/>
      <protection locked="0"/>
    </xf>
    <xf numFmtId="183" fontId="18" fillId="0" borderId="0" xfId="0" applyNumberFormat="1" applyFont="1" applyFill="1" applyBorder="1" applyAlignment="1" applyProtection="1">
      <alignment horizontal="center" vertical="center"/>
      <protection locked="0"/>
    </xf>
    <xf numFmtId="1" fontId="124" fillId="34" borderId="13" xfId="0" applyNumberFormat="1" applyFont="1" applyFill="1" applyBorder="1" applyAlignment="1">
      <alignment horizontal="center" vertical="center"/>
    </xf>
    <xf numFmtId="1" fontId="124" fillId="34" borderId="65" xfId="0" applyNumberFormat="1" applyFont="1" applyFill="1" applyBorder="1" applyAlignment="1">
      <alignment horizontal="center" vertical="center"/>
    </xf>
    <xf numFmtId="179" fontId="133" fillId="34" borderId="25" xfId="0" applyNumberFormat="1" applyFont="1" applyFill="1" applyBorder="1" applyAlignment="1" applyProtection="1">
      <alignment horizontal="center" vertical="center"/>
      <protection locked="0"/>
    </xf>
    <xf numFmtId="179" fontId="133" fillId="34" borderId="64" xfId="0" applyNumberFormat="1" applyFont="1" applyFill="1" applyBorder="1" applyAlignment="1" applyProtection="1">
      <alignment horizontal="center" vertical="center"/>
      <protection locked="0"/>
    </xf>
    <xf numFmtId="179" fontId="133" fillId="34" borderId="73" xfId="0" applyNumberFormat="1" applyFont="1" applyFill="1" applyBorder="1" applyAlignment="1" applyProtection="1">
      <alignment horizontal="center" vertical="center"/>
      <protection locked="0"/>
    </xf>
    <xf numFmtId="179" fontId="6" fillId="34" borderId="0" xfId="0" applyNumberFormat="1" applyFont="1" applyFill="1" applyBorder="1" applyAlignment="1" applyProtection="1">
      <alignment horizontal="center" vertical="center"/>
      <protection locked="0"/>
    </xf>
    <xf numFmtId="180" fontId="130" fillId="43" borderId="13" xfId="0" applyNumberFormat="1" applyFont="1" applyFill="1" applyBorder="1" applyAlignment="1" applyProtection="1">
      <alignment horizontal="center" vertical="center"/>
      <protection locked="0"/>
    </xf>
    <xf numFmtId="180" fontId="130" fillId="43" borderId="65" xfId="0" applyNumberFormat="1" applyFont="1" applyFill="1" applyBorder="1" applyAlignment="1" applyProtection="1">
      <alignment horizontal="center" vertical="center"/>
      <protection locked="0"/>
    </xf>
    <xf numFmtId="180" fontId="130" fillId="43" borderId="19" xfId="0" applyNumberFormat="1" applyFont="1" applyFill="1" applyBorder="1" applyAlignment="1" applyProtection="1">
      <alignment horizontal="center" vertical="center"/>
      <protection locked="0"/>
    </xf>
    <xf numFmtId="180" fontId="130" fillId="43" borderId="14" xfId="0" applyNumberFormat="1" applyFont="1" applyFill="1" applyBorder="1" applyAlignment="1" applyProtection="1">
      <alignment horizontal="center" vertical="center"/>
      <protection locked="0"/>
    </xf>
    <xf numFmtId="180" fontId="130" fillId="43" borderId="10" xfId="0" applyNumberFormat="1" applyFont="1" applyFill="1" applyBorder="1" applyAlignment="1" applyProtection="1">
      <alignment horizontal="center" vertical="center"/>
      <protection locked="0"/>
    </xf>
    <xf numFmtId="180" fontId="130" fillId="43" borderId="11" xfId="0" applyNumberFormat="1" applyFont="1" applyFill="1" applyBorder="1" applyAlignment="1" applyProtection="1">
      <alignment horizontal="center" vertical="center"/>
      <protection locked="0"/>
    </xf>
    <xf numFmtId="3" fontId="6" fillId="34" borderId="27" xfId="0" applyNumberFormat="1" applyFont="1" applyFill="1" applyBorder="1" applyAlignment="1" applyProtection="1">
      <alignment horizontal="right" vertical="center"/>
      <protection locked="0"/>
    </xf>
    <xf numFmtId="3" fontId="6" fillId="34" borderId="28" xfId="0" applyNumberFormat="1" applyFont="1" applyFill="1" applyBorder="1" applyAlignment="1" applyProtection="1">
      <alignment horizontal="right" vertical="center"/>
      <protection locked="0"/>
    </xf>
    <xf numFmtId="0" fontId="85" fillId="0" borderId="29" xfId="0" applyFont="1" applyBorder="1" applyAlignment="1">
      <alignment horizontal="left"/>
    </xf>
    <xf numFmtId="0" fontId="85" fillId="0" borderId="35" xfId="0" applyFont="1" applyBorder="1" applyAlignment="1">
      <alignment horizontal="left"/>
    </xf>
    <xf numFmtId="0" fontId="85" fillId="6" borderId="29" xfId="0" applyFont="1" applyFill="1" applyBorder="1" applyAlignment="1">
      <alignment horizontal="left"/>
    </xf>
    <xf numFmtId="0" fontId="85" fillId="6" borderId="36" xfId="0" applyFont="1" applyFill="1" applyBorder="1" applyAlignment="1">
      <alignment horizontal="left"/>
    </xf>
    <xf numFmtId="0" fontId="85" fillId="6" borderId="42" xfId="0" applyFont="1" applyFill="1" applyBorder="1" applyAlignment="1">
      <alignment horizontal="left"/>
    </xf>
    <xf numFmtId="0" fontId="85" fillId="4" borderId="29" xfId="0" applyFont="1" applyFill="1" applyBorder="1" applyAlignment="1">
      <alignment horizontal="left"/>
    </xf>
    <xf numFmtId="0" fontId="85" fillId="4" borderId="36" xfId="0" applyFont="1" applyFill="1" applyBorder="1" applyAlignment="1">
      <alignment horizontal="left"/>
    </xf>
    <xf numFmtId="0" fontId="85" fillId="4" borderId="42" xfId="0" applyFont="1" applyFill="1" applyBorder="1" applyAlignment="1">
      <alignment horizontal="left"/>
    </xf>
    <xf numFmtId="0" fontId="85" fillId="7" borderId="39" xfId="0" applyFont="1" applyFill="1" applyBorder="1" applyAlignment="1">
      <alignment horizontal="left"/>
    </xf>
    <xf numFmtId="0" fontId="85" fillId="7" borderId="40" xfId="0" applyFont="1" applyFill="1" applyBorder="1" applyAlignment="1">
      <alignment horizontal="left"/>
    </xf>
    <xf numFmtId="0" fontId="85" fillId="7" borderId="41" xfId="0" applyFont="1" applyFill="1" applyBorder="1" applyAlignment="1">
      <alignment horizontal="left"/>
    </xf>
    <xf numFmtId="9" fontId="101" fillId="4" borderId="25" xfId="0" applyNumberFormat="1" applyFont="1" applyFill="1" applyBorder="1" applyAlignment="1">
      <alignment horizontal="center" vertical="center"/>
    </xf>
    <xf numFmtId="9" fontId="101" fillId="4" borderId="64" xfId="0" applyNumberFormat="1" applyFont="1" applyFill="1" applyBorder="1" applyAlignment="1">
      <alignment horizontal="center" vertical="center"/>
    </xf>
    <xf numFmtId="9" fontId="101" fillId="4" borderId="73" xfId="0" applyNumberFormat="1" applyFont="1" applyFill="1" applyBorder="1" applyAlignment="1">
      <alignment horizontal="center" vertical="center"/>
    </xf>
    <xf numFmtId="9" fontId="2" fillId="4" borderId="82" xfId="55" applyFont="1" applyFill="1" applyBorder="1" applyAlignment="1">
      <alignment horizontal="center"/>
    </xf>
    <xf numFmtId="9" fontId="2" fillId="4" borderId="18" xfId="55" applyFont="1" applyFill="1" applyBorder="1" applyAlignment="1">
      <alignment horizontal="center"/>
    </xf>
    <xf numFmtId="0" fontId="56" fillId="6" borderId="39" xfId="0" applyFont="1" applyFill="1" applyBorder="1" applyAlignment="1">
      <alignment horizontal="left"/>
    </xf>
    <xf numFmtId="0" fontId="56" fillId="6" borderId="40" xfId="0" applyFont="1" applyFill="1" applyBorder="1" applyAlignment="1">
      <alignment horizontal="left"/>
    </xf>
    <xf numFmtId="0" fontId="56" fillId="6" borderId="41" xfId="0" applyFont="1" applyFill="1" applyBorder="1" applyAlignment="1">
      <alignment horizontal="left"/>
    </xf>
    <xf numFmtId="0" fontId="85" fillId="6" borderId="39" xfId="0" applyFont="1" applyFill="1" applyBorder="1" applyAlignment="1">
      <alignment horizontal="left"/>
    </xf>
    <xf numFmtId="9" fontId="16" fillId="6" borderId="64" xfId="55" applyFont="1" applyFill="1" applyBorder="1" applyAlignment="1">
      <alignment horizontal="center" vertical="center"/>
    </xf>
    <xf numFmtId="9" fontId="16" fillId="6" borderId="73" xfId="55" applyFont="1" applyFill="1" applyBorder="1" applyAlignment="1">
      <alignment horizontal="center" vertical="center"/>
    </xf>
    <xf numFmtId="9" fontId="15" fillId="7" borderId="77" xfId="55" applyFont="1" applyFill="1" applyBorder="1" applyAlignment="1">
      <alignment horizontal="center"/>
    </xf>
    <xf numFmtId="9" fontId="15" fillId="7" borderId="41" xfId="55" applyFont="1" applyFill="1" applyBorder="1" applyAlignment="1">
      <alignment horizontal="center"/>
    </xf>
    <xf numFmtId="0" fontId="85" fillId="7" borderId="29" xfId="0" applyFont="1" applyFill="1" applyBorder="1" applyAlignment="1">
      <alignment horizontal="left"/>
    </xf>
    <xf numFmtId="0" fontId="85" fillId="7" borderId="36" xfId="0" applyFont="1" applyFill="1" applyBorder="1" applyAlignment="1">
      <alignment horizontal="left"/>
    </xf>
    <xf numFmtId="0" fontId="85" fillId="7" borderId="83" xfId="0" applyFont="1" applyFill="1" applyBorder="1" applyAlignment="1">
      <alignment horizontal="left"/>
    </xf>
    <xf numFmtId="0" fontId="85" fillId="7" borderId="84" xfId="0" applyFont="1" applyFill="1" applyBorder="1" applyAlignment="1">
      <alignment horizontal="left"/>
    </xf>
    <xf numFmtId="9" fontId="16" fillId="7" borderId="26" xfId="55" applyFont="1" applyFill="1" applyBorder="1" applyAlignment="1">
      <alignment horizontal="center" vertical="center"/>
    </xf>
    <xf numFmtId="9" fontId="16" fillId="7" borderId="38" xfId="55" applyFont="1" applyFill="1" applyBorder="1" applyAlignment="1">
      <alignment horizontal="center" vertical="center"/>
    </xf>
    <xf numFmtId="9" fontId="16" fillId="7" borderId="41" xfId="55" applyFont="1" applyFill="1" applyBorder="1" applyAlignment="1">
      <alignment horizontal="center" vertical="center"/>
    </xf>
    <xf numFmtId="9" fontId="5" fillId="0" borderId="85" xfId="55" applyFont="1" applyFill="1" applyBorder="1" applyAlignment="1">
      <alignment horizontal="center"/>
    </xf>
    <xf numFmtId="9" fontId="5" fillId="0" borderId="86" xfId="55" applyFont="1" applyFill="1" applyBorder="1" applyAlignment="1">
      <alignment horizontal="center"/>
    </xf>
    <xf numFmtId="9" fontId="16" fillId="0" borderId="30" xfId="55" applyFont="1" applyFill="1" applyBorder="1" applyAlignment="1">
      <alignment horizontal="center"/>
    </xf>
    <xf numFmtId="9" fontId="16" fillId="0" borderId="34" xfId="55" applyFont="1" applyFill="1" applyBorder="1" applyAlignment="1">
      <alignment horizontal="center"/>
    </xf>
    <xf numFmtId="9" fontId="101" fillId="6" borderId="78" xfId="0" applyNumberFormat="1" applyFont="1" applyFill="1" applyBorder="1" applyAlignment="1">
      <alignment horizontal="center" vertical="center"/>
    </xf>
    <xf numFmtId="0" fontId="101" fillId="6" borderId="47" xfId="0" applyFont="1" applyFill="1" applyBorder="1" applyAlignment="1">
      <alignment horizontal="center" vertical="center"/>
    </xf>
    <xf numFmtId="0" fontId="101" fillId="6" borderId="87" xfId="0" applyFont="1" applyFill="1" applyBorder="1" applyAlignment="1">
      <alignment horizontal="center" vertical="center"/>
    </xf>
    <xf numFmtId="0" fontId="11" fillId="0" borderId="27" xfId="0" applyFont="1" applyBorder="1" applyAlignment="1">
      <alignment horizontal="center"/>
    </xf>
    <xf numFmtId="0" fontId="11" fillId="0" borderId="88" xfId="0" applyFont="1" applyBorder="1" applyAlignment="1">
      <alignment horizontal="center"/>
    </xf>
    <xf numFmtId="9" fontId="16" fillId="4" borderId="25" xfId="55" applyFont="1" applyFill="1" applyBorder="1" applyAlignment="1">
      <alignment horizontal="center" vertical="center"/>
    </xf>
    <xf numFmtId="9" fontId="16" fillId="4" borderId="64" xfId="55" applyFont="1" applyFill="1" applyBorder="1" applyAlignment="1">
      <alignment horizontal="center" vertical="center"/>
    </xf>
    <xf numFmtId="9" fontId="16" fillId="4" borderId="73" xfId="55" applyFont="1" applyFill="1" applyBorder="1" applyAlignment="1">
      <alignment horizontal="center" vertical="center"/>
    </xf>
    <xf numFmtId="9" fontId="16" fillId="7" borderId="25" xfId="55" applyFont="1" applyFill="1" applyBorder="1" applyAlignment="1">
      <alignment horizontal="center" vertical="center"/>
    </xf>
    <xf numFmtId="9" fontId="16" fillId="7" borderId="64" xfId="55" applyFont="1" applyFill="1" applyBorder="1" applyAlignment="1">
      <alignment horizontal="center" vertical="center"/>
    </xf>
    <xf numFmtId="9" fontId="101" fillId="7" borderId="25" xfId="0" applyNumberFormat="1" applyFont="1" applyFill="1" applyBorder="1" applyAlignment="1">
      <alignment horizontal="center" vertical="center"/>
    </xf>
    <xf numFmtId="9" fontId="101" fillId="7" borderId="64" xfId="0" applyNumberFormat="1" applyFont="1" applyFill="1" applyBorder="1" applyAlignment="1">
      <alignment horizontal="center" vertical="center"/>
    </xf>
    <xf numFmtId="9" fontId="101" fillId="7" borderId="38" xfId="0" applyNumberFormat="1" applyFont="1" applyFill="1" applyBorder="1" applyAlignment="1">
      <alignment horizontal="center" vertical="center"/>
    </xf>
    <xf numFmtId="9" fontId="101" fillId="7" borderId="41" xfId="0" applyNumberFormat="1" applyFont="1" applyFill="1" applyBorder="1" applyAlignment="1">
      <alignment horizontal="center" vertical="center"/>
    </xf>
    <xf numFmtId="0" fontId="85" fillId="6" borderId="89" xfId="0" applyFont="1" applyFill="1" applyBorder="1" applyAlignment="1">
      <alignment horizontal="left"/>
    </xf>
    <xf numFmtId="0" fontId="85" fillId="6" borderId="77" xfId="0" applyFont="1" applyFill="1" applyBorder="1" applyAlignment="1">
      <alignment horizontal="left"/>
    </xf>
    <xf numFmtId="0" fontId="0" fillId="0" borderId="37" xfId="0" applyFill="1" applyBorder="1" applyAlignment="1">
      <alignment horizontal="left" vertical="center" wrapText="1"/>
    </xf>
    <xf numFmtId="0" fontId="0" fillId="0" borderId="27" xfId="0"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9"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Blad1" xfId="57"/>
    <cellStyle name="Titel" xfId="58"/>
    <cellStyle name="Totaal" xfId="59"/>
    <cellStyle name="Uitvoer" xfId="60"/>
    <cellStyle name="Currency" xfId="61"/>
    <cellStyle name="Currency [0]" xfId="62"/>
    <cellStyle name="Verklarende tekst" xfId="63"/>
    <cellStyle name="Waarschuwingstekst" xfId="64"/>
  </cellStyles>
  <dxfs count="8">
    <dxf>
      <font>
        <color rgb="FFFF0000"/>
      </font>
    </dxf>
    <dxf>
      <font>
        <color rgb="FF00B050"/>
      </font>
    </dxf>
    <dxf>
      <font>
        <color rgb="FF00B050"/>
      </font>
    </dxf>
    <dxf>
      <font>
        <color rgb="FFFF0000"/>
      </font>
    </dxf>
    <dxf>
      <font>
        <color rgb="FF00B050"/>
      </font>
    </dxf>
    <dxf>
      <font>
        <color rgb="FFFF0000"/>
      </font>
    </dxf>
    <dxf>
      <font>
        <color rgb="FFFF0000"/>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L51"/>
  <sheetViews>
    <sheetView tabSelected="1" zoomScale="75" zoomScaleNormal="75" zoomScalePageLayoutView="0" workbookViewId="0" topLeftCell="A19">
      <selection activeCell="AB29" sqref="AB29:AD29"/>
    </sheetView>
  </sheetViews>
  <sheetFormatPr defaultColWidth="9.140625" defaultRowHeight="15"/>
  <cols>
    <col min="1" max="1" width="6.140625" style="313" customWidth="1"/>
    <col min="2" max="2" width="4.421875" style="79" bestFit="1" customWidth="1"/>
    <col min="3" max="3" width="25.8515625" style="79" customWidth="1"/>
    <col min="4" max="4" width="8.57421875" style="79" customWidth="1"/>
    <col min="5" max="5" width="5.8515625" style="79" customWidth="1"/>
    <col min="6" max="6" width="5.57421875" style="79" customWidth="1"/>
    <col min="7" max="7" width="7.8515625" style="79" customWidth="1"/>
    <col min="8" max="9" width="5.7109375" style="79" customWidth="1"/>
    <col min="10" max="10" width="10.7109375" style="79" customWidth="1"/>
    <col min="11" max="11" width="8.00390625" style="79" hidden="1" customWidth="1"/>
    <col min="12" max="12" width="8.57421875" style="79" hidden="1" customWidth="1"/>
    <col min="13" max="13" width="6.57421875" style="79" hidden="1" customWidth="1"/>
    <col min="14" max="14" width="11.00390625" style="79" hidden="1" customWidth="1"/>
    <col min="15" max="15" width="5.28125" style="79" hidden="1" customWidth="1"/>
    <col min="16" max="16" width="0.13671875" style="79" customWidth="1"/>
    <col min="17" max="17" width="9.7109375" style="79" bestFit="1" customWidth="1"/>
    <col min="18" max="18" width="7.421875" style="79" customWidth="1"/>
    <col min="19" max="19" width="7.421875" style="79" hidden="1" customWidth="1"/>
    <col min="20" max="20" width="7.421875" style="79" customWidth="1"/>
    <col min="21" max="21" width="24.7109375" style="79" bestFit="1" customWidth="1"/>
    <col min="22" max="22" width="17.421875" style="79" customWidth="1"/>
    <col min="23" max="23" width="7.28125" style="79" customWidth="1"/>
    <col min="24" max="24" width="11.8515625" style="79" customWidth="1"/>
    <col min="25" max="25" width="4.8515625" style="79" customWidth="1"/>
    <col min="26" max="26" width="9.57421875" style="79" customWidth="1"/>
    <col min="27" max="27" width="5.8515625" style="79" customWidth="1"/>
    <col min="28" max="28" width="6.140625" style="79" customWidth="1"/>
    <col min="29" max="29" width="4.421875" style="313" bestFit="1" customWidth="1"/>
    <col min="30" max="30" width="4.28125" style="79" customWidth="1"/>
    <col min="31" max="31" width="4.57421875" style="79" bestFit="1" customWidth="1"/>
    <col min="32" max="32" width="7.7109375" style="79" customWidth="1"/>
    <col min="33" max="33" width="6.8515625" style="79" customWidth="1"/>
    <col min="34" max="34" width="14.28125" style="79" customWidth="1"/>
    <col min="35" max="35" width="21.8515625" style="314" hidden="1" customWidth="1"/>
    <col min="36" max="44" width="11.57421875" style="314" hidden="1" customWidth="1"/>
    <col min="45" max="46" width="14.28125" style="314" hidden="1" customWidth="1"/>
    <col min="47" max="47" width="14.8515625" style="314" hidden="1" customWidth="1"/>
    <col min="48" max="49" width="15.8515625" style="314" hidden="1" customWidth="1"/>
    <col min="50" max="50" width="12.421875" style="314" hidden="1" customWidth="1"/>
    <col min="51" max="61" width="11.57421875" style="314" hidden="1" customWidth="1"/>
    <col min="62" max="62" width="22.00390625" style="79" customWidth="1"/>
    <col min="63" max="63" width="51.57421875" style="79" customWidth="1"/>
    <col min="64" max="64" width="14.57421875" style="79" customWidth="1"/>
    <col min="65" max="16384" width="9.140625" style="79" customWidth="1"/>
  </cols>
  <sheetData>
    <row r="1" spans="1:62" ht="24.75" customHeight="1" thickBot="1">
      <c r="A1" s="527" t="s">
        <v>543</v>
      </c>
      <c r="B1" s="528"/>
      <c r="C1" s="528"/>
      <c r="D1" s="529" t="s">
        <v>1436</v>
      </c>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71"/>
      <c r="AJ1" s="72"/>
      <c r="AK1" s="73"/>
      <c r="AL1" s="73"/>
      <c r="AM1" s="74"/>
      <c r="AN1" s="75"/>
      <c r="AO1" s="73"/>
      <c r="AP1" s="75"/>
      <c r="AQ1" s="75"/>
      <c r="AR1" s="73"/>
      <c r="AS1" s="76"/>
      <c r="AT1" s="76"/>
      <c r="AU1" s="77"/>
      <c r="AV1" s="78"/>
      <c r="AW1" s="76"/>
      <c r="AX1" s="76"/>
      <c r="AY1" s="74"/>
      <c r="AZ1" s="75"/>
      <c r="BA1" s="73"/>
      <c r="BB1" s="75"/>
      <c r="BC1" s="75"/>
      <c r="BD1" s="73"/>
      <c r="BE1" s="73"/>
      <c r="BF1" s="73"/>
      <c r="BG1" s="73"/>
      <c r="BH1" s="73"/>
      <c r="BI1" s="73"/>
      <c r="BJ1" s="324" t="s">
        <v>1509</v>
      </c>
    </row>
    <row r="2" spans="1:62" s="100" customFormat="1" ht="159" customHeight="1" thickBot="1">
      <c r="A2" s="80" t="s">
        <v>452</v>
      </c>
      <c r="B2" s="80" t="s">
        <v>591</v>
      </c>
      <c r="C2" s="81" t="s">
        <v>0</v>
      </c>
      <c r="D2" s="428" t="s">
        <v>1505</v>
      </c>
      <c r="E2" s="82" t="s">
        <v>1</v>
      </c>
      <c r="F2" s="82" t="s">
        <v>2</v>
      </c>
      <c r="G2" s="82" t="s">
        <v>3</v>
      </c>
      <c r="H2" s="82" t="s">
        <v>4</v>
      </c>
      <c r="I2" s="82" t="s">
        <v>5</v>
      </c>
      <c r="J2" s="82" t="s">
        <v>6</v>
      </c>
      <c r="K2" s="83" t="s">
        <v>7</v>
      </c>
      <c r="L2" s="83" t="s">
        <v>8</v>
      </c>
      <c r="M2" s="83" t="s">
        <v>605</v>
      </c>
      <c r="N2" s="83" t="s">
        <v>9</v>
      </c>
      <c r="O2" s="83" t="s">
        <v>10</v>
      </c>
      <c r="P2" s="83" t="s">
        <v>11</v>
      </c>
      <c r="Q2" s="82" t="s">
        <v>12</v>
      </c>
      <c r="R2" s="82" t="s">
        <v>684</v>
      </c>
      <c r="S2" s="83" t="s">
        <v>13</v>
      </c>
      <c r="T2" s="82" t="s">
        <v>14</v>
      </c>
      <c r="U2" s="84" t="s">
        <v>685</v>
      </c>
      <c r="V2" s="82" t="s">
        <v>16</v>
      </c>
      <c r="W2" s="82" t="s">
        <v>632</v>
      </c>
      <c r="X2" s="82" t="s">
        <v>15</v>
      </c>
      <c r="Y2" s="428" t="s">
        <v>1470</v>
      </c>
      <c r="Z2" s="428" t="s">
        <v>1469</v>
      </c>
      <c r="AA2" s="82" t="s">
        <v>131</v>
      </c>
      <c r="AB2" s="82" t="s">
        <v>469</v>
      </c>
      <c r="AC2" s="82" t="s">
        <v>130</v>
      </c>
      <c r="AD2" s="82" t="s">
        <v>598</v>
      </c>
      <c r="AE2" s="82" t="s">
        <v>17</v>
      </c>
      <c r="AF2" s="82" t="s">
        <v>443</v>
      </c>
      <c r="AG2" s="82" t="s">
        <v>18</v>
      </c>
      <c r="AH2" s="85" t="s">
        <v>19</v>
      </c>
      <c r="AI2" s="86" t="s">
        <v>20</v>
      </c>
      <c r="AJ2" s="87" t="s">
        <v>548</v>
      </c>
      <c r="AK2" s="88" t="s">
        <v>549</v>
      </c>
      <c r="AL2" s="89" t="s">
        <v>555</v>
      </c>
      <c r="AM2" s="87" t="s">
        <v>556</v>
      </c>
      <c r="AN2" s="88" t="s">
        <v>557</v>
      </c>
      <c r="AO2" s="89" t="s">
        <v>558</v>
      </c>
      <c r="AP2" s="90" t="s">
        <v>559</v>
      </c>
      <c r="AQ2" s="88" t="s">
        <v>560</v>
      </c>
      <c r="AR2" s="89" t="s">
        <v>561</v>
      </c>
      <c r="AS2" s="91" t="s">
        <v>579</v>
      </c>
      <c r="AT2" s="91" t="s">
        <v>580</v>
      </c>
      <c r="AU2" s="92" t="s">
        <v>581</v>
      </c>
      <c r="AV2" s="93" t="s">
        <v>546</v>
      </c>
      <c r="AW2" s="91" t="s">
        <v>545</v>
      </c>
      <c r="AX2" s="91" t="s">
        <v>547</v>
      </c>
      <c r="AY2" s="94" t="s">
        <v>634</v>
      </c>
      <c r="AZ2" s="95" t="s">
        <v>635</v>
      </c>
      <c r="BA2" s="96" t="s">
        <v>636</v>
      </c>
      <c r="BB2" s="97" t="s">
        <v>567</v>
      </c>
      <c r="BC2" s="95" t="s">
        <v>568</v>
      </c>
      <c r="BD2" s="96" t="s">
        <v>569</v>
      </c>
      <c r="BE2" s="98" t="s">
        <v>679</v>
      </c>
      <c r="BF2" s="98" t="s">
        <v>680</v>
      </c>
      <c r="BG2" s="98" t="s">
        <v>681</v>
      </c>
      <c r="BH2" s="98" t="s">
        <v>682</v>
      </c>
      <c r="BI2" s="98" t="s">
        <v>683</v>
      </c>
      <c r="BJ2" s="99" t="s">
        <v>21</v>
      </c>
    </row>
    <row r="3" spans="1:62" ht="17.25" customHeight="1" thickBot="1">
      <c r="A3" s="101"/>
      <c r="B3" s="102"/>
      <c r="C3" s="103" t="s">
        <v>592</v>
      </c>
      <c r="D3" s="521" t="s">
        <v>544</v>
      </c>
      <c r="E3" s="521"/>
      <c r="F3" s="521"/>
      <c r="G3" s="521"/>
      <c r="H3" s="521"/>
      <c r="I3" s="521"/>
      <c r="J3" s="521"/>
      <c r="K3" s="104"/>
      <c r="L3" s="104"/>
      <c r="M3" s="104"/>
      <c r="N3" s="104"/>
      <c r="O3" s="104"/>
      <c r="P3" s="104"/>
      <c r="Q3" s="102"/>
      <c r="R3" s="102"/>
      <c r="S3" s="104"/>
      <c r="T3" s="102"/>
      <c r="U3" s="102"/>
      <c r="V3" s="102"/>
      <c r="W3" s="102"/>
      <c r="X3" s="102"/>
      <c r="Y3" s="102"/>
      <c r="Z3" s="102"/>
      <c r="AA3" s="102"/>
      <c r="AB3" s="102"/>
      <c r="AC3" s="102"/>
      <c r="AD3" s="102"/>
      <c r="AE3" s="102"/>
      <c r="AF3" s="102"/>
      <c r="AG3" s="102"/>
      <c r="AH3" s="102"/>
      <c r="AI3" s="105"/>
      <c r="AJ3" s="106"/>
      <c r="AK3" s="107"/>
      <c r="AL3" s="108"/>
      <c r="AM3" s="106"/>
      <c r="AN3" s="107"/>
      <c r="AO3" s="108"/>
      <c r="AP3" s="107"/>
      <c r="AQ3" s="107"/>
      <c r="AR3" s="107"/>
      <c r="AS3" s="107"/>
      <c r="AT3" s="107"/>
      <c r="AU3" s="107"/>
      <c r="AV3" s="106"/>
      <c r="AW3" s="107"/>
      <c r="AX3" s="108"/>
      <c r="AY3" s="109"/>
      <c r="AZ3" s="110"/>
      <c r="BA3" s="111"/>
      <c r="BB3" s="110"/>
      <c r="BC3" s="110"/>
      <c r="BD3" s="111"/>
      <c r="BE3" s="111"/>
      <c r="BF3" s="111"/>
      <c r="BG3" s="111"/>
      <c r="BH3" s="111"/>
      <c r="BI3" s="111"/>
      <c r="BJ3" s="112"/>
    </row>
    <row r="4" spans="1:64" ht="19.5" customHeight="1">
      <c r="A4" s="113" t="s">
        <v>450</v>
      </c>
      <c r="B4" s="114" t="s">
        <v>453</v>
      </c>
      <c r="C4" s="115" t="s">
        <v>1472</v>
      </c>
      <c r="D4" s="116" t="s">
        <v>26</v>
      </c>
      <c r="E4" s="116">
        <v>3</v>
      </c>
      <c r="F4" s="116">
        <v>6</v>
      </c>
      <c r="G4" s="117">
        <v>10</v>
      </c>
      <c r="H4" s="118">
        <v>0</v>
      </c>
      <c r="I4" s="119">
        <v>5.5</v>
      </c>
      <c r="J4" s="120">
        <v>115</v>
      </c>
      <c r="K4" s="121">
        <f aca="true" t="shared" si="0" ref="K4:K10">V4*T4*G4*AF4</f>
        <v>57500</v>
      </c>
      <c r="L4" s="122">
        <f aca="true" t="shared" si="1" ref="L4:L10">I4*G4</f>
        <v>55</v>
      </c>
      <c r="M4" s="122">
        <f>IF(D4="A",(4+F4*1),IF(D4="E",(6+F4*1),IF(D4="K",(6+F4*1),0)))</f>
        <v>12</v>
      </c>
      <c r="N4" s="488">
        <f>IF(F4=0,0,(VLOOKUP(E4,'Basis-maxima'!$A$1:'Basis-maxima'!$P$10,HLOOKUP(F4,Code!$A$1:Code!$O$2,2))))</f>
        <v>110</v>
      </c>
      <c r="O4" s="123">
        <f aca="true" t="shared" si="2" ref="O4:O10">N4*AE4</f>
        <v>110</v>
      </c>
      <c r="P4" s="124">
        <f aca="true" t="shared" si="3" ref="P4:P10">J4*G4</f>
        <v>1150</v>
      </c>
      <c r="Q4" s="125">
        <f aca="true" t="shared" si="4" ref="Q4:Q10">IF(R4=0,0,J4/R4)</f>
        <v>0.9956709956709957</v>
      </c>
      <c r="R4" s="126">
        <f aca="true" t="shared" si="5" ref="R4:R10">IF(I4&gt;M4,AE4*(M4+N4+H4),AE4*(H4+I4+N4))</f>
        <v>115.5</v>
      </c>
      <c r="S4" s="123">
        <f aca="true" t="shared" si="6" ref="S4:S10">R4*G4</f>
        <v>1155</v>
      </c>
      <c r="T4" s="127">
        <f aca="true" t="shared" si="7" ref="T4:T10">IF(J4&gt;R4,R4,J4)</f>
        <v>115</v>
      </c>
      <c r="U4" s="128" t="s">
        <v>1478</v>
      </c>
      <c r="V4" s="129">
        <v>50</v>
      </c>
      <c r="W4" s="137">
        <f aca="true" t="shared" si="8" ref="W4:W10">IF(T4=0,0,IF(T4&gt;R4,0,IF((0.03*(R4-T4)/(0.1*R4))&gt;0.03,0.03,0.03*(R4-T4)/(0.1*R4))))</f>
        <v>0.0012987012987012985</v>
      </c>
      <c r="X4" s="138">
        <f>LOOKUP(T4,'Prijzentabel €'!A:A,'Prijzentabel €'!B:B)*(1+W4)+V4</f>
        <v>1386.7337662337663</v>
      </c>
      <c r="Y4" s="432" t="s">
        <v>444</v>
      </c>
      <c r="Z4" s="131">
        <f>IF(Y4="G",'Prijsnormen €'!$B$15,IF(Y4="C",'Prijsnormen €'!$B$16,IF(Y4=1,'Prijsnormen €'!$B$15,IF(Y4="O",'Prijsnormen €'!$B$18,IF(Y4="B",'Prijsnormen €'!$B$17,0)))))</f>
        <v>16000</v>
      </c>
      <c r="AA4" s="132">
        <f>IF(A4=0,0,LOOKUP(A4,SoortWerk,Codetabel!F$2:F$7))</f>
        <v>1</v>
      </c>
      <c r="AB4" s="133">
        <f>LOOKUP($W$37,LijstGemeenten!C:C,LijstGemeenten!E:E)</f>
        <v>0</v>
      </c>
      <c r="AC4" s="134"/>
      <c r="AD4" s="135"/>
      <c r="AE4" s="136">
        <f aca="true" t="shared" si="9" ref="AE4:AE10">IF(AD4=0,1,1.1)</f>
        <v>1</v>
      </c>
      <c r="AF4" s="137">
        <f aca="true" t="shared" si="10" ref="AF4:AF10">AA4*(1+AB4+AC4+AD4)</f>
        <v>1</v>
      </c>
      <c r="AG4" s="137">
        <f aca="true" t="shared" si="11" ref="AG4:AG10">$AG$29</f>
        <v>1.149</v>
      </c>
      <c r="AH4" s="138">
        <f aca="true" t="shared" si="12" ref="AH4:AH10">(T4*X4+Z4)*AF4*AG4</f>
        <v>201620.06620129873</v>
      </c>
      <c r="AI4" s="139">
        <f aca="true" t="shared" si="13" ref="AI4:AI10">(AH4-(Z4*AG4*AF4))*G4</f>
        <v>1832360.6620129873</v>
      </c>
      <c r="AJ4" s="140">
        <f aca="true" t="shared" si="14" ref="AJ4:AJ10">IF($B4="H",$G4,0)</f>
        <v>0</v>
      </c>
      <c r="AK4" s="141">
        <f aca="true" t="shared" si="15" ref="AK4:AK10">IF($B4="K",$G4,0)</f>
        <v>10</v>
      </c>
      <c r="AL4" s="142">
        <f aca="true" t="shared" si="16" ref="AL4:AL10">IF($B4="A",$G4,0)</f>
        <v>0</v>
      </c>
      <c r="AM4" s="140">
        <f aca="true" t="shared" si="17" ref="AM4:AM10">IF($B4="H",$J4*$G4,0)</f>
        <v>0</v>
      </c>
      <c r="AN4" s="141">
        <f aca="true" t="shared" si="18" ref="AN4:AN10">IF($B4="K",$J4*$G4,0)</f>
        <v>1150</v>
      </c>
      <c r="AO4" s="142">
        <f aca="true" t="shared" si="19" ref="AO4:AO10">IF($B4="A",$J4*$G4,0)</f>
        <v>0</v>
      </c>
      <c r="AP4" s="143">
        <f aca="true" t="shared" si="20" ref="AP4:AP10">IF($B4="H",$R4*$G4,0)</f>
        <v>0</v>
      </c>
      <c r="AQ4" s="141">
        <f aca="true" t="shared" si="21" ref="AQ4:AQ10">IF($B4="K",$R4*$G4,0)</f>
        <v>1155</v>
      </c>
      <c r="AR4" s="142">
        <f aca="true" t="shared" si="22" ref="AR4:AR10">IF($B4="A",$R4*$G4,0)</f>
        <v>0</v>
      </c>
      <c r="AS4" s="144">
        <f aca="true" t="shared" si="23" ref="AS4:AS10">IF($B4="H",$AI4,0)</f>
        <v>0</v>
      </c>
      <c r="AT4" s="145">
        <f aca="true" t="shared" si="24" ref="AT4:AT10">IF($B4="K",$AI4,0)</f>
        <v>1832360.6620129873</v>
      </c>
      <c r="AU4" s="146">
        <f aca="true" t="shared" si="25" ref="AU4:AU10">IF($B4="A",$AI4,0)</f>
        <v>0</v>
      </c>
      <c r="AV4" s="144">
        <f aca="true" t="shared" si="26" ref="AV4:AV10">IF($B4="H",$BJ4,0)</f>
        <v>0</v>
      </c>
      <c r="AW4" s="145">
        <f aca="true" t="shared" si="27" ref="AW4:AW10">IF($B4="K",$BJ4,0)</f>
        <v>2016200.6620129873</v>
      </c>
      <c r="AX4" s="147">
        <f aca="true" t="shared" si="28" ref="AX4:AX10">IF($B4="A",$BJ4,0)</f>
        <v>0</v>
      </c>
      <c r="AY4" s="148">
        <f aca="true" t="shared" si="29" ref="AY4:AY10">IF($B4="H",($X4-$V4)/(1+$W4)*$W4*$T4*$G4,0)</f>
        <v>0</v>
      </c>
      <c r="AZ4" s="149">
        <f aca="true" t="shared" si="30" ref="AZ4:AZ10">IF($B4="K",($X4-$V4)/(1+$W4)*$W4*$T4*$G4,0)</f>
        <v>1993.8311688311683</v>
      </c>
      <c r="BA4" s="150">
        <f aca="true" t="shared" si="31" ref="BA4:BA10">IF($B4="A",($X4-$V4)/(1+$W4)*$W4*$T4*$G4,0)</f>
        <v>0</v>
      </c>
      <c r="BB4" s="149">
        <f aca="true" t="shared" si="32" ref="BB4:BB10">IF($B4="H",$K4,0)</f>
        <v>0</v>
      </c>
      <c r="BC4" s="149">
        <f aca="true" t="shared" si="33" ref="BC4:BC10">IF($B4="K",$K4,0)</f>
        <v>57500</v>
      </c>
      <c r="BD4" s="150">
        <f aca="true" t="shared" si="34" ref="BD4:BD10">IF($B4="A",$K4,0)</f>
        <v>0</v>
      </c>
      <c r="BE4" s="151">
        <f>J4*G4*AA4*'Prijsnormen €'!$B$49*AG4</f>
        <v>330337.5</v>
      </c>
      <c r="BF4" s="151">
        <f>IF(BE$29&gt;(500*'Prijsnormen €'!$B$49*$AG$29),BE4/BE$29*(500*'Prijsnormen €'!$B$49*$AG$29),BE4)</f>
        <v>79499.7834039276</v>
      </c>
      <c r="BG4" s="151">
        <f aca="true" t="shared" si="35" ref="BG4:BG10">IF($B4="H",$BF4,0)</f>
        <v>0</v>
      </c>
      <c r="BH4" s="151">
        <f aca="true" t="shared" si="36" ref="BH4:BH10">IF($B4="K",$BF4,0)</f>
        <v>79499.7834039276</v>
      </c>
      <c r="BI4" s="151">
        <f aca="true" t="shared" si="37" ref="BI4:BI10">IF($B4="A",$BF4,0)</f>
        <v>0</v>
      </c>
      <c r="BJ4" s="152">
        <f aca="true" t="shared" si="38" ref="BJ4:BJ10">G4*AH4</f>
        <v>2016200.6620129873</v>
      </c>
      <c r="BL4" s="153"/>
    </row>
    <row r="5" spans="1:64" ht="19.5" customHeight="1">
      <c r="A5" s="113" t="s">
        <v>450</v>
      </c>
      <c r="B5" s="114" t="s">
        <v>129</v>
      </c>
      <c r="C5" s="115" t="s">
        <v>1500</v>
      </c>
      <c r="D5" s="116" t="s">
        <v>453</v>
      </c>
      <c r="E5" s="116">
        <v>6</v>
      </c>
      <c r="F5" s="116">
        <v>6</v>
      </c>
      <c r="G5" s="117">
        <v>1</v>
      </c>
      <c r="H5" s="118">
        <v>0</v>
      </c>
      <c r="I5" s="119">
        <v>10</v>
      </c>
      <c r="J5" s="120">
        <v>158</v>
      </c>
      <c r="K5" s="121">
        <f t="shared" si="0"/>
        <v>7900</v>
      </c>
      <c r="L5" s="122">
        <f>I5*G5</f>
        <v>10</v>
      </c>
      <c r="M5" s="122">
        <f aca="true" t="shared" si="39" ref="M5:M10">IF(D5="A",(4+F5*1),IF(D5="E",(6+F5*1),IF(D5="K",(6+F5*1),0)))</f>
        <v>12</v>
      </c>
      <c r="N5" s="488">
        <f>IF(F5=0,0,(VLOOKUP(E5,'Basis-maxima'!$A$1:'Basis-maxima'!$P$10,HLOOKUP(F5,Code!$A$1:Code!$O$2,2))))</f>
        <v>150</v>
      </c>
      <c r="O5" s="123">
        <f t="shared" si="2"/>
        <v>150</v>
      </c>
      <c r="P5" s="124">
        <f>J5*G5</f>
        <v>158</v>
      </c>
      <c r="Q5" s="125">
        <f>IF(R5=0,0,J5/R5)</f>
        <v>0.9875</v>
      </c>
      <c r="R5" s="126">
        <f t="shared" si="5"/>
        <v>160</v>
      </c>
      <c r="S5" s="123">
        <f>R5*G5</f>
        <v>160</v>
      </c>
      <c r="T5" s="127">
        <f>IF(J5&gt;R5,R5,J5)</f>
        <v>158</v>
      </c>
      <c r="U5" s="128" t="s">
        <v>1478</v>
      </c>
      <c r="V5" s="129">
        <v>50</v>
      </c>
      <c r="W5" s="137">
        <f t="shared" si="8"/>
        <v>0.00375</v>
      </c>
      <c r="X5" s="138">
        <f>LOOKUP(T5,'Prijzentabel €'!A:A,'Prijzentabel €'!B:B)*(1+W5)+V5</f>
        <v>1274.5749999999998</v>
      </c>
      <c r="Y5" s="432"/>
      <c r="Z5" s="131">
        <f>IF(Y5="G",'Prijsnormen €'!$B$15,IF(Y5="C",'Prijsnormen €'!$B$16,IF(Y5=1,'Prijsnormen €'!$B$15,IF(Y5="O",'Prijsnormen €'!$B$18,IF(Y5="B",'Prijsnormen €'!$B$17,0)))))</f>
        <v>0</v>
      </c>
      <c r="AA5" s="132">
        <f>IF(A5=0,0,LOOKUP(A5,SoortWerk,Codetabel!F$2:F$7))</f>
        <v>1</v>
      </c>
      <c r="AB5" s="133">
        <f>LOOKUP($W$37,LijstGemeenten!C:C,LijstGemeenten!E:E)</f>
        <v>0</v>
      </c>
      <c r="AC5" s="134"/>
      <c r="AD5" s="135"/>
      <c r="AE5" s="136">
        <f>IF(AD5=0,1,1.1)</f>
        <v>1</v>
      </c>
      <c r="AF5" s="137">
        <f>AA5*(1+AB5+AC5+AD5)</f>
        <v>1</v>
      </c>
      <c r="AG5" s="137">
        <f t="shared" si="11"/>
        <v>1.149</v>
      </c>
      <c r="AH5" s="138">
        <f t="shared" si="12"/>
        <v>231388.89464999997</v>
      </c>
      <c r="AI5" s="139">
        <f t="shared" si="13"/>
        <v>231388.89464999997</v>
      </c>
      <c r="AJ5" s="140">
        <f t="shared" si="14"/>
        <v>1</v>
      </c>
      <c r="AK5" s="141">
        <f t="shared" si="15"/>
        <v>0</v>
      </c>
      <c r="AL5" s="142">
        <f t="shared" si="16"/>
        <v>0</v>
      </c>
      <c r="AM5" s="140">
        <f t="shared" si="17"/>
        <v>158</v>
      </c>
      <c r="AN5" s="141">
        <f t="shared" si="18"/>
        <v>0</v>
      </c>
      <c r="AO5" s="142">
        <f t="shared" si="19"/>
        <v>0</v>
      </c>
      <c r="AP5" s="143">
        <f t="shared" si="20"/>
        <v>160</v>
      </c>
      <c r="AQ5" s="141">
        <f t="shared" si="21"/>
        <v>0</v>
      </c>
      <c r="AR5" s="142">
        <f t="shared" si="22"/>
        <v>0</v>
      </c>
      <c r="AS5" s="144">
        <f t="shared" si="23"/>
        <v>231388.89464999997</v>
      </c>
      <c r="AT5" s="145">
        <f t="shared" si="24"/>
        <v>0</v>
      </c>
      <c r="AU5" s="146">
        <f t="shared" si="25"/>
        <v>0</v>
      </c>
      <c r="AV5" s="144">
        <f t="shared" si="26"/>
        <v>231388.89464999997</v>
      </c>
      <c r="AW5" s="145">
        <f t="shared" si="27"/>
        <v>0</v>
      </c>
      <c r="AX5" s="147">
        <f t="shared" si="28"/>
        <v>0</v>
      </c>
      <c r="AY5" s="148">
        <f t="shared" si="29"/>
        <v>722.85</v>
      </c>
      <c r="AZ5" s="149">
        <f t="shared" si="30"/>
        <v>0</v>
      </c>
      <c r="BA5" s="150">
        <f t="shared" si="31"/>
        <v>0</v>
      </c>
      <c r="BB5" s="149">
        <f t="shared" si="32"/>
        <v>7900</v>
      </c>
      <c r="BC5" s="149">
        <f t="shared" si="33"/>
        <v>0</v>
      </c>
      <c r="BD5" s="150">
        <f t="shared" si="34"/>
        <v>0</v>
      </c>
      <c r="BE5" s="151">
        <f>J5*G5*AA5*'Prijsnormen €'!$B$49*AG5</f>
        <v>45385.5</v>
      </c>
      <c r="BF5" s="151">
        <f>IF(BE$29&gt;(500*'Prijsnormen €'!$B$49*$AG$29),BE5/BE$29*(500*'Prijsnormen €'!$B$49*$AG$29),BE5)</f>
        <v>10922.57893723527</v>
      </c>
      <c r="BG5" s="151">
        <f t="shared" si="35"/>
        <v>10922.57893723527</v>
      </c>
      <c r="BH5" s="151">
        <f t="shared" si="36"/>
        <v>0</v>
      </c>
      <c r="BI5" s="151">
        <f t="shared" si="37"/>
        <v>0</v>
      </c>
      <c r="BJ5" s="152">
        <f t="shared" si="38"/>
        <v>231388.89464999997</v>
      </c>
      <c r="BL5" s="153"/>
    </row>
    <row r="6" spans="1:64" ht="19.5" customHeight="1">
      <c r="A6" s="113" t="s">
        <v>613</v>
      </c>
      <c r="B6" s="114" t="s">
        <v>129</v>
      </c>
      <c r="C6" s="115" t="s">
        <v>1473</v>
      </c>
      <c r="D6" s="116" t="s">
        <v>26</v>
      </c>
      <c r="E6" s="116">
        <v>3</v>
      </c>
      <c r="F6" s="116">
        <v>5</v>
      </c>
      <c r="G6" s="117">
        <v>1</v>
      </c>
      <c r="H6" s="118">
        <v>6</v>
      </c>
      <c r="I6" s="119">
        <v>4.2</v>
      </c>
      <c r="J6" s="120">
        <v>104</v>
      </c>
      <c r="K6" s="121">
        <f t="shared" si="0"/>
        <v>0</v>
      </c>
      <c r="L6" s="122">
        <f t="shared" si="1"/>
        <v>4.2</v>
      </c>
      <c r="M6" s="122">
        <f t="shared" si="39"/>
        <v>11</v>
      </c>
      <c r="N6" s="488">
        <f>IF(F6=0,0,(VLOOKUP(E6,'Basis-maxima'!$A$1:'Basis-maxima'!$P$10,HLOOKUP(F6,Code!$A$1:Code!$O$2,2))))</f>
        <v>100</v>
      </c>
      <c r="O6" s="123">
        <f t="shared" si="2"/>
        <v>100</v>
      </c>
      <c r="P6" s="124">
        <f t="shared" si="3"/>
        <v>104</v>
      </c>
      <c r="Q6" s="125">
        <f t="shared" si="4"/>
        <v>0.9437386569872958</v>
      </c>
      <c r="R6" s="126">
        <f t="shared" si="5"/>
        <v>110.2</v>
      </c>
      <c r="S6" s="123">
        <f t="shared" si="6"/>
        <v>110.2</v>
      </c>
      <c r="T6" s="127">
        <f t="shared" si="7"/>
        <v>104</v>
      </c>
      <c r="U6" s="128"/>
      <c r="V6" s="129"/>
      <c r="W6" s="137">
        <f t="shared" si="8"/>
        <v>0.01687840290381126</v>
      </c>
      <c r="X6" s="138">
        <f>LOOKUP(T6,'Prijzentabel €'!A:A,'Prijzentabel €'!B:B)*(1+W6)+V6</f>
        <v>1417.5284936479127</v>
      </c>
      <c r="Y6" s="432" t="s">
        <v>444</v>
      </c>
      <c r="Z6" s="131">
        <f>IF(Y6="G",'Prijsnormen €'!$B$15,IF(Y6="C",'Prijsnormen €'!$B$16,IF(Y6=1,'Prijsnormen €'!$B$15,IF(Y6="O",'Prijsnormen €'!$B$18,IF(Y6="B",'Prijsnormen €'!$B$17,0)))))</f>
        <v>16000</v>
      </c>
      <c r="AA6" s="132">
        <f>IF(A6=0,0,LOOKUP(A6,SoortWerk,Codetabel!F$2:F$7))</f>
        <v>0.8500000000000001</v>
      </c>
      <c r="AB6" s="133">
        <f>LOOKUP($W$37,LijstGemeenten!C:C,LijstGemeenten!E:E)</f>
        <v>0</v>
      </c>
      <c r="AC6" s="134"/>
      <c r="AD6" s="135"/>
      <c r="AE6" s="136">
        <f t="shared" si="9"/>
        <v>1</v>
      </c>
      <c r="AF6" s="137">
        <f t="shared" si="10"/>
        <v>0.8500000000000001</v>
      </c>
      <c r="AG6" s="137">
        <f t="shared" si="11"/>
        <v>1.149</v>
      </c>
      <c r="AH6" s="138">
        <f t="shared" si="12"/>
        <v>159607.03714540837</v>
      </c>
      <c r="AI6" s="139">
        <f t="shared" si="13"/>
        <v>143980.63714540837</v>
      </c>
      <c r="AJ6" s="140">
        <f t="shared" si="14"/>
        <v>1</v>
      </c>
      <c r="AK6" s="141">
        <f t="shared" si="15"/>
        <v>0</v>
      </c>
      <c r="AL6" s="142">
        <f t="shared" si="16"/>
        <v>0</v>
      </c>
      <c r="AM6" s="140">
        <f t="shared" si="17"/>
        <v>104</v>
      </c>
      <c r="AN6" s="141">
        <f t="shared" si="18"/>
        <v>0</v>
      </c>
      <c r="AO6" s="142">
        <f t="shared" si="19"/>
        <v>0</v>
      </c>
      <c r="AP6" s="143">
        <f t="shared" si="20"/>
        <v>110.2</v>
      </c>
      <c r="AQ6" s="141">
        <f t="shared" si="21"/>
        <v>0</v>
      </c>
      <c r="AR6" s="142">
        <f t="shared" si="22"/>
        <v>0</v>
      </c>
      <c r="AS6" s="144">
        <f t="shared" si="23"/>
        <v>143980.63714540837</v>
      </c>
      <c r="AT6" s="145">
        <f t="shared" si="24"/>
        <v>0</v>
      </c>
      <c r="AU6" s="146">
        <f t="shared" si="25"/>
        <v>0</v>
      </c>
      <c r="AV6" s="144">
        <f t="shared" si="26"/>
        <v>159607.03714540837</v>
      </c>
      <c r="AW6" s="145">
        <f t="shared" si="27"/>
        <v>0</v>
      </c>
      <c r="AX6" s="147">
        <f t="shared" si="28"/>
        <v>0</v>
      </c>
      <c r="AY6" s="148">
        <f t="shared" si="29"/>
        <v>2446.9633393829413</v>
      </c>
      <c r="AZ6" s="149">
        <f t="shared" si="30"/>
        <v>0</v>
      </c>
      <c r="BA6" s="150">
        <f t="shared" si="31"/>
        <v>0</v>
      </c>
      <c r="BB6" s="149">
        <f t="shared" si="32"/>
        <v>0</v>
      </c>
      <c r="BC6" s="149">
        <f t="shared" si="33"/>
        <v>0</v>
      </c>
      <c r="BD6" s="150">
        <f t="shared" si="34"/>
        <v>0</v>
      </c>
      <c r="BE6" s="151">
        <f>J6*G6*AA6*'Prijsnormen €'!$B$49*AG6</f>
        <v>25392.9</v>
      </c>
      <c r="BF6" s="151">
        <f>IF(BE$29&gt;(500*'Prijsnormen €'!$B$49*$AG$29),BE6/BE$29*(500*'Prijsnormen €'!$B$49*$AG$29),BE6)</f>
        <v>6111.113785136696</v>
      </c>
      <c r="BG6" s="151">
        <f t="shared" si="35"/>
        <v>6111.113785136696</v>
      </c>
      <c r="BH6" s="151">
        <f t="shared" si="36"/>
        <v>0</v>
      </c>
      <c r="BI6" s="151">
        <f t="shared" si="37"/>
        <v>0</v>
      </c>
      <c r="BJ6" s="152">
        <f t="shared" si="38"/>
        <v>159607.03714540837</v>
      </c>
      <c r="BL6" s="153"/>
    </row>
    <row r="7" spans="1:64" ht="19.5" customHeight="1">
      <c r="A7" s="113" t="s">
        <v>613</v>
      </c>
      <c r="B7" s="114" t="s">
        <v>129</v>
      </c>
      <c r="C7" s="115" t="s">
        <v>1474</v>
      </c>
      <c r="D7" s="116" t="s">
        <v>26</v>
      </c>
      <c r="E7" s="116">
        <v>2</v>
      </c>
      <c r="F7" s="116">
        <v>4</v>
      </c>
      <c r="G7" s="117">
        <v>1</v>
      </c>
      <c r="H7" s="118">
        <v>6</v>
      </c>
      <c r="I7" s="119">
        <v>8.7</v>
      </c>
      <c r="J7" s="120">
        <v>92</v>
      </c>
      <c r="K7" s="121">
        <f t="shared" si="0"/>
        <v>0</v>
      </c>
      <c r="L7" s="122">
        <f t="shared" si="1"/>
        <v>8.7</v>
      </c>
      <c r="M7" s="122">
        <f t="shared" si="39"/>
        <v>10</v>
      </c>
      <c r="N7" s="488">
        <f>IF(F7=0,0,(VLOOKUP(E7,'Basis-maxima'!$A$1:'Basis-maxima'!$P$10,HLOOKUP(F7,Code!$A$1:Code!$O$2,2))))</f>
        <v>84</v>
      </c>
      <c r="O7" s="123">
        <f t="shared" si="2"/>
        <v>84</v>
      </c>
      <c r="P7" s="124">
        <f t="shared" si="3"/>
        <v>92</v>
      </c>
      <c r="Q7" s="125">
        <f t="shared" si="4"/>
        <v>0.9321175278622087</v>
      </c>
      <c r="R7" s="126">
        <f t="shared" si="5"/>
        <v>98.7</v>
      </c>
      <c r="S7" s="123">
        <f t="shared" si="6"/>
        <v>98.7</v>
      </c>
      <c r="T7" s="127">
        <f t="shared" si="7"/>
        <v>92</v>
      </c>
      <c r="U7" s="128"/>
      <c r="V7" s="129"/>
      <c r="W7" s="137">
        <f t="shared" si="8"/>
        <v>0.02036474164133739</v>
      </c>
      <c r="X7" s="138">
        <f>LOOKUP(T7,'Prijzentabel €'!A:A,'Prijzentabel €'!B:B)*(1+W7)+V7</f>
        <v>1504.0176291793314</v>
      </c>
      <c r="Y7" s="432" t="s">
        <v>444</v>
      </c>
      <c r="Z7" s="131">
        <f>IF(Y7="G",'Prijsnormen €'!$B$15,IF(Y7="C",'Prijsnormen €'!$B$16,IF(Y7=1,'Prijsnormen €'!$B$15,IF(Y7="O",'Prijsnormen €'!$B$18,IF(Y7="B",'Prijsnormen €'!$B$17,0)))))</f>
        <v>16000</v>
      </c>
      <c r="AA7" s="132">
        <f>IF(A7=0,0,LOOKUP(A7,SoortWerk,Codetabel!F$2:F$7))</f>
        <v>0.8500000000000001</v>
      </c>
      <c r="AB7" s="133">
        <f>LOOKUP($W$37,LijstGemeenten!C:C,LijstGemeenten!E:E)</f>
        <v>0</v>
      </c>
      <c r="AC7" s="134"/>
      <c r="AD7" s="135"/>
      <c r="AE7" s="136">
        <f t="shared" si="9"/>
        <v>1</v>
      </c>
      <c r="AF7" s="137">
        <f t="shared" si="10"/>
        <v>0.8500000000000001</v>
      </c>
      <c r="AG7" s="137">
        <f t="shared" si="11"/>
        <v>1.149</v>
      </c>
      <c r="AH7" s="138">
        <f t="shared" si="12"/>
        <v>150765.09121349544</v>
      </c>
      <c r="AI7" s="139">
        <f t="shared" si="13"/>
        <v>135138.69121349545</v>
      </c>
      <c r="AJ7" s="140">
        <f t="shared" si="14"/>
        <v>1</v>
      </c>
      <c r="AK7" s="141">
        <f t="shared" si="15"/>
        <v>0</v>
      </c>
      <c r="AL7" s="142">
        <f t="shared" si="16"/>
        <v>0</v>
      </c>
      <c r="AM7" s="140">
        <f t="shared" si="17"/>
        <v>92</v>
      </c>
      <c r="AN7" s="141">
        <f t="shared" si="18"/>
        <v>0</v>
      </c>
      <c r="AO7" s="142">
        <f t="shared" si="19"/>
        <v>0</v>
      </c>
      <c r="AP7" s="143">
        <f t="shared" si="20"/>
        <v>98.7</v>
      </c>
      <c r="AQ7" s="141">
        <f t="shared" si="21"/>
        <v>0</v>
      </c>
      <c r="AR7" s="142">
        <f t="shared" si="22"/>
        <v>0</v>
      </c>
      <c r="AS7" s="144">
        <f t="shared" si="23"/>
        <v>135138.69121349545</v>
      </c>
      <c r="AT7" s="145">
        <f t="shared" si="24"/>
        <v>0</v>
      </c>
      <c r="AU7" s="146">
        <f t="shared" si="25"/>
        <v>0</v>
      </c>
      <c r="AV7" s="144">
        <f t="shared" si="26"/>
        <v>150765.09121349544</v>
      </c>
      <c r="AW7" s="145">
        <f t="shared" si="27"/>
        <v>0</v>
      </c>
      <c r="AX7" s="147">
        <f t="shared" si="28"/>
        <v>0</v>
      </c>
      <c r="AY7" s="148">
        <f t="shared" si="29"/>
        <v>2761.621884498481</v>
      </c>
      <c r="AZ7" s="149">
        <f t="shared" si="30"/>
        <v>0</v>
      </c>
      <c r="BA7" s="150">
        <f t="shared" si="31"/>
        <v>0</v>
      </c>
      <c r="BB7" s="149">
        <f t="shared" si="32"/>
        <v>0</v>
      </c>
      <c r="BC7" s="149">
        <f t="shared" si="33"/>
        <v>0</v>
      </c>
      <c r="BD7" s="150">
        <f t="shared" si="34"/>
        <v>0</v>
      </c>
      <c r="BE7" s="151">
        <f>J7*G7*AA7*'Prijsnormen €'!$B$49*AG7</f>
        <v>22462.95</v>
      </c>
      <c r="BF7" s="151">
        <f>IF(BE$29&gt;(500*'Prijsnormen €'!$B$49*$AG$29),BE7/BE$29*(500*'Prijsnormen €'!$B$49*$AG$29),BE7)</f>
        <v>5405.985271467077</v>
      </c>
      <c r="BG7" s="151">
        <f t="shared" si="35"/>
        <v>5405.985271467077</v>
      </c>
      <c r="BH7" s="151">
        <f t="shared" si="36"/>
        <v>0</v>
      </c>
      <c r="BI7" s="151">
        <f t="shared" si="37"/>
        <v>0</v>
      </c>
      <c r="BJ7" s="152">
        <f t="shared" si="38"/>
        <v>150765.09121349544</v>
      </c>
      <c r="BL7" s="153"/>
    </row>
    <row r="8" spans="1:64" ht="19.5" customHeight="1">
      <c r="A8" s="113" t="s">
        <v>612</v>
      </c>
      <c r="B8" s="114" t="s">
        <v>129</v>
      </c>
      <c r="C8" s="115" t="s">
        <v>1475</v>
      </c>
      <c r="D8" s="116" t="s">
        <v>25</v>
      </c>
      <c r="E8" s="116">
        <v>2</v>
      </c>
      <c r="F8" s="116">
        <v>3</v>
      </c>
      <c r="G8" s="117">
        <v>3</v>
      </c>
      <c r="H8" s="118">
        <v>0</v>
      </c>
      <c r="I8" s="119">
        <v>5.4</v>
      </c>
      <c r="J8" s="120">
        <v>85</v>
      </c>
      <c r="K8" s="121">
        <f t="shared" si="0"/>
        <v>0</v>
      </c>
      <c r="L8" s="122">
        <f t="shared" si="1"/>
        <v>16.200000000000003</v>
      </c>
      <c r="M8" s="122">
        <f t="shared" si="39"/>
        <v>7</v>
      </c>
      <c r="N8" s="488">
        <f>IF(F8=0,0,(VLOOKUP(E8,'Basis-maxima'!$A$1:'Basis-maxima'!$P$10,HLOOKUP(F8,Code!$A$1:Code!$O$2,2))))</f>
        <v>76</v>
      </c>
      <c r="O8" s="123">
        <f t="shared" si="2"/>
        <v>76</v>
      </c>
      <c r="P8" s="124">
        <f t="shared" si="3"/>
        <v>255</v>
      </c>
      <c r="Q8" s="125">
        <f t="shared" si="4"/>
        <v>1.0442260442260443</v>
      </c>
      <c r="R8" s="126">
        <f t="shared" si="5"/>
        <v>81.4</v>
      </c>
      <c r="S8" s="123">
        <f t="shared" si="6"/>
        <v>244.20000000000002</v>
      </c>
      <c r="T8" s="127">
        <f t="shared" si="7"/>
        <v>81.4</v>
      </c>
      <c r="U8" s="128"/>
      <c r="V8" s="129"/>
      <c r="W8" s="137">
        <f t="shared" si="8"/>
        <v>0</v>
      </c>
      <c r="X8" s="138">
        <f>LOOKUP(T8,'Prijzentabel €'!A:A,'Prijzentabel €'!B:B)*(1+W8)+V8</f>
        <v>1561</v>
      </c>
      <c r="Y8" s="130"/>
      <c r="Z8" s="131">
        <f>IF(Y8="G",'Prijsnormen €'!$B$15,IF(Y8="C",'Prijsnormen €'!$B$16,IF(Y8=1,'Prijsnormen €'!$B$15,IF(Y8="O",'Prijsnormen €'!$B$18,IF(Y8="B",'Prijsnormen €'!$B$17,0)))))</f>
        <v>0</v>
      </c>
      <c r="AA8" s="132">
        <f>IF(A8=0,0,LOOKUP(A8,SoortWerk,Codetabel!F$2:F$7))</f>
        <v>1</v>
      </c>
      <c r="AB8" s="133">
        <f>LOOKUP($W$37,LijstGemeenten!C:C,LijstGemeenten!E:E)</f>
        <v>0</v>
      </c>
      <c r="AC8" s="134">
        <v>0.06</v>
      </c>
      <c r="AD8" s="135"/>
      <c r="AE8" s="136">
        <f t="shared" si="9"/>
        <v>1</v>
      </c>
      <c r="AF8" s="137">
        <f t="shared" si="10"/>
        <v>1.06</v>
      </c>
      <c r="AG8" s="137">
        <f t="shared" si="11"/>
        <v>1.149</v>
      </c>
      <c r="AH8" s="138">
        <f t="shared" si="12"/>
        <v>154758.03327600003</v>
      </c>
      <c r="AI8" s="139">
        <f t="shared" si="13"/>
        <v>464274.09982800006</v>
      </c>
      <c r="AJ8" s="140">
        <f t="shared" si="14"/>
        <v>3</v>
      </c>
      <c r="AK8" s="141">
        <f t="shared" si="15"/>
        <v>0</v>
      </c>
      <c r="AL8" s="142">
        <f t="shared" si="16"/>
        <v>0</v>
      </c>
      <c r="AM8" s="140">
        <f t="shared" si="17"/>
        <v>255</v>
      </c>
      <c r="AN8" s="141">
        <f t="shared" si="18"/>
        <v>0</v>
      </c>
      <c r="AO8" s="142">
        <f t="shared" si="19"/>
        <v>0</v>
      </c>
      <c r="AP8" s="143">
        <f t="shared" si="20"/>
        <v>244.20000000000002</v>
      </c>
      <c r="AQ8" s="141">
        <f t="shared" si="21"/>
        <v>0</v>
      </c>
      <c r="AR8" s="142">
        <f t="shared" si="22"/>
        <v>0</v>
      </c>
      <c r="AS8" s="144">
        <f t="shared" si="23"/>
        <v>464274.09982800006</v>
      </c>
      <c r="AT8" s="145">
        <f t="shared" si="24"/>
        <v>0</v>
      </c>
      <c r="AU8" s="146">
        <f t="shared" si="25"/>
        <v>0</v>
      </c>
      <c r="AV8" s="144">
        <f t="shared" si="26"/>
        <v>464274.09982800006</v>
      </c>
      <c r="AW8" s="145">
        <f t="shared" si="27"/>
        <v>0</v>
      </c>
      <c r="AX8" s="147">
        <f t="shared" si="28"/>
        <v>0</v>
      </c>
      <c r="AY8" s="148">
        <f t="shared" si="29"/>
        <v>0</v>
      </c>
      <c r="AZ8" s="149">
        <f t="shared" si="30"/>
        <v>0</v>
      </c>
      <c r="BA8" s="150">
        <f t="shared" si="31"/>
        <v>0</v>
      </c>
      <c r="BB8" s="149">
        <f t="shared" si="32"/>
        <v>0</v>
      </c>
      <c r="BC8" s="149">
        <f t="shared" si="33"/>
        <v>0</v>
      </c>
      <c r="BD8" s="150">
        <f t="shared" si="34"/>
        <v>0</v>
      </c>
      <c r="BE8" s="151">
        <f>J8*G8*AA8*'Prijsnormen €'!$B$49*AG8</f>
        <v>73248.75</v>
      </c>
      <c r="BF8" s="151">
        <f>IF(BE$29&gt;(500*'Prijsnormen €'!$B$49*$AG$29),BE8/BE$29*(500*'Prijsnormen €'!$B$49*$AG$29),BE8)</f>
        <v>17628.212841740467</v>
      </c>
      <c r="BG8" s="151">
        <f t="shared" si="35"/>
        <v>17628.212841740467</v>
      </c>
      <c r="BH8" s="151">
        <f t="shared" si="36"/>
        <v>0</v>
      </c>
      <c r="BI8" s="151">
        <f t="shared" si="37"/>
        <v>0</v>
      </c>
      <c r="BJ8" s="152">
        <f t="shared" si="38"/>
        <v>464274.09982800006</v>
      </c>
      <c r="BL8" s="153"/>
    </row>
    <row r="9" spans="1:64" ht="19.5" customHeight="1">
      <c r="A9" s="113" t="s">
        <v>612</v>
      </c>
      <c r="B9" s="114" t="s">
        <v>129</v>
      </c>
      <c r="C9" s="115" t="s">
        <v>1476</v>
      </c>
      <c r="D9" s="116" t="s">
        <v>25</v>
      </c>
      <c r="E9" s="116">
        <v>1</v>
      </c>
      <c r="F9" s="116">
        <v>2</v>
      </c>
      <c r="G9" s="117">
        <v>4</v>
      </c>
      <c r="H9" s="118">
        <v>0</v>
      </c>
      <c r="I9" s="119">
        <v>3.2</v>
      </c>
      <c r="J9" s="120">
        <v>65</v>
      </c>
      <c r="K9" s="121">
        <f t="shared" si="0"/>
        <v>0</v>
      </c>
      <c r="L9" s="122">
        <f t="shared" si="1"/>
        <v>12.8</v>
      </c>
      <c r="M9" s="122">
        <f t="shared" si="39"/>
        <v>6</v>
      </c>
      <c r="N9" s="488">
        <f>IF(F9=0,0,(VLOOKUP(E9,'Basis-maxima'!$A$1:'Basis-maxima'!$P$10,HLOOKUP(F9,Code!$A$1:Code!$O$2,2))))</f>
        <v>60</v>
      </c>
      <c r="O9" s="123">
        <f t="shared" si="2"/>
        <v>60</v>
      </c>
      <c r="P9" s="124">
        <f t="shared" si="3"/>
        <v>260</v>
      </c>
      <c r="Q9" s="125">
        <f t="shared" si="4"/>
        <v>1.0284810126582278</v>
      </c>
      <c r="R9" s="126">
        <f t="shared" si="5"/>
        <v>63.2</v>
      </c>
      <c r="S9" s="123">
        <f t="shared" si="6"/>
        <v>252.8</v>
      </c>
      <c r="T9" s="127">
        <f t="shared" si="7"/>
        <v>63.2</v>
      </c>
      <c r="U9" s="128"/>
      <c r="V9" s="129"/>
      <c r="W9" s="137">
        <f t="shared" si="8"/>
        <v>0</v>
      </c>
      <c r="X9" s="138">
        <f>LOOKUP(T9,'Prijzentabel €'!A:A,'Prijzentabel €'!B:B)*(1+W9)+V9</f>
        <v>1727</v>
      </c>
      <c r="Y9" s="130"/>
      <c r="Z9" s="131">
        <f>IF(Y9="G",'Prijsnormen €'!$B$15,IF(Y9="C",'Prijsnormen €'!$B$16,IF(Y9=1,'Prijsnormen €'!$B$15,IF(Y9="O",'Prijsnormen €'!$B$18,IF(Y9="B",'Prijsnormen €'!$B$17,0)))))</f>
        <v>0</v>
      </c>
      <c r="AA9" s="132">
        <f>IF(A9=0,0,LOOKUP(A9,SoortWerk,Codetabel!F$2:F$7))</f>
        <v>1</v>
      </c>
      <c r="AB9" s="133">
        <f>LOOKUP($W$37,LijstGemeenten!C:C,LijstGemeenten!E:E)</f>
        <v>0</v>
      </c>
      <c r="AC9" s="134">
        <v>0.06</v>
      </c>
      <c r="AD9" s="135"/>
      <c r="AE9" s="136">
        <f t="shared" si="9"/>
        <v>1</v>
      </c>
      <c r="AF9" s="137">
        <f t="shared" si="10"/>
        <v>1.06</v>
      </c>
      <c r="AG9" s="137">
        <f t="shared" si="11"/>
        <v>1.149</v>
      </c>
      <c r="AH9" s="138">
        <f t="shared" si="12"/>
        <v>132933.766416</v>
      </c>
      <c r="AI9" s="139">
        <f t="shared" si="13"/>
        <v>531735.065664</v>
      </c>
      <c r="AJ9" s="140">
        <f t="shared" si="14"/>
        <v>4</v>
      </c>
      <c r="AK9" s="141">
        <f t="shared" si="15"/>
        <v>0</v>
      </c>
      <c r="AL9" s="142">
        <f t="shared" si="16"/>
        <v>0</v>
      </c>
      <c r="AM9" s="140">
        <f t="shared" si="17"/>
        <v>260</v>
      </c>
      <c r="AN9" s="141">
        <f t="shared" si="18"/>
        <v>0</v>
      </c>
      <c r="AO9" s="142">
        <f t="shared" si="19"/>
        <v>0</v>
      </c>
      <c r="AP9" s="143">
        <f t="shared" si="20"/>
        <v>252.8</v>
      </c>
      <c r="AQ9" s="141">
        <f t="shared" si="21"/>
        <v>0</v>
      </c>
      <c r="AR9" s="142">
        <f t="shared" si="22"/>
        <v>0</v>
      </c>
      <c r="AS9" s="144">
        <f t="shared" si="23"/>
        <v>531735.065664</v>
      </c>
      <c r="AT9" s="145">
        <f t="shared" si="24"/>
        <v>0</v>
      </c>
      <c r="AU9" s="146">
        <f t="shared" si="25"/>
        <v>0</v>
      </c>
      <c r="AV9" s="144">
        <f t="shared" si="26"/>
        <v>531735.065664</v>
      </c>
      <c r="AW9" s="145">
        <f t="shared" si="27"/>
        <v>0</v>
      </c>
      <c r="AX9" s="147">
        <f t="shared" si="28"/>
        <v>0</v>
      </c>
      <c r="AY9" s="148">
        <f t="shared" si="29"/>
        <v>0</v>
      </c>
      <c r="AZ9" s="149">
        <f t="shared" si="30"/>
        <v>0</v>
      </c>
      <c r="BA9" s="150">
        <f t="shared" si="31"/>
        <v>0</v>
      </c>
      <c r="BB9" s="149">
        <f t="shared" si="32"/>
        <v>0</v>
      </c>
      <c r="BC9" s="149">
        <f t="shared" si="33"/>
        <v>0</v>
      </c>
      <c r="BD9" s="150">
        <f t="shared" si="34"/>
        <v>0</v>
      </c>
      <c r="BE9" s="151">
        <f>J9*G9*AA9*'Prijsnormen €'!$B$49*AG9</f>
        <v>74685</v>
      </c>
      <c r="BF9" s="151">
        <f>IF(BE$29&gt;(500*'Prijsnormen €'!$B$49*$AG$29),BE9/BE$29*(500*'Prijsnormen €'!$B$49*$AG$29),BE9)</f>
        <v>17973.864073931458</v>
      </c>
      <c r="BG9" s="151">
        <f t="shared" si="35"/>
        <v>17973.864073931458</v>
      </c>
      <c r="BH9" s="151">
        <f t="shared" si="36"/>
        <v>0</v>
      </c>
      <c r="BI9" s="151">
        <f t="shared" si="37"/>
        <v>0</v>
      </c>
      <c r="BJ9" s="152">
        <f t="shared" si="38"/>
        <v>531735.065664</v>
      </c>
      <c r="BL9" s="153"/>
    </row>
    <row r="10" spans="1:64" ht="19.5" customHeight="1" thickBot="1">
      <c r="A10" s="113" t="s">
        <v>612</v>
      </c>
      <c r="B10" s="114" t="s">
        <v>129</v>
      </c>
      <c r="C10" s="115" t="s">
        <v>1477</v>
      </c>
      <c r="D10" s="116" t="s">
        <v>25</v>
      </c>
      <c r="E10" s="116">
        <v>2</v>
      </c>
      <c r="F10" s="116">
        <v>3</v>
      </c>
      <c r="G10" s="117">
        <v>1</v>
      </c>
      <c r="H10" s="118">
        <v>0</v>
      </c>
      <c r="I10" s="119">
        <v>4.3</v>
      </c>
      <c r="J10" s="120">
        <v>88</v>
      </c>
      <c r="K10" s="121">
        <f t="shared" si="0"/>
        <v>0</v>
      </c>
      <c r="L10" s="122">
        <f t="shared" si="1"/>
        <v>4.3</v>
      </c>
      <c r="M10" s="122">
        <f t="shared" si="39"/>
        <v>7</v>
      </c>
      <c r="N10" s="488">
        <f>IF(F10=0,0,(VLOOKUP(E10,'Basis-maxima'!$A$1:'Basis-maxima'!$P$10,HLOOKUP(F10,Code!$A$1:Code!$O$2,2))))</f>
        <v>76</v>
      </c>
      <c r="O10" s="123">
        <f t="shared" si="2"/>
        <v>83.60000000000001</v>
      </c>
      <c r="P10" s="124">
        <f t="shared" si="3"/>
        <v>88</v>
      </c>
      <c r="Q10" s="125">
        <f t="shared" si="4"/>
        <v>0.9962640099626401</v>
      </c>
      <c r="R10" s="126">
        <f t="shared" si="5"/>
        <v>88.33</v>
      </c>
      <c r="S10" s="123">
        <f t="shared" si="6"/>
        <v>88.33</v>
      </c>
      <c r="T10" s="127">
        <f t="shared" si="7"/>
        <v>88</v>
      </c>
      <c r="U10" s="128"/>
      <c r="V10" s="129"/>
      <c r="W10" s="137">
        <f t="shared" si="8"/>
        <v>0.0011207970112079642</v>
      </c>
      <c r="X10" s="138">
        <f>LOOKUP(T10,'Prijzentabel €'!A:A,'Prijzentabel €'!B:B)*(1+W10)+V10</f>
        <v>1505.6856787048566</v>
      </c>
      <c r="Y10" s="130"/>
      <c r="Z10" s="131">
        <f>IF(Y10="G",'Prijsnormen €'!$B$15,IF(Y10="C",'Prijsnormen €'!$B$16,IF(Y10=1,'Prijsnormen €'!$B$15,IF(Y10="O",'Prijsnormen €'!$B$18,IF(Y10="B",'Prijsnormen €'!$B$17,0)))))</f>
        <v>0</v>
      </c>
      <c r="AA10" s="132">
        <f>IF(A10=0,0,LOOKUP(A10,SoortWerk,Codetabel!F$2:F$7))</f>
        <v>1</v>
      </c>
      <c r="AB10" s="133">
        <f>LOOKUP($W$37,LijstGemeenten!C:C,LijstGemeenten!E:E)</f>
        <v>0</v>
      </c>
      <c r="AC10" s="134">
        <v>0.06</v>
      </c>
      <c r="AD10" s="135">
        <v>0.01</v>
      </c>
      <c r="AE10" s="136">
        <f t="shared" si="9"/>
        <v>1.1</v>
      </c>
      <c r="AF10" s="137">
        <f t="shared" si="10"/>
        <v>1.07</v>
      </c>
      <c r="AG10" s="137">
        <f t="shared" si="11"/>
        <v>1.149</v>
      </c>
      <c r="AH10" s="138">
        <f t="shared" si="12"/>
        <v>162899.89266936987</v>
      </c>
      <c r="AI10" s="139">
        <f t="shared" si="13"/>
        <v>162899.89266936987</v>
      </c>
      <c r="AJ10" s="140">
        <f t="shared" si="14"/>
        <v>1</v>
      </c>
      <c r="AK10" s="141">
        <f t="shared" si="15"/>
        <v>0</v>
      </c>
      <c r="AL10" s="142">
        <f t="shared" si="16"/>
        <v>0</v>
      </c>
      <c r="AM10" s="140">
        <f t="shared" si="17"/>
        <v>88</v>
      </c>
      <c r="AN10" s="141">
        <f t="shared" si="18"/>
        <v>0</v>
      </c>
      <c r="AO10" s="142">
        <f t="shared" si="19"/>
        <v>0</v>
      </c>
      <c r="AP10" s="143">
        <f t="shared" si="20"/>
        <v>88.33</v>
      </c>
      <c r="AQ10" s="141">
        <f t="shared" si="21"/>
        <v>0</v>
      </c>
      <c r="AR10" s="142">
        <f t="shared" si="22"/>
        <v>0</v>
      </c>
      <c r="AS10" s="144">
        <f t="shared" si="23"/>
        <v>162899.89266936987</v>
      </c>
      <c r="AT10" s="145">
        <f t="shared" si="24"/>
        <v>0</v>
      </c>
      <c r="AU10" s="146">
        <f t="shared" si="25"/>
        <v>0</v>
      </c>
      <c r="AV10" s="144">
        <f t="shared" si="26"/>
        <v>162899.89266936987</v>
      </c>
      <c r="AW10" s="145">
        <f t="shared" si="27"/>
        <v>0</v>
      </c>
      <c r="AX10" s="147">
        <f t="shared" si="28"/>
        <v>0</v>
      </c>
      <c r="AY10" s="148">
        <f t="shared" si="29"/>
        <v>148.3397260273965</v>
      </c>
      <c r="AZ10" s="149">
        <f t="shared" si="30"/>
        <v>0</v>
      </c>
      <c r="BA10" s="150">
        <f t="shared" si="31"/>
        <v>0</v>
      </c>
      <c r="BB10" s="149">
        <f t="shared" si="32"/>
        <v>0</v>
      </c>
      <c r="BC10" s="149">
        <f t="shared" si="33"/>
        <v>0</v>
      </c>
      <c r="BD10" s="150">
        <f t="shared" si="34"/>
        <v>0</v>
      </c>
      <c r="BE10" s="151">
        <f>J10*G10*AA10*'Prijsnormen €'!$B$49*AG10</f>
        <v>25278</v>
      </c>
      <c r="BF10" s="151">
        <f>IF(BE$29&gt;(500*'Prijsnormen €'!$B$49*$AG$29),BE10/BE$29*(500*'Prijsnormen €'!$B$49*$AG$29),BE10)</f>
        <v>6083.461686561416</v>
      </c>
      <c r="BG10" s="151">
        <f t="shared" si="35"/>
        <v>6083.461686561416</v>
      </c>
      <c r="BH10" s="151">
        <f t="shared" si="36"/>
        <v>0</v>
      </c>
      <c r="BI10" s="151">
        <f t="shared" si="37"/>
        <v>0</v>
      </c>
      <c r="BJ10" s="152">
        <f t="shared" si="38"/>
        <v>162899.89266936987</v>
      </c>
      <c r="BL10" s="153"/>
    </row>
    <row r="11" spans="1:64" ht="17.25" customHeight="1" thickBot="1">
      <c r="A11" s="101"/>
      <c r="B11" s="154"/>
      <c r="C11" s="103" t="s">
        <v>22</v>
      </c>
      <c r="D11" s="103"/>
      <c r="E11" s="103"/>
      <c r="F11" s="103"/>
      <c r="G11" s="155" t="s">
        <v>593</v>
      </c>
      <c r="H11" s="156"/>
      <c r="I11" s="155"/>
      <c r="J11" s="155" t="s">
        <v>570</v>
      </c>
      <c r="K11" s="155"/>
      <c r="L11" s="155"/>
      <c r="M11" s="155"/>
      <c r="N11" s="155"/>
      <c r="O11" s="155"/>
      <c r="P11" s="155"/>
      <c r="Q11" s="154"/>
      <c r="R11" s="154"/>
      <c r="S11" s="155"/>
      <c r="T11" s="154"/>
      <c r="U11" s="154"/>
      <c r="V11" s="154"/>
      <c r="W11" s="154"/>
      <c r="X11" s="154"/>
      <c r="Y11" s="154"/>
      <c r="Z11" s="154"/>
      <c r="AA11" s="198"/>
      <c r="AB11" s="198"/>
      <c r="AC11" s="154"/>
      <c r="AD11" s="154"/>
      <c r="AE11" s="154"/>
      <c r="AF11" s="154"/>
      <c r="AG11" s="154"/>
      <c r="AH11" s="154"/>
      <c r="AI11" s="157"/>
      <c r="AJ11" s="158"/>
      <c r="AK11" s="155"/>
      <c r="AL11" s="159"/>
      <c r="AM11" s="158"/>
      <c r="AN11" s="155"/>
      <c r="AO11" s="159"/>
      <c r="AP11" s="155"/>
      <c r="AQ11" s="155"/>
      <c r="AR11" s="155"/>
      <c r="AS11" s="155"/>
      <c r="AT11" s="155"/>
      <c r="AU11" s="155"/>
      <c r="AV11" s="158"/>
      <c r="AW11" s="155"/>
      <c r="AX11" s="159"/>
      <c r="AY11" s="158"/>
      <c r="AZ11" s="155"/>
      <c r="BA11" s="159"/>
      <c r="BB11" s="155"/>
      <c r="BC11" s="155"/>
      <c r="BD11" s="159"/>
      <c r="BE11" s="159"/>
      <c r="BF11" s="159"/>
      <c r="BG11" s="159"/>
      <c r="BH11" s="159"/>
      <c r="BI11" s="159"/>
      <c r="BJ11" s="160"/>
      <c r="BL11" s="153"/>
    </row>
    <row r="12" spans="1:64" ht="16.5" customHeight="1">
      <c r="A12" s="161" t="s">
        <v>671</v>
      </c>
      <c r="B12" s="162" t="s">
        <v>129</v>
      </c>
      <c r="C12" s="163" t="s">
        <v>23</v>
      </c>
      <c r="D12" s="530" t="s">
        <v>673</v>
      </c>
      <c r="E12" s="530"/>
      <c r="F12" s="531"/>
      <c r="G12" s="164">
        <v>1</v>
      </c>
      <c r="H12" s="165"/>
      <c r="I12" s="166"/>
      <c r="J12" s="433"/>
      <c r="K12" s="167"/>
      <c r="L12" s="167"/>
      <c r="M12" s="167"/>
      <c r="N12" s="167"/>
      <c r="O12" s="167"/>
      <c r="P12" s="167"/>
      <c r="Q12" s="168"/>
      <c r="R12" s="166"/>
      <c r="S12" s="166"/>
      <c r="T12" s="166"/>
      <c r="U12" s="435" t="s">
        <v>674</v>
      </c>
      <c r="V12" s="316"/>
      <c r="W12" s="170"/>
      <c r="X12" s="490">
        <f>LOOKUP(D12,Codetabel!M:M,Codetabel!N:N)</f>
        <v>0</v>
      </c>
      <c r="Y12" s="491"/>
      <c r="Z12" s="166"/>
      <c r="AA12" s="481">
        <f>IF(A12=0,0,LOOKUP(A12,SoortWerk,Codetabel!F$2:F$7))</f>
        <v>1</v>
      </c>
      <c r="AB12" s="484">
        <f>IF($D12="afbraak-raming/offerte",0,IF($D12="diversen-raming/offerte",0,LOOKUP(W37,LOOKUP($W$37,LijstGemeenten!C:C,LijstGemeenten!E:E))))</f>
        <v>0</v>
      </c>
      <c r="AC12" s="480"/>
      <c r="AD12" s="171"/>
      <c r="AE12" s="169"/>
      <c r="AF12" s="172">
        <f aca="true" t="shared" si="40" ref="AF12:AF27">AA12*(1+AB12+AC12)</f>
        <v>1</v>
      </c>
      <c r="AG12" s="173">
        <f aca="true" t="shared" si="41" ref="AG12:AG27">IF($D12="afbraak-raming/offerte",1,IF($D12="diversen-raming/offerte",1,$AG$29))</f>
        <v>1</v>
      </c>
      <c r="AH12" s="174">
        <f aca="true" t="shared" si="42" ref="AH12:AH27">IF(J12=0,X12*AF12*AG12,J12*X12*AF12*AG12)</f>
        <v>0</v>
      </c>
      <c r="AI12" s="175"/>
      <c r="AJ12" s="176"/>
      <c r="AK12" s="177"/>
      <c r="AL12" s="178"/>
      <c r="AM12" s="176"/>
      <c r="AN12" s="177"/>
      <c r="AO12" s="178"/>
      <c r="AP12" s="177"/>
      <c r="AQ12" s="177"/>
      <c r="AR12" s="178"/>
      <c r="AS12" s="176">
        <f>IF($B12="H",LOOKUP($D12,Codetabel!$M:$M,Codetabel!$O:$O)*'Simulatie-tabel €'!$BJ12,0)</f>
        <v>0</v>
      </c>
      <c r="AT12" s="177">
        <f>IF($B12="K",LOOKUP($D12,Codetabel!$M:$M,Codetabel!$O:$O)*'Simulatie-tabel €'!$BJ12,0)</f>
        <v>0</v>
      </c>
      <c r="AU12" s="177">
        <f>IF($B12="A",LOOKUP($D12,Codetabel!$M:$M,Codetabel!$O:$O)*'Simulatie-tabel €'!$BJ12,0)</f>
        <v>0</v>
      </c>
      <c r="AV12" s="179">
        <f aca="true" t="shared" si="43" ref="AV12:AV27">IF($B12="H",$BJ12,0)</f>
        <v>0</v>
      </c>
      <c r="AW12" s="180">
        <f aca="true" t="shared" si="44" ref="AW12:AW27">IF($B12="K",$BJ12,0)</f>
        <v>0</v>
      </c>
      <c r="AX12" s="181">
        <f aca="true" t="shared" si="45" ref="AX12:AX27">IF($B12="A",$BJ12,0)</f>
        <v>0</v>
      </c>
      <c r="AY12" s="176"/>
      <c r="AZ12" s="177"/>
      <c r="BA12" s="178"/>
      <c r="BB12" s="177"/>
      <c r="BC12" s="177"/>
      <c r="BD12" s="178"/>
      <c r="BE12" s="178"/>
      <c r="BF12" s="178"/>
      <c r="BG12" s="178"/>
      <c r="BH12" s="178"/>
      <c r="BI12" s="178"/>
      <c r="BJ12" s="182">
        <f aca="true" t="shared" si="46" ref="BJ12:BJ19">AH12*G12</f>
        <v>0</v>
      </c>
      <c r="BL12" s="153"/>
    </row>
    <row r="13" spans="1:64" ht="16.5" customHeight="1">
      <c r="A13" s="161" t="s">
        <v>451</v>
      </c>
      <c r="B13" s="162" t="s">
        <v>129</v>
      </c>
      <c r="C13" s="194" t="s">
        <v>1480</v>
      </c>
      <c r="D13" s="498" t="s">
        <v>113</v>
      </c>
      <c r="E13" s="498"/>
      <c r="F13" s="499"/>
      <c r="G13" s="164">
        <v>1</v>
      </c>
      <c r="H13" s="165"/>
      <c r="I13" s="166"/>
      <c r="J13" s="434"/>
      <c r="K13" s="184"/>
      <c r="L13" s="184"/>
      <c r="M13" s="184"/>
      <c r="N13" s="184"/>
      <c r="O13" s="184"/>
      <c r="P13" s="184"/>
      <c r="Q13" s="168"/>
      <c r="R13" s="166"/>
      <c r="S13" s="166"/>
      <c r="T13" s="166"/>
      <c r="U13" s="436" t="s">
        <v>470</v>
      </c>
      <c r="V13" s="185">
        <v>3</v>
      </c>
      <c r="W13" s="187"/>
      <c r="X13" s="490">
        <f>LOOKUP(D13,Codetabel!M:M,Codetabel!N:N)+V13*'Prijsnormen €'!$C$19</f>
        <v>43750</v>
      </c>
      <c r="Y13" s="491"/>
      <c r="Z13" s="166"/>
      <c r="AA13" s="482">
        <f>IF(A13=0,0,LOOKUP(A13,SoortWerk,Codetabel!F$2:F$7))</f>
        <v>1</v>
      </c>
      <c r="AB13" s="485">
        <f>IF($D13="afbraak-raming/offerte",0,IF($D13="diversen-raming/offerte",0,LOOKUP($W$37,LijstGemeenten!C:C,LijstGemeenten!E:E)))</f>
        <v>0</v>
      </c>
      <c r="AC13" s="135"/>
      <c r="AD13" s="188"/>
      <c r="AE13" s="186"/>
      <c r="AF13" s="189">
        <f t="shared" si="40"/>
        <v>1</v>
      </c>
      <c r="AG13" s="173">
        <f t="shared" si="41"/>
        <v>1.149</v>
      </c>
      <c r="AH13" s="138">
        <f t="shared" si="42"/>
        <v>50268.75</v>
      </c>
      <c r="AI13" s="139"/>
      <c r="AJ13" s="176"/>
      <c r="AK13" s="177"/>
      <c r="AL13" s="178"/>
      <c r="AM13" s="176"/>
      <c r="AN13" s="177"/>
      <c r="AO13" s="178"/>
      <c r="AP13" s="177"/>
      <c r="AQ13" s="177"/>
      <c r="AR13" s="178"/>
      <c r="AS13" s="176">
        <f>IF($B13="H",LOOKUP($D13,Codetabel!$M:$M,Codetabel!$O:$O)*'Simulatie-tabel €'!$BJ13,0)</f>
        <v>50268.75</v>
      </c>
      <c r="AT13" s="177">
        <f>IF($B13="K",LOOKUP($D13,Codetabel!$M:$M,Codetabel!$O:$O)*'Simulatie-tabel €'!$BJ13,0)</f>
        <v>0</v>
      </c>
      <c r="AU13" s="177">
        <f>IF($B13="A",LOOKUP($D13,Codetabel!$M:$M,Codetabel!$O:$O)*'Simulatie-tabel €'!$BJ13,0)</f>
        <v>0</v>
      </c>
      <c r="AV13" s="144">
        <f t="shared" si="43"/>
        <v>50268.75</v>
      </c>
      <c r="AW13" s="145">
        <f t="shared" si="44"/>
        <v>0</v>
      </c>
      <c r="AX13" s="147">
        <f t="shared" si="45"/>
        <v>0</v>
      </c>
      <c r="AY13" s="190"/>
      <c r="AZ13" s="191"/>
      <c r="BA13" s="192"/>
      <c r="BB13" s="191"/>
      <c r="BC13" s="191"/>
      <c r="BD13" s="192"/>
      <c r="BE13" s="192"/>
      <c r="BF13" s="192"/>
      <c r="BG13" s="192"/>
      <c r="BH13" s="192"/>
      <c r="BI13" s="192"/>
      <c r="BJ13" s="193">
        <f t="shared" si="46"/>
        <v>50268.75</v>
      </c>
      <c r="BL13" s="153"/>
    </row>
    <row r="14" spans="1:64" ht="16.5" customHeight="1">
      <c r="A14" s="161" t="s">
        <v>451</v>
      </c>
      <c r="B14" s="162" t="s">
        <v>129</v>
      </c>
      <c r="C14" s="194" t="s">
        <v>1435</v>
      </c>
      <c r="D14" s="498" t="s">
        <v>602</v>
      </c>
      <c r="E14" s="498"/>
      <c r="F14" s="499"/>
      <c r="G14" s="164">
        <v>6</v>
      </c>
      <c r="H14" s="165"/>
      <c r="I14" s="166"/>
      <c r="J14" s="195">
        <v>7.2</v>
      </c>
      <c r="K14" s="196"/>
      <c r="L14" s="196"/>
      <c r="M14" s="196"/>
      <c r="N14" s="196"/>
      <c r="O14" s="196"/>
      <c r="P14" s="196"/>
      <c r="Q14" s="168"/>
      <c r="R14" s="166"/>
      <c r="S14" s="166"/>
      <c r="T14" s="166"/>
      <c r="U14" s="436"/>
      <c r="V14" s="185"/>
      <c r="W14" s="187"/>
      <c r="X14" s="490">
        <f>IF(V14*'Prijsnormen €'!$B$30&gt;Codetabel!N35,Codetabel!N35,V14*'Prijsnormen €'!$B$30)</f>
        <v>0</v>
      </c>
      <c r="Y14" s="491"/>
      <c r="Z14" s="315"/>
      <c r="AA14" s="482">
        <f>IF(A14=0,0,LOOKUP(A14,SoortWerk,Codetabel!F$2:F$7))</f>
        <v>1</v>
      </c>
      <c r="AB14" s="485">
        <f>IF($D14="afbraak-raming/offerte",0,IF($D14="diversen-raming/offerte",0,LOOKUP($W$37,LijstGemeenten!C:C,LijstGemeenten!E:E)))</f>
        <v>0</v>
      </c>
      <c r="AC14" s="135"/>
      <c r="AD14" s="188"/>
      <c r="AE14" s="186"/>
      <c r="AF14" s="189">
        <f t="shared" si="40"/>
        <v>1</v>
      </c>
      <c r="AG14" s="173">
        <f t="shared" si="41"/>
        <v>1.149</v>
      </c>
      <c r="AH14" s="138">
        <f t="shared" si="42"/>
        <v>0</v>
      </c>
      <c r="AI14" s="139"/>
      <c r="AJ14" s="176"/>
      <c r="AK14" s="177"/>
      <c r="AL14" s="178"/>
      <c r="AM14" s="176"/>
      <c r="AN14" s="177"/>
      <c r="AO14" s="178"/>
      <c r="AP14" s="177"/>
      <c r="AQ14" s="177"/>
      <c r="AR14" s="178"/>
      <c r="AS14" s="176">
        <f>IF($B14="H",LOOKUP($D14,Codetabel!$M:$M,Codetabel!$O:$O)*'Simulatie-tabel €'!$BJ14,0)</f>
        <v>0</v>
      </c>
      <c r="AT14" s="177">
        <f>IF($B14="K",LOOKUP($D14,Codetabel!$M:$M,Codetabel!$O:$O)*'Simulatie-tabel €'!$BJ14,0)</f>
        <v>0</v>
      </c>
      <c r="AU14" s="177">
        <f>IF($B14="A",LOOKUP($D14,Codetabel!$M:$M,Codetabel!$O:$O)*'Simulatie-tabel €'!$BJ14,0)</f>
        <v>0</v>
      </c>
      <c r="AV14" s="144">
        <f t="shared" si="43"/>
        <v>0</v>
      </c>
      <c r="AW14" s="145">
        <f t="shared" si="44"/>
        <v>0</v>
      </c>
      <c r="AX14" s="147">
        <f t="shared" si="45"/>
        <v>0</v>
      </c>
      <c r="AY14" s="176"/>
      <c r="AZ14" s="177"/>
      <c r="BA14" s="178"/>
      <c r="BB14" s="177"/>
      <c r="BC14" s="177"/>
      <c r="BD14" s="178"/>
      <c r="BE14" s="178"/>
      <c r="BF14" s="178"/>
      <c r="BG14" s="178"/>
      <c r="BH14" s="178"/>
      <c r="BI14" s="178"/>
      <c r="BJ14" s="193">
        <f t="shared" si="46"/>
        <v>0</v>
      </c>
      <c r="BL14" s="153"/>
    </row>
    <row r="15" spans="1:64" ht="16.5" customHeight="1">
      <c r="A15" s="161" t="s">
        <v>451</v>
      </c>
      <c r="B15" s="162" t="s">
        <v>129</v>
      </c>
      <c r="C15" s="194" t="s">
        <v>1481</v>
      </c>
      <c r="D15" s="498" t="s">
        <v>466</v>
      </c>
      <c r="E15" s="498"/>
      <c r="F15" s="499"/>
      <c r="G15" s="164">
        <v>1</v>
      </c>
      <c r="H15" s="165"/>
      <c r="I15" s="166"/>
      <c r="J15" s="195">
        <v>5.4</v>
      </c>
      <c r="K15" s="196"/>
      <c r="L15" s="196"/>
      <c r="M15" s="196"/>
      <c r="N15" s="196"/>
      <c r="O15" s="196"/>
      <c r="P15" s="196"/>
      <c r="Q15" s="168"/>
      <c r="R15" s="166"/>
      <c r="S15" s="166"/>
      <c r="T15" s="166"/>
      <c r="U15" s="436"/>
      <c r="V15" s="437"/>
      <c r="W15" s="187"/>
      <c r="X15" s="490">
        <f>IF(V15*'Prijsnormen €'!$B$30&gt;Codetabel!N36,Codetabel!N36,V15*'Prijsnormen €'!$B$30)</f>
        <v>0</v>
      </c>
      <c r="Y15" s="491"/>
      <c r="Z15" s="315"/>
      <c r="AA15" s="482">
        <f>IF(A15=0,0,LOOKUP(A15,SoortWerk,Codetabel!F$2:F$7))</f>
        <v>1</v>
      </c>
      <c r="AB15" s="485">
        <f>IF($D15="afbraak-raming/offerte",0,IF($D15="diversen-raming/offerte",0,LOOKUP($W$37,LijstGemeenten!C:C,LijstGemeenten!E:E)))</f>
        <v>0</v>
      </c>
      <c r="AC15" s="135"/>
      <c r="AD15" s="188"/>
      <c r="AE15" s="186"/>
      <c r="AF15" s="189">
        <f t="shared" si="40"/>
        <v>1</v>
      </c>
      <c r="AG15" s="173">
        <f t="shared" si="41"/>
        <v>1.149</v>
      </c>
      <c r="AH15" s="138">
        <f t="shared" si="42"/>
        <v>0</v>
      </c>
      <c r="AI15" s="139"/>
      <c r="AJ15" s="176"/>
      <c r="AK15" s="177"/>
      <c r="AL15" s="178"/>
      <c r="AM15" s="176"/>
      <c r="AN15" s="177"/>
      <c r="AO15" s="178"/>
      <c r="AP15" s="177"/>
      <c r="AQ15" s="177"/>
      <c r="AR15" s="178"/>
      <c r="AS15" s="176">
        <f>IF($B15="H",LOOKUP($D15,Codetabel!$M:$M,Codetabel!$O:$O)*'Simulatie-tabel €'!$BJ15,0)</f>
        <v>0</v>
      </c>
      <c r="AT15" s="177">
        <f>IF($B15="K",LOOKUP($D15,Codetabel!$M:$M,Codetabel!$O:$O)*'Simulatie-tabel €'!$BJ15,0)</f>
        <v>0</v>
      </c>
      <c r="AU15" s="177">
        <f>IF($B15="A",LOOKUP($D15,Codetabel!$M:$M,Codetabel!$O:$O)*'Simulatie-tabel €'!$BJ15,0)</f>
        <v>0</v>
      </c>
      <c r="AV15" s="144">
        <f t="shared" si="43"/>
        <v>0</v>
      </c>
      <c r="AW15" s="145">
        <f t="shared" si="44"/>
        <v>0</v>
      </c>
      <c r="AX15" s="147">
        <f t="shared" si="45"/>
        <v>0</v>
      </c>
      <c r="AY15" s="176"/>
      <c r="AZ15" s="177"/>
      <c r="BA15" s="178"/>
      <c r="BB15" s="177"/>
      <c r="BC15" s="177"/>
      <c r="BD15" s="178"/>
      <c r="BE15" s="178"/>
      <c r="BF15" s="178"/>
      <c r="BG15" s="178"/>
      <c r="BH15" s="178"/>
      <c r="BI15" s="178"/>
      <c r="BJ15" s="193">
        <f t="shared" si="46"/>
        <v>0</v>
      </c>
      <c r="BL15" s="153"/>
    </row>
    <row r="16" spans="1:64" ht="16.5" customHeight="1">
      <c r="A16" s="161" t="s">
        <v>451</v>
      </c>
      <c r="B16" s="162" t="s">
        <v>453</v>
      </c>
      <c r="C16" s="194" t="s">
        <v>1482</v>
      </c>
      <c r="D16" s="498" t="s">
        <v>645</v>
      </c>
      <c r="E16" s="498"/>
      <c r="F16" s="499"/>
      <c r="G16" s="164">
        <v>10</v>
      </c>
      <c r="H16" s="165"/>
      <c r="I16" s="489">
        <f>IF(D16="PV-app",'Prijsnormen €'!$B$31,IF(D16="PV-huis",'Prijsnormen €'!$B$32,0))</f>
        <v>4250</v>
      </c>
      <c r="J16" s="434"/>
      <c r="K16" s="184"/>
      <c r="L16" s="184"/>
      <c r="M16" s="184"/>
      <c r="N16" s="184"/>
      <c r="O16" s="184"/>
      <c r="P16" s="184"/>
      <c r="Q16" s="168"/>
      <c r="R16" s="166"/>
      <c r="S16" s="166"/>
      <c r="T16" s="166"/>
      <c r="U16" s="436" t="s">
        <v>655</v>
      </c>
      <c r="V16" s="437">
        <v>3</v>
      </c>
      <c r="W16" s="187"/>
      <c r="X16" s="490">
        <f>IF(V16*'Prijsnormen €'!$B$30&gt;I16,I16,V16*'Prijsnormen €'!$B$30)</f>
        <v>4250</v>
      </c>
      <c r="Y16" s="491"/>
      <c r="Z16" s="315"/>
      <c r="AA16" s="482">
        <f>IF(A16=0,0,LOOKUP(A16,SoortWerk,Codetabel!F$2:F$7))</f>
        <v>1</v>
      </c>
      <c r="AB16" s="485">
        <f>IF($D16="afbraak-raming/offerte",0,IF($D16="diversen-raming/offerte",0,LOOKUP($W$37,LijstGemeenten!C:C,LijstGemeenten!E:E)))</f>
        <v>0</v>
      </c>
      <c r="AC16" s="135"/>
      <c r="AD16" s="188"/>
      <c r="AE16" s="186"/>
      <c r="AF16" s="189">
        <f t="shared" si="40"/>
        <v>1</v>
      </c>
      <c r="AG16" s="173">
        <f t="shared" si="41"/>
        <v>1.149</v>
      </c>
      <c r="AH16" s="138">
        <f>IF(V16=0,0,X16*AF16*AG16)</f>
        <v>4883.25</v>
      </c>
      <c r="AI16" s="139"/>
      <c r="AJ16" s="176"/>
      <c r="AK16" s="177"/>
      <c r="AL16" s="178"/>
      <c r="AM16" s="176"/>
      <c r="AN16" s="177"/>
      <c r="AO16" s="178"/>
      <c r="AP16" s="177"/>
      <c r="AQ16" s="177"/>
      <c r="AR16" s="178"/>
      <c r="AS16" s="176">
        <f>IF($B16="H",LOOKUP($D16,Codetabel!$M:$M,Codetabel!$O:$O)*'Simulatie-tabel €'!$BJ16,0)</f>
        <v>0</v>
      </c>
      <c r="AT16" s="177">
        <f>IF($B16="K",LOOKUP($D16,Codetabel!$M:$M,Codetabel!$O:$O)*'Simulatie-tabel €'!$BJ16,0)</f>
        <v>48832.5</v>
      </c>
      <c r="AU16" s="177">
        <f>IF($B16="A",LOOKUP($D16,Codetabel!$M:$M,Codetabel!$O:$O)*'Simulatie-tabel €'!$BJ16,0)</f>
        <v>0</v>
      </c>
      <c r="AV16" s="144">
        <f t="shared" si="43"/>
        <v>0</v>
      </c>
      <c r="AW16" s="145">
        <f t="shared" si="44"/>
        <v>48832.5</v>
      </c>
      <c r="AX16" s="147">
        <f t="shared" si="45"/>
        <v>0</v>
      </c>
      <c r="AY16" s="176"/>
      <c r="AZ16" s="177"/>
      <c r="BA16" s="178"/>
      <c r="BB16" s="177"/>
      <c r="BC16" s="177"/>
      <c r="BD16" s="178"/>
      <c r="BE16" s="178"/>
      <c r="BF16" s="178"/>
      <c r="BG16" s="178"/>
      <c r="BH16" s="178"/>
      <c r="BI16" s="178"/>
      <c r="BJ16" s="193">
        <f t="shared" si="46"/>
        <v>48832.5</v>
      </c>
      <c r="BL16" s="153"/>
    </row>
    <row r="17" spans="1:64" ht="16.5" customHeight="1">
      <c r="A17" s="161" t="s">
        <v>450</v>
      </c>
      <c r="B17" s="162" t="s">
        <v>129</v>
      </c>
      <c r="C17" s="194" t="s">
        <v>1483</v>
      </c>
      <c r="D17" s="498" t="s">
        <v>464</v>
      </c>
      <c r="E17" s="498"/>
      <c r="F17" s="499"/>
      <c r="G17" s="164">
        <v>8</v>
      </c>
      <c r="H17" s="165"/>
      <c r="I17" s="166"/>
      <c r="J17" s="434"/>
      <c r="K17" s="184"/>
      <c r="L17" s="184"/>
      <c r="M17" s="184"/>
      <c r="N17" s="184"/>
      <c r="O17" s="184"/>
      <c r="P17" s="184"/>
      <c r="Q17" s="168"/>
      <c r="R17" s="166"/>
      <c r="S17" s="166"/>
      <c r="T17" s="166"/>
      <c r="U17" s="436" t="s">
        <v>1492</v>
      </c>
      <c r="V17" s="185"/>
      <c r="W17" s="187"/>
      <c r="X17" s="490">
        <f>LOOKUP(D17,Codetabel!M:M,Codetabel!N:N)</f>
        <v>16000</v>
      </c>
      <c r="Y17" s="491"/>
      <c r="Z17" s="166"/>
      <c r="AA17" s="482">
        <f>IF(A17=0,0,LOOKUP(A17,SoortWerk,Codetabel!F$2:F$7))</f>
        <v>1</v>
      </c>
      <c r="AB17" s="485">
        <f>IF($D17="afbraak-raming/offerte",0,IF($D17="diversen-raming/offerte",0,LOOKUP($W$37,LijstGemeenten!C:C,LijstGemeenten!E:E)))</f>
        <v>0</v>
      </c>
      <c r="AC17" s="135"/>
      <c r="AD17" s="188"/>
      <c r="AE17" s="186"/>
      <c r="AF17" s="189">
        <f t="shared" si="40"/>
        <v>1</v>
      </c>
      <c r="AG17" s="173">
        <f t="shared" si="41"/>
        <v>1.149</v>
      </c>
      <c r="AH17" s="138">
        <f t="shared" si="42"/>
        <v>18384</v>
      </c>
      <c r="AI17" s="139"/>
      <c r="AJ17" s="176"/>
      <c r="AK17" s="177"/>
      <c r="AL17" s="178"/>
      <c r="AM17" s="176"/>
      <c r="AN17" s="177"/>
      <c r="AO17" s="178"/>
      <c r="AP17" s="177"/>
      <c r="AQ17" s="177"/>
      <c r="AR17" s="178"/>
      <c r="AS17" s="176">
        <f>IF($B17="H",LOOKUP($D17,Codetabel!$M:$M,Codetabel!$O:$O)*'Simulatie-tabel €'!$BJ17,0)</f>
        <v>0</v>
      </c>
      <c r="AT17" s="177">
        <f>IF($B17="K",LOOKUP($D17,Codetabel!$M:$M,Codetabel!$O:$O)*'Simulatie-tabel €'!$BJ17,0)</f>
        <v>0</v>
      </c>
      <c r="AU17" s="177">
        <f>IF($B17="A",LOOKUP($D17,Codetabel!$M:$M,Codetabel!$O:$O)*'Simulatie-tabel €'!$BJ17,0)</f>
        <v>0</v>
      </c>
      <c r="AV17" s="144">
        <f t="shared" si="43"/>
        <v>147072</v>
      </c>
      <c r="AW17" s="145">
        <f t="shared" si="44"/>
        <v>0</v>
      </c>
      <c r="AX17" s="147">
        <f t="shared" si="45"/>
        <v>0</v>
      </c>
      <c r="AY17" s="176"/>
      <c r="AZ17" s="177"/>
      <c r="BA17" s="178"/>
      <c r="BB17" s="177"/>
      <c r="BC17" s="177"/>
      <c r="BD17" s="178"/>
      <c r="BE17" s="178"/>
      <c r="BF17" s="178"/>
      <c r="BG17" s="178"/>
      <c r="BH17" s="178"/>
      <c r="BI17" s="178"/>
      <c r="BJ17" s="193">
        <f t="shared" si="46"/>
        <v>147072</v>
      </c>
      <c r="BL17" s="153"/>
    </row>
    <row r="18" spans="1:64" ht="16.5" customHeight="1">
      <c r="A18" s="161" t="s">
        <v>450</v>
      </c>
      <c r="B18" s="162" t="s">
        <v>129</v>
      </c>
      <c r="C18" s="197" t="s">
        <v>1506</v>
      </c>
      <c r="D18" s="498" t="s">
        <v>1454</v>
      </c>
      <c r="E18" s="498"/>
      <c r="F18" s="499"/>
      <c r="G18" s="164">
        <v>1</v>
      </c>
      <c r="H18" s="165"/>
      <c r="I18" s="487"/>
      <c r="J18" s="434"/>
      <c r="K18" s="196"/>
      <c r="L18" s="196"/>
      <c r="M18" s="196"/>
      <c r="N18" s="196"/>
      <c r="O18" s="196"/>
      <c r="P18" s="196"/>
      <c r="Q18" s="168"/>
      <c r="R18" s="487"/>
      <c r="S18" s="487"/>
      <c r="T18" s="487"/>
      <c r="U18" s="436" t="s">
        <v>1508</v>
      </c>
      <c r="V18" s="185">
        <v>10</v>
      </c>
      <c r="W18" s="187"/>
      <c r="X18" s="490">
        <f>LOOKUP(D18,Codetabel!M:M,Codetabel!N:N)*V18</f>
        <v>11000</v>
      </c>
      <c r="Y18" s="491"/>
      <c r="Z18" s="487"/>
      <c r="AA18" s="482">
        <f>IF(A18=0,0,LOOKUP(A18,SoortWerk,Codetabel!F$2:F$7))</f>
        <v>1</v>
      </c>
      <c r="AB18" s="485">
        <f>IF($D18="afbraak-raming/offerte",0,IF($D18="diversen-raming/offerte",0,LOOKUP($W$37,LijstGemeenten!C:C,LijstGemeenten!E:E)))</f>
        <v>0</v>
      </c>
      <c r="AC18" s="135"/>
      <c r="AD18" s="188"/>
      <c r="AE18" s="186"/>
      <c r="AF18" s="189">
        <f>AA18*(1+AB18+AC18)</f>
        <v>1</v>
      </c>
      <c r="AG18" s="173">
        <f t="shared" si="41"/>
        <v>1.149</v>
      </c>
      <c r="AH18" s="138">
        <f>X18*AF18*AG18</f>
        <v>12639</v>
      </c>
      <c r="AI18" s="139"/>
      <c r="AJ18" s="176"/>
      <c r="AK18" s="177"/>
      <c r="AL18" s="178"/>
      <c r="AM18" s="176"/>
      <c r="AN18" s="177"/>
      <c r="AO18" s="178"/>
      <c r="AP18" s="177"/>
      <c r="AQ18" s="177"/>
      <c r="AR18" s="178"/>
      <c r="AS18" s="176">
        <f>IF($B18="H",LOOKUP($D18,Codetabel!$M:$M,Codetabel!$O:$O)*'Simulatie-tabel €'!$BJ18,0)</f>
        <v>0</v>
      </c>
      <c r="AT18" s="177">
        <f>IF($B18="K",LOOKUP($D18,Codetabel!$M:$M,Codetabel!$O:$O)*'Simulatie-tabel €'!$BJ18,0)</f>
        <v>0</v>
      </c>
      <c r="AU18" s="177">
        <f>IF($B18="A",LOOKUP($D18,Codetabel!$M:$M,Codetabel!$O:$O)*'Simulatie-tabel €'!$BJ18,0)</f>
        <v>0</v>
      </c>
      <c r="AV18" s="144">
        <f t="shared" si="43"/>
        <v>12639</v>
      </c>
      <c r="AW18" s="145">
        <f t="shared" si="44"/>
        <v>0</v>
      </c>
      <c r="AX18" s="147">
        <f t="shared" si="45"/>
        <v>0</v>
      </c>
      <c r="AY18" s="176"/>
      <c r="AZ18" s="177"/>
      <c r="BA18" s="178"/>
      <c r="BB18" s="177"/>
      <c r="BC18" s="177"/>
      <c r="BD18" s="178"/>
      <c r="BE18" s="178"/>
      <c r="BF18" s="178"/>
      <c r="BG18" s="178"/>
      <c r="BH18" s="178"/>
      <c r="BI18" s="178"/>
      <c r="BJ18" s="193">
        <f>AH18</f>
        <v>12639</v>
      </c>
      <c r="BL18" s="153"/>
    </row>
    <row r="19" spans="1:64" ht="16.5" customHeight="1">
      <c r="A19" s="161" t="s">
        <v>450</v>
      </c>
      <c r="B19" s="162" t="s">
        <v>453</v>
      </c>
      <c r="C19" s="183" t="s">
        <v>1484</v>
      </c>
      <c r="D19" s="498" t="s">
        <v>641</v>
      </c>
      <c r="E19" s="498"/>
      <c r="F19" s="499"/>
      <c r="G19" s="164">
        <v>10</v>
      </c>
      <c r="H19" s="165"/>
      <c r="I19" s="166"/>
      <c r="J19" s="434"/>
      <c r="K19" s="196"/>
      <c r="L19" s="196"/>
      <c r="M19" s="196"/>
      <c r="N19" s="196"/>
      <c r="O19" s="196"/>
      <c r="P19" s="196"/>
      <c r="Q19" s="168"/>
      <c r="R19" s="315"/>
      <c r="S19" s="315"/>
      <c r="T19" s="315"/>
      <c r="U19" s="436"/>
      <c r="V19" s="437"/>
      <c r="W19" s="187"/>
      <c r="X19" s="490">
        <f>LOOKUP(D19,Codetabel!M:M,Codetabel!N:N)</f>
        <v>4900</v>
      </c>
      <c r="Y19" s="491"/>
      <c r="Z19" s="315"/>
      <c r="AA19" s="482">
        <f>IF(A19=0,0,LOOKUP(A19,SoortWerk,Codetabel!F$2:F$7))</f>
        <v>1</v>
      </c>
      <c r="AB19" s="485">
        <f>IF($D19="afbraak-raming/offerte",0,IF($D19="diversen-raming/offerte",0,LOOKUP($W$37,LijstGemeenten!C:C,LijstGemeenten!E:E)))</f>
        <v>0</v>
      </c>
      <c r="AC19" s="135"/>
      <c r="AD19" s="188"/>
      <c r="AE19" s="186"/>
      <c r="AF19" s="189">
        <f t="shared" si="40"/>
        <v>1</v>
      </c>
      <c r="AG19" s="173">
        <f t="shared" si="41"/>
        <v>1.149</v>
      </c>
      <c r="AH19" s="138">
        <f t="shared" si="42"/>
        <v>5630.1</v>
      </c>
      <c r="AI19" s="139"/>
      <c r="AJ19" s="176"/>
      <c r="AK19" s="177"/>
      <c r="AL19" s="178"/>
      <c r="AM19" s="176"/>
      <c r="AN19" s="177"/>
      <c r="AO19" s="178"/>
      <c r="AP19" s="177"/>
      <c r="AQ19" s="177"/>
      <c r="AR19" s="178"/>
      <c r="AS19" s="176">
        <f>IF($B19="H",LOOKUP($D19,Codetabel!$M:$M,Codetabel!$O:$O)*'Simulatie-tabel €'!$BJ19,0)</f>
        <v>0</v>
      </c>
      <c r="AT19" s="177">
        <f>IF($B19="K",LOOKUP($D19,Codetabel!$M:$M,Codetabel!$O:$O)*'Simulatie-tabel €'!$BJ19,0)</f>
        <v>56301</v>
      </c>
      <c r="AU19" s="177">
        <f>IF($B19="A",LOOKUP($D19,Codetabel!$M:$M,Codetabel!$O:$O)*'Simulatie-tabel €'!$BJ19,0)</f>
        <v>0</v>
      </c>
      <c r="AV19" s="144">
        <f t="shared" si="43"/>
        <v>0</v>
      </c>
      <c r="AW19" s="145">
        <f t="shared" si="44"/>
        <v>56301</v>
      </c>
      <c r="AX19" s="147">
        <f t="shared" si="45"/>
        <v>0</v>
      </c>
      <c r="AY19" s="176"/>
      <c r="AZ19" s="177"/>
      <c r="BA19" s="178"/>
      <c r="BB19" s="177"/>
      <c r="BC19" s="177"/>
      <c r="BD19" s="178"/>
      <c r="BE19" s="178"/>
      <c r="BF19" s="178"/>
      <c r="BG19" s="178"/>
      <c r="BH19" s="178"/>
      <c r="BI19" s="178"/>
      <c r="BJ19" s="193">
        <f t="shared" si="46"/>
        <v>56301</v>
      </c>
      <c r="BL19" s="153"/>
    </row>
    <row r="20" spans="1:64" ht="16.5" customHeight="1">
      <c r="A20" s="161" t="s">
        <v>450</v>
      </c>
      <c r="B20" s="162" t="s">
        <v>129</v>
      </c>
      <c r="C20" s="183" t="s">
        <v>1484</v>
      </c>
      <c r="D20" s="498" t="s">
        <v>641</v>
      </c>
      <c r="E20" s="498"/>
      <c r="F20" s="499"/>
      <c r="G20" s="164">
        <v>2</v>
      </c>
      <c r="H20" s="165"/>
      <c r="I20" s="166"/>
      <c r="J20" s="434"/>
      <c r="K20" s="184"/>
      <c r="L20" s="184"/>
      <c r="M20" s="184"/>
      <c r="N20" s="184"/>
      <c r="O20" s="184"/>
      <c r="P20" s="184"/>
      <c r="Q20" s="168"/>
      <c r="R20" s="166"/>
      <c r="S20" s="166"/>
      <c r="T20" s="166"/>
      <c r="U20" s="436"/>
      <c r="V20" s="437"/>
      <c r="W20" s="187"/>
      <c r="X20" s="490">
        <f>G20*LOOKUP(D20,Codetabel!M:M,Codetabel!N:N)+V20*'Prijsnormen €'!$B$41</f>
        <v>9800</v>
      </c>
      <c r="Y20" s="491"/>
      <c r="Z20" s="315"/>
      <c r="AA20" s="482">
        <f>IF(A20=0,0,LOOKUP(A20,SoortWerk,Codetabel!F$2:F$7))</f>
        <v>1</v>
      </c>
      <c r="AB20" s="485">
        <f>IF($D20="afbraak-raming/offerte",0,IF($D20="diversen-raming/offerte",0,LOOKUP($W$37,LijstGemeenten!C:C,LijstGemeenten!E:E)))</f>
        <v>0</v>
      </c>
      <c r="AC20" s="135"/>
      <c r="AD20" s="188"/>
      <c r="AE20" s="186"/>
      <c r="AF20" s="189">
        <f t="shared" si="40"/>
        <v>1</v>
      </c>
      <c r="AG20" s="173">
        <f t="shared" si="41"/>
        <v>1.149</v>
      </c>
      <c r="AH20" s="138">
        <f t="shared" si="42"/>
        <v>11260.2</v>
      </c>
      <c r="AI20" s="139"/>
      <c r="AJ20" s="176"/>
      <c r="AK20" s="177"/>
      <c r="AL20" s="178"/>
      <c r="AM20" s="176"/>
      <c r="AN20" s="177"/>
      <c r="AO20" s="178"/>
      <c r="AP20" s="177"/>
      <c r="AQ20" s="177"/>
      <c r="AR20" s="178"/>
      <c r="AS20" s="176">
        <f>IF($B20="H",LOOKUP($D20,Codetabel!$M:$M,Codetabel!$O:$O)*'Simulatie-tabel €'!$BJ20,0)</f>
        <v>11260.2</v>
      </c>
      <c r="AT20" s="177">
        <f>IF($B20="K",LOOKUP($D20,Codetabel!$M:$M,Codetabel!$O:$O)*'Simulatie-tabel €'!$BJ20,0)</f>
        <v>0</v>
      </c>
      <c r="AU20" s="177">
        <f>IF($B20="A",LOOKUP($D20,Codetabel!$M:$M,Codetabel!$O:$O)*'Simulatie-tabel €'!$BJ20,0)</f>
        <v>0</v>
      </c>
      <c r="AV20" s="144">
        <f t="shared" si="43"/>
        <v>11260.2</v>
      </c>
      <c r="AW20" s="145">
        <f t="shared" si="44"/>
        <v>0</v>
      </c>
      <c r="AX20" s="147">
        <f t="shared" si="45"/>
        <v>0</v>
      </c>
      <c r="AY20" s="190"/>
      <c r="AZ20" s="191"/>
      <c r="BA20" s="192"/>
      <c r="BB20" s="191"/>
      <c r="BC20" s="191"/>
      <c r="BD20" s="192"/>
      <c r="BE20" s="192"/>
      <c r="BF20" s="192"/>
      <c r="BG20" s="192"/>
      <c r="BH20" s="192"/>
      <c r="BI20" s="192"/>
      <c r="BJ20" s="193">
        <f>AH20</f>
        <v>11260.2</v>
      </c>
      <c r="BL20" s="153"/>
    </row>
    <row r="21" spans="1:64" ht="16.5" customHeight="1">
      <c r="A21" s="161" t="s">
        <v>451</v>
      </c>
      <c r="B21" s="162" t="s">
        <v>129</v>
      </c>
      <c r="C21" s="183" t="s">
        <v>1485</v>
      </c>
      <c r="D21" s="498" t="s">
        <v>642</v>
      </c>
      <c r="E21" s="498"/>
      <c r="F21" s="499"/>
      <c r="G21" s="164">
        <v>8</v>
      </c>
      <c r="H21" s="165"/>
      <c r="I21" s="166"/>
      <c r="J21" s="434"/>
      <c r="K21" s="196"/>
      <c r="L21" s="196"/>
      <c r="M21" s="196"/>
      <c r="N21" s="196"/>
      <c r="O21" s="196"/>
      <c r="P21" s="196"/>
      <c r="Q21" s="168"/>
      <c r="R21" s="166"/>
      <c r="S21" s="166"/>
      <c r="T21" s="166"/>
      <c r="U21" s="436"/>
      <c r="V21" s="438"/>
      <c r="W21" s="187"/>
      <c r="X21" s="490">
        <f>G21*LOOKUP(D21,Codetabel!M:M,Codetabel!N:N)+V21*'Prijsnormen €'!$B$41</f>
        <v>29600</v>
      </c>
      <c r="Y21" s="491"/>
      <c r="Z21" s="315"/>
      <c r="AA21" s="482">
        <f>IF(A21=0,0,LOOKUP(A21,SoortWerk,Codetabel!F$2:F$7))</f>
        <v>1</v>
      </c>
      <c r="AB21" s="485">
        <f>IF($D21="afbraak-raming/offerte",0,IF($D21="diversen-raming/offerte",0,LOOKUP($W$37,LijstGemeenten!C:C,LijstGemeenten!E:E)))</f>
        <v>0</v>
      </c>
      <c r="AC21" s="135"/>
      <c r="AD21" s="188"/>
      <c r="AE21" s="186"/>
      <c r="AF21" s="189">
        <f t="shared" si="40"/>
        <v>1</v>
      </c>
      <c r="AG21" s="173">
        <f t="shared" si="41"/>
        <v>1.149</v>
      </c>
      <c r="AH21" s="138">
        <f t="shared" si="42"/>
        <v>34010.4</v>
      </c>
      <c r="AI21" s="139"/>
      <c r="AJ21" s="176"/>
      <c r="AK21" s="177"/>
      <c r="AL21" s="178"/>
      <c r="AM21" s="176"/>
      <c r="AN21" s="177"/>
      <c r="AO21" s="178"/>
      <c r="AP21" s="177"/>
      <c r="AQ21" s="177"/>
      <c r="AR21" s="178"/>
      <c r="AS21" s="176">
        <f>IF($B21="H",LOOKUP($D21,Codetabel!$M:$M,Codetabel!$O:$O)*'Simulatie-tabel €'!$BJ21,0)</f>
        <v>34010.4</v>
      </c>
      <c r="AT21" s="177">
        <f>IF($B21="K",LOOKUP($D21,Codetabel!$M:$M,Codetabel!$O:$O)*'Simulatie-tabel €'!$BJ21,0)</f>
        <v>0</v>
      </c>
      <c r="AU21" s="177">
        <f>IF($B21="A",LOOKUP($D21,Codetabel!$M:$M,Codetabel!$O:$O)*'Simulatie-tabel €'!$BJ21,0)</f>
        <v>0</v>
      </c>
      <c r="AV21" s="144">
        <f t="shared" si="43"/>
        <v>34010.4</v>
      </c>
      <c r="AW21" s="145">
        <f t="shared" si="44"/>
        <v>0</v>
      </c>
      <c r="AX21" s="147">
        <f t="shared" si="45"/>
        <v>0</v>
      </c>
      <c r="AY21" s="190"/>
      <c r="AZ21" s="191"/>
      <c r="BA21" s="192"/>
      <c r="BB21" s="191"/>
      <c r="BC21" s="191"/>
      <c r="BD21" s="192"/>
      <c r="BE21" s="192"/>
      <c r="BF21" s="192"/>
      <c r="BG21" s="192"/>
      <c r="BH21" s="192"/>
      <c r="BI21" s="192"/>
      <c r="BJ21" s="193">
        <f>AH21</f>
        <v>34010.4</v>
      </c>
      <c r="BL21" s="153"/>
    </row>
    <row r="22" spans="1:64" ht="16.5" customHeight="1">
      <c r="A22" s="161" t="s">
        <v>451</v>
      </c>
      <c r="B22" s="162" t="s">
        <v>129</v>
      </c>
      <c r="C22" s="197" t="s">
        <v>1486</v>
      </c>
      <c r="D22" s="498" t="s">
        <v>85</v>
      </c>
      <c r="E22" s="498"/>
      <c r="F22" s="499"/>
      <c r="G22" s="164">
        <v>1</v>
      </c>
      <c r="H22" s="165"/>
      <c r="I22" s="166"/>
      <c r="J22" s="195">
        <v>14.5</v>
      </c>
      <c r="K22" s="196"/>
      <c r="L22" s="196"/>
      <c r="M22" s="196"/>
      <c r="N22" s="196"/>
      <c r="O22" s="196"/>
      <c r="P22" s="196"/>
      <c r="Q22" s="168"/>
      <c r="R22" s="166"/>
      <c r="S22" s="166"/>
      <c r="T22" s="166"/>
      <c r="U22" s="436"/>
      <c r="V22" s="437"/>
      <c r="W22" s="187"/>
      <c r="X22" s="490">
        <f>LOOKUP(D22,Codetabel!M:M,Codetabel!N:N)</f>
        <v>810</v>
      </c>
      <c r="Y22" s="491"/>
      <c r="Z22" s="315"/>
      <c r="AA22" s="482">
        <f>IF(A22=0,0,LOOKUP(A22,SoortWerk,Codetabel!F$2:F$7))</f>
        <v>1</v>
      </c>
      <c r="AB22" s="485">
        <f>IF($D22="afbraak-raming/offerte",0,IF($D22="diversen-raming/offerte",0,LOOKUP($W$37,LijstGemeenten!C:C,LijstGemeenten!E:E)))</f>
        <v>0</v>
      </c>
      <c r="AC22" s="135"/>
      <c r="AD22" s="188"/>
      <c r="AE22" s="186"/>
      <c r="AF22" s="189">
        <f t="shared" si="40"/>
        <v>1</v>
      </c>
      <c r="AG22" s="173">
        <f t="shared" si="41"/>
        <v>1.149</v>
      </c>
      <c r="AH22" s="138">
        <f t="shared" si="42"/>
        <v>13495.005000000001</v>
      </c>
      <c r="AI22" s="139"/>
      <c r="AJ22" s="176"/>
      <c r="AK22" s="177"/>
      <c r="AL22" s="178"/>
      <c r="AM22" s="176"/>
      <c r="AN22" s="177"/>
      <c r="AO22" s="178"/>
      <c r="AP22" s="177"/>
      <c r="AQ22" s="177"/>
      <c r="AR22" s="178"/>
      <c r="AS22" s="176">
        <f>IF($B22="H",LOOKUP($D22,Codetabel!$M:$M,Codetabel!$O:$O)*'Simulatie-tabel €'!$BJ22,0)</f>
        <v>0</v>
      </c>
      <c r="AT22" s="177">
        <f>IF($B22="K",LOOKUP($D22,Codetabel!$M:$M,Codetabel!$O:$O)*'Simulatie-tabel €'!$BJ22,0)</f>
        <v>0</v>
      </c>
      <c r="AU22" s="177">
        <f>IF($B22="A",LOOKUP($D22,Codetabel!$M:$M,Codetabel!$O:$O)*'Simulatie-tabel €'!$BJ22,0)</f>
        <v>0</v>
      </c>
      <c r="AV22" s="144">
        <f t="shared" si="43"/>
        <v>13495.005000000001</v>
      </c>
      <c r="AW22" s="145">
        <f t="shared" si="44"/>
        <v>0</v>
      </c>
      <c r="AX22" s="147">
        <f t="shared" si="45"/>
        <v>0</v>
      </c>
      <c r="AY22" s="176"/>
      <c r="AZ22" s="177"/>
      <c r="BA22" s="178"/>
      <c r="BB22" s="177"/>
      <c r="BC22" s="177"/>
      <c r="BD22" s="178"/>
      <c r="BE22" s="178"/>
      <c r="BF22" s="178"/>
      <c r="BG22" s="178"/>
      <c r="BH22" s="178"/>
      <c r="BI22" s="178"/>
      <c r="BJ22" s="193">
        <f aca="true" t="shared" si="47" ref="BJ22:BJ27">AH22*G22</f>
        <v>13495.005000000001</v>
      </c>
      <c r="BL22" s="153"/>
    </row>
    <row r="23" spans="1:64" ht="16.5" customHeight="1">
      <c r="A23" s="161" t="s">
        <v>450</v>
      </c>
      <c r="B23" s="162" t="s">
        <v>453</v>
      </c>
      <c r="C23" s="197" t="s">
        <v>1487</v>
      </c>
      <c r="D23" s="498" t="s">
        <v>693</v>
      </c>
      <c r="E23" s="498"/>
      <c r="F23" s="499"/>
      <c r="G23" s="164">
        <v>10</v>
      </c>
      <c r="H23" s="165"/>
      <c r="I23" s="315"/>
      <c r="J23" s="434"/>
      <c r="K23" s="196"/>
      <c r="L23" s="196"/>
      <c r="M23" s="196"/>
      <c r="N23" s="196"/>
      <c r="O23" s="196"/>
      <c r="P23" s="196"/>
      <c r="Q23" s="168"/>
      <c r="R23" s="315"/>
      <c r="S23" s="315"/>
      <c r="T23" s="315"/>
      <c r="U23" s="436" t="s">
        <v>675</v>
      </c>
      <c r="V23" s="185">
        <v>0</v>
      </c>
      <c r="W23" s="187"/>
      <c r="X23" s="490">
        <f>IF(V23=0,LOOKUP(D23,Codetabel!M:M,Codetabel!N:N),(G23*LOOKUP(D23,Codetabel!M:M,Codetabel!N:N)+V23*'Prijsnormen €'!$B$41))</f>
        <v>2500</v>
      </c>
      <c r="Y23" s="491"/>
      <c r="Z23" s="315"/>
      <c r="AA23" s="482">
        <f>IF(A23=0,0,LOOKUP(A23,SoortWerk,Codetabel!F$2:F$7))</f>
        <v>1</v>
      </c>
      <c r="AB23" s="485">
        <f>IF($D23="afbraak-raming/offerte",0,IF($D23="diversen-raming/offerte",0,LOOKUP($W$37,LijstGemeenten!C:C,LijstGemeenten!E:E)))</f>
        <v>0</v>
      </c>
      <c r="AC23" s="135"/>
      <c r="AD23" s="188"/>
      <c r="AE23" s="186"/>
      <c r="AF23" s="189">
        <f t="shared" si="40"/>
        <v>1</v>
      </c>
      <c r="AG23" s="173">
        <f t="shared" si="41"/>
        <v>1.149</v>
      </c>
      <c r="AH23" s="138">
        <f>IF(G23=0,0,IF(J23=0,X23*AF23*AG23,J23*X23*AF23*AG23))</f>
        <v>2872.5</v>
      </c>
      <c r="AI23" s="139"/>
      <c r="AJ23" s="176"/>
      <c r="AK23" s="177"/>
      <c r="AL23" s="178"/>
      <c r="AM23" s="176"/>
      <c r="AN23" s="177"/>
      <c r="AO23" s="178"/>
      <c r="AP23" s="177"/>
      <c r="AQ23" s="177"/>
      <c r="AR23" s="178"/>
      <c r="AS23" s="176">
        <f>IF($B23="H",LOOKUP($D23,Codetabel!$M:$M,Codetabel!$O:$O)*'Simulatie-tabel €'!$BJ23,0)</f>
        <v>0</v>
      </c>
      <c r="AT23" s="177">
        <f>IF($B23="K",LOOKUP($D23,Codetabel!$M:$M,Codetabel!$O:$O)*'Simulatie-tabel €'!$BJ23,0)</f>
        <v>28725</v>
      </c>
      <c r="AU23" s="177">
        <f>IF($B23="A",LOOKUP($D23,Codetabel!$M:$M,Codetabel!$O:$O)*'Simulatie-tabel €'!$BJ23,0)</f>
        <v>0</v>
      </c>
      <c r="AV23" s="144">
        <f t="shared" si="43"/>
        <v>0</v>
      </c>
      <c r="AW23" s="145">
        <f t="shared" si="44"/>
        <v>28725</v>
      </c>
      <c r="AX23" s="147">
        <f t="shared" si="45"/>
        <v>0</v>
      </c>
      <c r="AY23" s="176"/>
      <c r="AZ23" s="177"/>
      <c r="BA23" s="178"/>
      <c r="BB23" s="177"/>
      <c r="BC23" s="177"/>
      <c r="BD23" s="178"/>
      <c r="BE23" s="178"/>
      <c r="BF23" s="178"/>
      <c r="BG23" s="178"/>
      <c r="BH23" s="178"/>
      <c r="BI23" s="178"/>
      <c r="BJ23" s="193">
        <f>IF(V23=0,AH23*G23,AH23)</f>
        <v>28725</v>
      </c>
      <c r="BL23" s="153"/>
    </row>
    <row r="24" spans="1:64" ht="16.5" customHeight="1">
      <c r="A24" s="161" t="s">
        <v>450</v>
      </c>
      <c r="B24" s="162" t="s">
        <v>129</v>
      </c>
      <c r="C24" s="194" t="s">
        <v>1488</v>
      </c>
      <c r="D24" s="498" t="s">
        <v>693</v>
      </c>
      <c r="E24" s="498"/>
      <c r="F24" s="499"/>
      <c r="G24" s="164">
        <v>2</v>
      </c>
      <c r="H24" s="165"/>
      <c r="I24" s="166"/>
      <c r="J24" s="434"/>
      <c r="K24" s="196"/>
      <c r="L24" s="196"/>
      <c r="M24" s="196"/>
      <c r="N24" s="196"/>
      <c r="O24" s="196"/>
      <c r="P24" s="196"/>
      <c r="Q24" s="168"/>
      <c r="R24" s="166"/>
      <c r="S24" s="166"/>
      <c r="T24" s="166"/>
      <c r="U24" s="436" t="s">
        <v>675</v>
      </c>
      <c r="V24" s="185">
        <v>0</v>
      </c>
      <c r="W24" s="187"/>
      <c r="X24" s="490">
        <f>IF(V24=0,LOOKUP(D24,Codetabel!M:M,Codetabel!N:N),(G24*LOOKUP(D24,Codetabel!M:M,Codetabel!N:N)+V24*'Prijsnormen €'!$B$41))</f>
        <v>2500</v>
      </c>
      <c r="Y24" s="491"/>
      <c r="Z24" s="166"/>
      <c r="AA24" s="482">
        <f>IF(A24=0,0,LOOKUP(A24,SoortWerk,Codetabel!F$2:F$7))</f>
        <v>1</v>
      </c>
      <c r="AB24" s="485">
        <f>IF($D24="afbraak-raming/offerte",0,IF($D24="diversen-raming/offerte",0,LOOKUP($W$37,LijstGemeenten!C:C,LijstGemeenten!E:E)))</f>
        <v>0</v>
      </c>
      <c r="AC24" s="135"/>
      <c r="AD24" s="188"/>
      <c r="AE24" s="186"/>
      <c r="AF24" s="189">
        <f t="shared" si="40"/>
        <v>1</v>
      </c>
      <c r="AG24" s="173">
        <f t="shared" si="41"/>
        <v>1.149</v>
      </c>
      <c r="AH24" s="138">
        <f>IF(G24=0,0,IF(J24=0,X24*AF24*AG24,J24*X24*AF24*AG24))</f>
        <v>2872.5</v>
      </c>
      <c r="AI24" s="139"/>
      <c r="AJ24" s="176"/>
      <c r="AK24" s="177"/>
      <c r="AL24" s="178"/>
      <c r="AM24" s="176"/>
      <c r="AN24" s="177"/>
      <c r="AO24" s="178"/>
      <c r="AP24" s="177"/>
      <c r="AQ24" s="177"/>
      <c r="AR24" s="178"/>
      <c r="AS24" s="176">
        <f>IF($B24="H",LOOKUP($D24,Codetabel!$M:$M,Codetabel!$O:$O)*'Simulatie-tabel €'!$BJ24,0)</f>
        <v>5745</v>
      </c>
      <c r="AT24" s="177">
        <f>IF($B24="K",LOOKUP($D24,Codetabel!$M:$M,Codetabel!$O:$O)*'Simulatie-tabel €'!$BJ24,0)</f>
        <v>0</v>
      </c>
      <c r="AU24" s="177">
        <f>IF($B24="A",LOOKUP($D24,Codetabel!$M:$M,Codetabel!$O:$O)*'Simulatie-tabel €'!$BJ24,0)</f>
        <v>0</v>
      </c>
      <c r="AV24" s="144">
        <f t="shared" si="43"/>
        <v>5745</v>
      </c>
      <c r="AW24" s="145">
        <f t="shared" si="44"/>
        <v>0</v>
      </c>
      <c r="AX24" s="147">
        <f t="shared" si="45"/>
        <v>0</v>
      </c>
      <c r="AY24" s="176"/>
      <c r="AZ24" s="177"/>
      <c r="BA24" s="178"/>
      <c r="BB24" s="177"/>
      <c r="BC24" s="177"/>
      <c r="BD24" s="178"/>
      <c r="BE24" s="178"/>
      <c r="BF24" s="178"/>
      <c r="BG24" s="178"/>
      <c r="BH24" s="178"/>
      <c r="BI24" s="178"/>
      <c r="BJ24" s="193">
        <f>IF(V24=0,AH24*G24,AH24)</f>
        <v>5745</v>
      </c>
      <c r="BL24" s="153"/>
    </row>
    <row r="25" spans="1:64" ht="16.5" customHeight="1">
      <c r="A25" s="161" t="s">
        <v>451</v>
      </c>
      <c r="B25" s="162" t="s">
        <v>129</v>
      </c>
      <c r="C25" s="183" t="s">
        <v>1489</v>
      </c>
      <c r="D25" s="498" t="s">
        <v>693</v>
      </c>
      <c r="E25" s="498"/>
      <c r="F25" s="499"/>
      <c r="G25" s="164">
        <v>2</v>
      </c>
      <c r="H25" s="165"/>
      <c r="I25" s="166"/>
      <c r="J25" s="434"/>
      <c r="K25" s="196"/>
      <c r="L25" s="196"/>
      <c r="M25" s="196"/>
      <c r="N25" s="196"/>
      <c r="O25" s="196"/>
      <c r="P25" s="196"/>
      <c r="Q25" s="168"/>
      <c r="R25" s="166"/>
      <c r="S25" s="166"/>
      <c r="T25" s="166"/>
      <c r="U25" s="436" t="s">
        <v>686</v>
      </c>
      <c r="V25" s="185">
        <v>6</v>
      </c>
      <c r="W25" s="187"/>
      <c r="X25" s="490">
        <f>IF(V25=0,LOOKUP(D25,Codetabel!M:M,Codetabel!N:N),(G25*LOOKUP(D25,Codetabel!M:M,Codetabel!N:N)+V25*'Prijsnormen €'!$B$41))</f>
        <v>10250</v>
      </c>
      <c r="Y25" s="491"/>
      <c r="Z25" s="166"/>
      <c r="AA25" s="482">
        <f>IF(A25=0,0,LOOKUP(A25,SoortWerk,Codetabel!F$2:F$7))</f>
        <v>1</v>
      </c>
      <c r="AB25" s="485">
        <f>IF($D25="afbraak-raming/offerte",0,IF($D25="diversen-raming/offerte",0,LOOKUP($W$37,LijstGemeenten!C:C,LijstGemeenten!E:E)))</f>
        <v>0</v>
      </c>
      <c r="AC25" s="135"/>
      <c r="AD25" s="188"/>
      <c r="AE25" s="186"/>
      <c r="AF25" s="189">
        <f t="shared" si="40"/>
        <v>1</v>
      </c>
      <c r="AG25" s="173">
        <f t="shared" si="41"/>
        <v>1.149</v>
      </c>
      <c r="AH25" s="138">
        <f>IF(G25=0,0,IF(J25=0,X25*AF25*AG25,J25*X25*AF25*AG25))</f>
        <v>11777.25</v>
      </c>
      <c r="AI25" s="139"/>
      <c r="AJ25" s="176"/>
      <c r="AK25" s="177"/>
      <c r="AL25" s="178"/>
      <c r="AM25" s="176"/>
      <c r="AN25" s="177"/>
      <c r="AO25" s="178"/>
      <c r="AP25" s="177"/>
      <c r="AQ25" s="177"/>
      <c r="AR25" s="178"/>
      <c r="AS25" s="176">
        <f>IF($B25="H",LOOKUP($D25,Codetabel!$M:$M,Codetabel!$O:$O)*'Simulatie-tabel €'!$BJ25,0)</f>
        <v>11777.25</v>
      </c>
      <c r="AT25" s="177">
        <f>IF($B25="K",LOOKUP($D25,Codetabel!$M:$M,Codetabel!$O:$O)*'Simulatie-tabel €'!$BJ25,0)</f>
        <v>0</v>
      </c>
      <c r="AU25" s="177">
        <f>IF($B25="A",LOOKUP($D25,Codetabel!$M:$M,Codetabel!$O:$O)*'Simulatie-tabel €'!$BJ25,0)</f>
        <v>0</v>
      </c>
      <c r="AV25" s="144">
        <f t="shared" si="43"/>
        <v>11777.25</v>
      </c>
      <c r="AW25" s="145">
        <f t="shared" si="44"/>
        <v>0</v>
      </c>
      <c r="AX25" s="147">
        <f t="shared" si="45"/>
        <v>0</v>
      </c>
      <c r="AY25" s="176"/>
      <c r="AZ25" s="177"/>
      <c r="BA25" s="178"/>
      <c r="BB25" s="177"/>
      <c r="BC25" s="177"/>
      <c r="BD25" s="178"/>
      <c r="BE25" s="178"/>
      <c r="BF25" s="178"/>
      <c r="BG25" s="178"/>
      <c r="BH25" s="178"/>
      <c r="BI25" s="178"/>
      <c r="BJ25" s="193">
        <f>IF(V25=0,AH25*G25,AH25)</f>
        <v>11777.25</v>
      </c>
      <c r="BL25" s="153"/>
    </row>
    <row r="26" spans="1:64" ht="16.5" customHeight="1">
      <c r="A26" s="161" t="s">
        <v>450</v>
      </c>
      <c r="B26" s="162" t="s">
        <v>453</v>
      </c>
      <c r="C26" s="194" t="s">
        <v>1490</v>
      </c>
      <c r="D26" s="498" t="s">
        <v>98</v>
      </c>
      <c r="E26" s="498"/>
      <c r="F26" s="499"/>
      <c r="G26" s="164">
        <v>10</v>
      </c>
      <c r="H26" s="165"/>
      <c r="I26" s="315"/>
      <c r="J26" s="195">
        <v>4.41</v>
      </c>
      <c r="K26" s="196"/>
      <c r="L26" s="196"/>
      <c r="M26" s="196"/>
      <c r="N26" s="196"/>
      <c r="O26" s="196"/>
      <c r="P26" s="196"/>
      <c r="Q26" s="168"/>
      <c r="R26" s="315"/>
      <c r="S26" s="315"/>
      <c r="T26" s="315"/>
      <c r="U26" s="436"/>
      <c r="V26" s="437"/>
      <c r="W26" s="187"/>
      <c r="X26" s="490">
        <f>LOOKUP(D26,Codetabel!M:M,Codetabel!N:N)</f>
        <v>810</v>
      </c>
      <c r="Y26" s="491"/>
      <c r="Z26" s="315"/>
      <c r="AA26" s="482">
        <f>IF(A26=0,0,LOOKUP(A26,SoortWerk,Codetabel!F$2:F$7))</f>
        <v>1</v>
      </c>
      <c r="AB26" s="485">
        <f>IF($D26="afbraak-raming/offerte",0,IF($D26="diversen-raming/offerte",0,LOOKUP($W$37,LijstGemeenten!C:C,LijstGemeenten!E:E)))</f>
        <v>0</v>
      </c>
      <c r="AC26" s="135"/>
      <c r="AD26" s="188"/>
      <c r="AE26" s="186"/>
      <c r="AF26" s="189">
        <f t="shared" si="40"/>
        <v>1</v>
      </c>
      <c r="AG26" s="173">
        <f t="shared" si="41"/>
        <v>1.149</v>
      </c>
      <c r="AH26" s="138">
        <f t="shared" si="42"/>
        <v>4104.3429</v>
      </c>
      <c r="AI26" s="139"/>
      <c r="AJ26" s="176"/>
      <c r="AK26" s="177"/>
      <c r="AL26" s="178"/>
      <c r="AM26" s="176"/>
      <c r="AN26" s="177"/>
      <c r="AO26" s="178"/>
      <c r="AP26" s="177"/>
      <c r="AQ26" s="177"/>
      <c r="AR26" s="178"/>
      <c r="AS26" s="176">
        <f>IF($B26="H",LOOKUP($D26,Codetabel!$M:$M,Codetabel!$O:$O)*'Simulatie-tabel €'!$BJ26,0)</f>
        <v>0</v>
      </c>
      <c r="AT26" s="177">
        <f>IF($B26="K",LOOKUP($D26,Codetabel!$M:$M,Codetabel!$O:$O)*'Simulatie-tabel €'!$BJ26,0)</f>
        <v>0</v>
      </c>
      <c r="AU26" s="177">
        <f>IF($B26="A",LOOKUP($D26,Codetabel!$M:$M,Codetabel!$O:$O)*'Simulatie-tabel €'!$BJ26,0)</f>
        <v>0</v>
      </c>
      <c r="AV26" s="144">
        <f t="shared" si="43"/>
        <v>0</v>
      </c>
      <c r="AW26" s="145">
        <f t="shared" si="44"/>
        <v>41043.429</v>
      </c>
      <c r="AX26" s="147">
        <f t="shared" si="45"/>
        <v>0</v>
      </c>
      <c r="AY26" s="176"/>
      <c r="AZ26" s="177"/>
      <c r="BA26" s="178"/>
      <c r="BB26" s="177"/>
      <c r="BC26" s="177"/>
      <c r="BD26" s="178"/>
      <c r="BE26" s="178"/>
      <c r="BF26" s="178"/>
      <c r="BG26" s="178"/>
      <c r="BH26" s="178"/>
      <c r="BI26" s="178"/>
      <c r="BJ26" s="193">
        <f t="shared" si="47"/>
        <v>41043.429</v>
      </c>
      <c r="BL26" s="153"/>
    </row>
    <row r="27" spans="1:64" ht="16.5" customHeight="1" thickBot="1">
      <c r="A27" s="161" t="s">
        <v>451</v>
      </c>
      <c r="B27" s="162" t="s">
        <v>129</v>
      </c>
      <c r="C27" s="194" t="s">
        <v>1491</v>
      </c>
      <c r="D27" s="498" t="s">
        <v>80</v>
      </c>
      <c r="E27" s="498"/>
      <c r="F27" s="499"/>
      <c r="G27" s="164">
        <v>1</v>
      </c>
      <c r="H27" s="165"/>
      <c r="I27" s="315"/>
      <c r="J27" s="195">
        <v>27.99</v>
      </c>
      <c r="K27" s="196"/>
      <c r="L27" s="196"/>
      <c r="M27" s="196"/>
      <c r="N27" s="196"/>
      <c r="O27" s="196"/>
      <c r="P27" s="196"/>
      <c r="Q27" s="168"/>
      <c r="R27" s="315"/>
      <c r="S27" s="315"/>
      <c r="T27" s="315"/>
      <c r="U27" s="436"/>
      <c r="V27" s="437"/>
      <c r="W27" s="187"/>
      <c r="X27" s="490">
        <f>LOOKUP(D27,Codetabel!M:M,Codetabel!N:N)</f>
        <v>810</v>
      </c>
      <c r="Y27" s="491"/>
      <c r="Z27" s="315"/>
      <c r="AA27" s="483">
        <f>IF(A27=0,0,LOOKUP(A27,SoortWerk,Codetabel!F$2:F$7))</f>
        <v>1</v>
      </c>
      <c r="AB27" s="486">
        <f>IF($D27="afbraak-raming/offerte",0,IF($D27="diversen-raming/offerte",0,LOOKUP($W$37,LijstGemeenten!C:C,LijstGemeenten!E:E)))</f>
        <v>0</v>
      </c>
      <c r="AC27" s="135"/>
      <c r="AD27" s="188"/>
      <c r="AE27" s="186"/>
      <c r="AF27" s="189">
        <f t="shared" si="40"/>
        <v>1</v>
      </c>
      <c r="AG27" s="173">
        <f t="shared" si="41"/>
        <v>1.149</v>
      </c>
      <c r="AH27" s="138">
        <f t="shared" si="42"/>
        <v>26050.013099999996</v>
      </c>
      <c r="AI27" s="139"/>
      <c r="AJ27" s="176"/>
      <c r="AK27" s="177"/>
      <c r="AL27" s="178"/>
      <c r="AM27" s="176"/>
      <c r="AN27" s="177"/>
      <c r="AO27" s="178"/>
      <c r="AP27" s="177"/>
      <c r="AQ27" s="177"/>
      <c r="AR27" s="178"/>
      <c r="AS27" s="176">
        <f>IF($B27="H",LOOKUP($D27,Codetabel!$M:$M,Codetabel!$O:$O)*'Simulatie-tabel €'!$BJ27,0)</f>
        <v>0</v>
      </c>
      <c r="AT27" s="177">
        <f>IF($B27="K",LOOKUP($D27,Codetabel!$M:$M,Codetabel!$O:$O)*'Simulatie-tabel €'!$BJ27,0)</f>
        <v>0</v>
      </c>
      <c r="AU27" s="177">
        <f>IF($B27="A",LOOKUP($D27,Codetabel!$M:$M,Codetabel!$O:$O)*'Simulatie-tabel €'!$BJ27,0)</f>
        <v>0</v>
      </c>
      <c r="AV27" s="144">
        <f t="shared" si="43"/>
        <v>26050.013099999996</v>
      </c>
      <c r="AW27" s="145">
        <f t="shared" si="44"/>
        <v>0</v>
      </c>
      <c r="AX27" s="147">
        <f t="shared" si="45"/>
        <v>0</v>
      </c>
      <c r="AY27" s="176"/>
      <c r="AZ27" s="177"/>
      <c r="BA27" s="178"/>
      <c r="BB27" s="177"/>
      <c r="BC27" s="177"/>
      <c r="BD27" s="178"/>
      <c r="BE27" s="178"/>
      <c r="BF27" s="178"/>
      <c r="BG27" s="178"/>
      <c r="BH27" s="178"/>
      <c r="BI27" s="178"/>
      <c r="BJ27" s="193">
        <f t="shared" si="47"/>
        <v>26050.013099999996</v>
      </c>
      <c r="BL27" s="153"/>
    </row>
    <row r="28" spans="1:64" ht="11.25" customHeight="1" thickBot="1">
      <c r="A28" s="500" t="str">
        <f>IF(G38=0,"",G38)</f>
        <v>2018/0001/01</v>
      </c>
      <c r="B28" s="501"/>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473"/>
      <c r="AB28" s="473"/>
      <c r="AC28" s="198"/>
      <c r="AD28" s="198"/>
      <c r="AE28" s="198"/>
      <c r="AF28" s="198"/>
      <c r="AG28" s="198"/>
      <c r="AH28" s="198"/>
      <c r="AI28" s="199"/>
      <c r="AJ28" s="200"/>
      <c r="AK28" s="201"/>
      <c r="AL28" s="202"/>
      <c r="AM28" s="200"/>
      <c r="AN28" s="201"/>
      <c r="AO28" s="202"/>
      <c r="AP28" s="201"/>
      <c r="AQ28" s="201"/>
      <c r="AR28" s="202"/>
      <c r="AS28" s="203"/>
      <c r="AT28" s="204"/>
      <c r="AU28" s="204"/>
      <c r="AV28" s="158"/>
      <c r="AW28" s="155"/>
      <c r="AX28" s="159"/>
      <c r="AY28" s="200"/>
      <c r="AZ28" s="201"/>
      <c r="BA28" s="202"/>
      <c r="BB28" s="201"/>
      <c r="BC28" s="201"/>
      <c r="BD28" s="201"/>
      <c r="BE28" s="199"/>
      <c r="BF28" s="199"/>
      <c r="BG28" s="201"/>
      <c r="BH28" s="199"/>
      <c r="BI28" s="202"/>
      <c r="BJ28" s="205"/>
      <c r="BL28" s="153"/>
    </row>
    <row r="29" spans="1:64" s="212" customFormat="1" ht="20.25" customHeight="1" thickBot="1">
      <c r="A29" s="502"/>
      <c r="B29" s="503"/>
      <c r="C29" s="166"/>
      <c r="D29" s="166"/>
      <c r="E29" s="166"/>
      <c r="F29" s="166"/>
      <c r="G29" s="524" t="s">
        <v>467</v>
      </c>
      <c r="H29" s="524"/>
      <c r="I29" s="524"/>
      <c r="J29" s="166" t="s">
        <v>459</v>
      </c>
      <c r="K29" s="206"/>
      <c r="L29" s="206"/>
      <c r="M29" s="206"/>
      <c r="N29" s="206"/>
      <c r="O29" s="206"/>
      <c r="P29" s="206"/>
      <c r="Q29" s="166" t="s">
        <v>562</v>
      </c>
      <c r="R29" s="166" t="s">
        <v>458</v>
      </c>
      <c r="S29" s="166"/>
      <c r="T29" s="166"/>
      <c r="U29" s="207" t="s">
        <v>633</v>
      </c>
      <c r="V29" s="477" t="s">
        <v>455</v>
      </c>
      <c r="W29" s="206" t="s">
        <v>571</v>
      </c>
      <c r="X29" s="206"/>
      <c r="Y29" s="206"/>
      <c r="Z29" s="206"/>
      <c r="AA29" s="206"/>
      <c r="AB29" s="547">
        <v>1041</v>
      </c>
      <c r="AC29" s="548"/>
      <c r="AD29" s="549"/>
      <c r="AE29" s="545">
        <v>906</v>
      </c>
      <c r="AF29" s="546"/>
      <c r="AG29" s="583">
        <f>ROUND(AB29/AE29,3)</f>
        <v>1.149</v>
      </c>
      <c r="AH29" s="584"/>
      <c r="AI29" s="208"/>
      <c r="AJ29" s="357">
        <f aca="true" t="shared" si="48" ref="AJ29:AR29">SUM(AJ4:AJ11)</f>
        <v>11</v>
      </c>
      <c r="AK29" s="358">
        <f t="shared" si="48"/>
        <v>10</v>
      </c>
      <c r="AL29" s="359">
        <f t="shared" si="48"/>
        <v>0</v>
      </c>
      <c r="AM29" s="360">
        <f t="shared" si="48"/>
        <v>957</v>
      </c>
      <c r="AN29" s="361">
        <f t="shared" si="48"/>
        <v>1150</v>
      </c>
      <c r="AO29" s="362">
        <f t="shared" si="48"/>
        <v>0</v>
      </c>
      <c r="AP29" s="361">
        <f t="shared" si="48"/>
        <v>954.2300000000001</v>
      </c>
      <c r="AQ29" s="361">
        <f t="shared" si="48"/>
        <v>1155</v>
      </c>
      <c r="AR29" s="362">
        <f t="shared" si="48"/>
        <v>0</v>
      </c>
      <c r="AS29" s="363">
        <f>BG29</f>
        <v>64125.21659607239</v>
      </c>
      <c r="AT29" s="364">
        <f>BH29</f>
        <v>79499.7834039276</v>
      </c>
      <c r="AU29" s="364">
        <f>BI29</f>
        <v>0</v>
      </c>
      <c r="AV29" s="365">
        <f>BG29</f>
        <v>64125.21659607239</v>
      </c>
      <c r="AW29" s="365">
        <f>BH29</f>
        <v>79499.7834039276</v>
      </c>
      <c r="AX29" s="366">
        <f>BI29</f>
        <v>0</v>
      </c>
      <c r="AY29" s="367">
        <f aca="true" t="shared" si="49" ref="AY29:BI29">SUM(AY4:AY10)</f>
        <v>6079.7749499088195</v>
      </c>
      <c r="AZ29" s="368">
        <f t="shared" si="49"/>
        <v>1993.8311688311683</v>
      </c>
      <c r="BA29" s="369">
        <f t="shared" si="49"/>
        <v>0</v>
      </c>
      <c r="BB29" s="368">
        <f t="shared" si="49"/>
        <v>7900</v>
      </c>
      <c r="BC29" s="368">
        <f t="shared" si="49"/>
        <v>57500</v>
      </c>
      <c r="BD29" s="368">
        <f t="shared" si="49"/>
        <v>0</v>
      </c>
      <c r="BE29" s="370">
        <f t="shared" si="49"/>
        <v>596790.6000000001</v>
      </c>
      <c r="BF29" s="370">
        <f t="shared" si="49"/>
        <v>143625</v>
      </c>
      <c r="BG29" s="367">
        <f t="shared" si="49"/>
        <v>64125.21659607239</v>
      </c>
      <c r="BH29" s="370">
        <f t="shared" si="49"/>
        <v>79499.7834039276</v>
      </c>
      <c r="BI29" s="369">
        <f t="shared" si="49"/>
        <v>0</v>
      </c>
      <c r="BJ29" s="211" t="s">
        <v>589</v>
      </c>
      <c r="BL29" s="153"/>
    </row>
    <row r="30" spans="1:64" ht="19.5" customHeight="1">
      <c r="A30" s="502"/>
      <c r="B30" s="503"/>
      <c r="C30" s="506" t="s">
        <v>551</v>
      </c>
      <c r="D30" s="506"/>
      <c r="E30" s="506"/>
      <c r="F30" s="507"/>
      <c r="G30" s="585">
        <f>AJ29</f>
        <v>11</v>
      </c>
      <c r="H30" s="586"/>
      <c r="I30" s="586"/>
      <c r="J30" s="213">
        <f>AM29</f>
        <v>957</v>
      </c>
      <c r="K30" s="214"/>
      <c r="L30" s="214"/>
      <c r="M30" s="214"/>
      <c r="N30" s="214"/>
      <c r="O30" s="214"/>
      <c r="P30" s="214"/>
      <c r="Q30" s="215">
        <f>IF(R30&gt;0,J30/R30,0)</f>
        <v>1.0029028640893702</v>
      </c>
      <c r="R30" s="216">
        <f>AP29</f>
        <v>954.2300000000001</v>
      </c>
      <c r="S30" s="217"/>
      <c r="T30" s="218"/>
      <c r="U30" s="219">
        <f>AY29</f>
        <v>6079.7749499088195</v>
      </c>
      <c r="V30" s="478">
        <f>BB29</f>
        <v>7900</v>
      </c>
      <c r="W30" s="558">
        <f>BG29</f>
        <v>64125.21659607239</v>
      </c>
      <c r="X30" s="559"/>
      <c r="Y30" s="506" t="s">
        <v>563</v>
      </c>
      <c r="Z30" s="506"/>
      <c r="AA30" s="507"/>
      <c r="AB30" s="591">
        <v>1836108.00733863</v>
      </c>
      <c r="AC30" s="592"/>
      <c r="AD30" s="592"/>
      <c r="AE30" s="592"/>
      <c r="AF30" s="593"/>
      <c r="AG30" s="581">
        <f>IF(BJ30&gt;0,AB30/BJ30,0)</f>
        <v>0.8839712050862699</v>
      </c>
      <c r="AH30" s="582"/>
      <c r="AI30" s="220"/>
      <c r="AJ30" s="221"/>
      <c r="AK30" s="222"/>
      <c r="AL30" s="223"/>
      <c r="AM30" s="221"/>
      <c r="AN30" s="222"/>
      <c r="AO30" s="223"/>
      <c r="AP30" s="222"/>
      <c r="AQ30" s="222"/>
      <c r="AR30" s="223"/>
      <c r="AS30" s="224"/>
      <c r="AT30" s="225"/>
      <c r="AU30" s="225"/>
      <c r="AV30" s="226"/>
      <c r="AW30" s="227"/>
      <c r="AX30" s="228"/>
      <c r="AY30" s="229"/>
      <c r="AZ30" s="230"/>
      <c r="BA30" s="231"/>
      <c r="BB30" s="230"/>
      <c r="BC30" s="230"/>
      <c r="BD30" s="230"/>
      <c r="BE30" s="232"/>
      <c r="BF30" s="232"/>
      <c r="BG30" s="230"/>
      <c r="BH30" s="232"/>
      <c r="BI30" s="231"/>
      <c r="BJ30" s="233">
        <f>$AV$34</f>
        <v>2077112.915866346</v>
      </c>
      <c r="BL30" s="153"/>
    </row>
    <row r="31" spans="1:64" ht="19.5" customHeight="1">
      <c r="A31" s="502"/>
      <c r="B31" s="503"/>
      <c r="C31" s="506" t="s">
        <v>552</v>
      </c>
      <c r="D31" s="506"/>
      <c r="E31" s="506"/>
      <c r="F31" s="507"/>
      <c r="G31" s="556">
        <f>AK29</f>
        <v>10</v>
      </c>
      <c r="H31" s="557"/>
      <c r="I31" s="557"/>
      <c r="J31" s="234">
        <f>AN29</f>
        <v>1150</v>
      </c>
      <c r="K31" s="235"/>
      <c r="L31" s="235"/>
      <c r="M31" s="235"/>
      <c r="N31" s="235"/>
      <c r="O31" s="235"/>
      <c r="P31" s="235"/>
      <c r="Q31" s="236">
        <f>IF(R31&gt;0,J31/R31,0)</f>
        <v>0.9956709956709957</v>
      </c>
      <c r="R31" s="237">
        <f>AQ29</f>
        <v>1155</v>
      </c>
      <c r="S31" s="238"/>
      <c r="T31" s="218"/>
      <c r="U31" s="239">
        <f>AZ29</f>
        <v>1993.8311688311683</v>
      </c>
      <c r="V31" s="479">
        <f>BC29</f>
        <v>57500</v>
      </c>
      <c r="W31" s="563">
        <f>BH29</f>
        <v>79499.7834039276</v>
      </c>
      <c r="X31" s="564"/>
      <c r="Y31" s="506" t="s">
        <v>564</v>
      </c>
      <c r="Z31" s="506"/>
      <c r="AA31" s="507"/>
      <c r="AB31" s="594">
        <v>1987947.02294359</v>
      </c>
      <c r="AC31" s="595"/>
      <c r="AD31" s="595"/>
      <c r="AE31" s="595"/>
      <c r="AF31" s="596"/>
      <c r="AG31" s="581">
        <f>IF(BJ31&gt;0,AB31/BJ31,0)</f>
        <v>0.8755152576875509</v>
      </c>
      <c r="AH31" s="582"/>
      <c r="AI31" s="220"/>
      <c r="AJ31" s="221"/>
      <c r="AK31" s="222"/>
      <c r="AL31" s="223"/>
      <c r="AM31" s="221"/>
      <c r="AN31" s="222"/>
      <c r="AO31" s="223"/>
      <c r="AP31" s="222"/>
      <c r="AQ31" s="222"/>
      <c r="AR31" s="223"/>
      <c r="AS31" s="224"/>
      <c r="AT31" s="225"/>
      <c r="AU31" s="225"/>
      <c r="AV31" s="226"/>
      <c r="AW31" s="227"/>
      <c r="AX31" s="228"/>
      <c r="AY31" s="229"/>
      <c r="AZ31" s="230"/>
      <c r="BA31" s="231"/>
      <c r="BB31" s="230"/>
      <c r="BC31" s="230"/>
      <c r="BD31" s="230"/>
      <c r="BE31" s="232"/>
      <c r="BF31" s="232"/>
      <c r="BG31" s="230"/>
      <c r="BH31" s="232"/>
      <c r="BI31" s="231"/>
      <c r="BJ31" s="240">
        <f>$AW$34</f>
        <v>2270602.374416915</v>
      </c>
      <c r="BL31" s="153"/>
    </row>
    <row r="32" spans="1:64" ht="19.5" customHeight="1" thickBot="1">
      <c r="A32" s="502"/>
      <c r="B32" s="503"/>
      <c r="C32" s="506" t="s">
        <v>553</v>
      </c>
      <c r="D32" s="506"/>
      <c r="E32" s="506"/>
      <c r="F32" s="507"/>
      <c r="G32" s="517">
        <f>AL29</f>
        <v>0</v>
      </c>
      <c r="H32" s="518"/>
      <c r="I32" s="518"/>
      <c r="J32" s="241">
        <f>AO29</f>
        <v>0</v>
      </c>
      <c r="K32" s="242"/>
      <c r="L32" s="242"/>
      <c r="M32" s="242"/>
      <c r="N32" s="242"/>
      <c r="O32" s="242"/>
      <c r="P32" s="242"/>
      <c r="Q32" s="243">
        <f>IF(R32&gt;0,J32/R32,0)</f>
        <v>0</v>
      </c>
      <c r="R32" s="244">
        <f>AR29</f>
        <v>0</v>
      </c>
      <c r="S32" s="245"/>
      <c r="T32" s="218"/>
      <c r="U32" s="246">
        <f>BA29</f>
        <v>0</v>
      </c>
      <c r="V32" s="476">
        <f>BD29</f>
        <v>0</v>
      </c>
      <c r="W32" s="565">
        <f>BI29</f>
        <v>0</v>
      </c>
      <c r="X32" s="566"/>
      <c r="Y32" s="506" t="s">
        <v>565</v>
      </c>
      <c r="Z32" s="506"/>
      <c r="AA32" s="507"/>
      <c r="AB32" s="552">
        <f>BJ32</f>
        <v>0</v>
      </c>
      <c r="AC32" s="553"/>
      <c r="AD32" s="553"/>
      <c r="AE32" s="553"/>
      <c r="AF32" s="554"/>
      <c r="AG32" s="581">
        <f>IF(BJ32&gt;0,AB32/BJ32,0)</f>
        <v>0</v>
      </c>
      <c r="AH32" s="582"/>
      <c r="AI32" s="220"/>
      <c r="AJ32" s="221"/>
      <c r="AK32" s="222"/>
      <c r="AL32" s="223"/>
      <c r="AM32" s="221"/>
      <c r="AN32" s="222"/>
      <c r="AO32" s="223"/>
      <c r="AP32" s="222"/>
      <c r="AQ32" s="222"/>
      <c r="AR32" s="223"/>
      <c r="AS32" s="224"/>
      <c r="AT32" s="225"/>
      <c r="AU32" s="225"/>
      <c r="AV32" s="226"/>
      <c r="AW32" s="227"/>
      <c r="AX32" s="228"/>
      <c r="AY32" s="229"/>
      <c r="AZ32" s="230"/>
      <c r="BA32" s="231"/>
      <c r="BB32" s="230"/>
      <c r="BC32" s="230"/>
      <c r="BD32" s="230"/>
      <c r="BE32" s="232"/>
      <c r="BF32" s="232"/>
      <c r="BG32" s="230"/>
      <c r="BH32" s="232"/>
      <c r="BI32" s="231"/>
      <c r="BJ32" s="247">
        <f>$AX$34</f>
        <v>0</v>
      </c>
      <c r="BL32" s="153"/>
    </row>
    <row r="33" spans="1:64" ht="14.25" customHeight="1" thickBot="1">
      <c r="A33" s="502"/>
      <c r="B33" s="503"/>
      <c r="C33" s="248"/>
      <c r="D33" s="248"/>
      <c r="E33" s="248"/>
      <c r="F33" s="248"/>
      <c r="G33" s="249"/>
      <c r="H33" s="249"/>
      <c r="I33" s="250"/>
      <c r="J33" s="249"/>
      <c r="K33" s="251"/>
      <c r="L33" s="252"/>
      <c r="M33" s="252"/>
      <c r="N33" s="251"/>
      <c r="O33" s="251"/>
      <c r="P33" s="251"/>
      <c r="Q33" s="253"/>
      <c r="R33" s="249"/>
      <c r="S33" s="251"/>
      <c r="T33" s="254"/>
      <c r="U33" s="250"/>
      <c r="V33" s="249"/>
      <c r="W33" s="249"/>
      <c r="X33" s="255"/>
      <c r="Y33" s="256"/>
      <c r="Z33" s="257"/>
      <c r="AA33" s="258"/>
      <c r="AB33" s="555" t="s">
        <v>599</v>
      </c>
      <c r="AC33" s="555"/>
      <c r="AD33" s="555"/>
      <c r="AE33" s="555"/>
      <c r="AF33" s="555"/>
      <c r="AG33" s="259"/>
      <c r="AH33" s="259"/>
      <c r="AI33" s="220"/>
      <c r="AJ33" s="260"/>
      <c r="AK33" s="259"/>
      <c r="AL33" s="261"/>
      <c r="AM33" s="260"/>
      <c r="AN33" s="259"/>
      <c r="AO33" s="261"/>
      <c r="AP33" s="259"/>
      <c r="AQ33" s="259"/>
      <c r="AR33" s="259"/>
      <c r="AS33" s="259"/>
      <c r="AT33" s="259"/>
      <c r="AU33" s="259"/>
      <c r="AV33" s="260"/>
      <c r="AW33" s="259"/>
      <c r="AX33" s="261"/>
      <c r="AY33" s="260"/>
      <c r="AZ33" s="259"/>
      <c r="BA33" s="261"/>
      <c r="BB33" s="259"/>
      <c r="BC33" s="259"/>
      <c r="BD33" s="259"/>
      <c r="BE33" s="262"/>
      <c r="BF33" s="262"/>
      <c r="BG33" s="259"/>
      <c r="BH33" s="262"/>
      <c r="BI33" s="259"/>
      <c r="BJ33" s="261"/>
      <c r="BL33" s="153"/>
    </row>
    <row r="34" spans="1:64" ht="24.75" customHeight="1" thickBot="1">
      <c r="A34" s="502"/>
      <c r="B34" s="503"/>
      <c r="C34" s="508" t="s">
        <v>554</v>
      </c>
      <c r="D34" s="508"/>
      <c r="E34" s="508"/>
      <c r="F34" s="509"/>
      <c r="G34" s="560">
        <f>SUM(G3:G11)</f>
        <v>21</v>
      </c>
      <c r="H34" s="561"/>
      <c r="I34" s="562"/>
      <c r="J34" s="263">
        <f>SUM($P$3:$P$11)</f>
        <v>2107</v>
      </c>
      <c r="K34" s="264"/>
      <c r="L34" s="265"/>
      <c r="M34" s="265"/>
      <c r="N34" s="264"/>
      <c r="O34" s="264"/>
      <c r="P34" s="264"/>
      <c r="Q34" s="266">
        <f>IF(R34&gt;0,J34/R34,0)</f>
        <v>0.9989427421381262</v>
      </c>
      <c r="R34" s="267">
        <f>R30+R31+R32</f>
        <v>2109.23</v>
      </c>
      <c r="S34" s="268"/>
      <c r="T34" s="254"/>
      <c r="U34" s="269">
        <f>SUM(U30:U32)</f>
        <v>8073.606118739988</v>
      </c>
      <c r="V34" s="269">
        <f>SUM(V30:V32)</f>
        <v>65400</v>
      </c>
      <c r="W34" s="550">
        <f>SUM(W30:X32)</f>
        <v>143625</v>
      </c>
      <c r="X34" s="551"/>
      <c r="Y34" s="510" t="s">
        <v>590</v>
      </c>
      <c r="Z34" s="511"/>
      <c r="AA34" s="512"/>
      <c r="AB34" s="537">
        <f>SUM(AB30:AF32)</f>
        <v>3824055.03028222</v>
      </c>
      <c r="AC34" s="538"/>
      <c r="AD34" s="538"/>
      <c r="AE34" s="538"/>
      <c r="AF34" s="539"/>
      <c r="AG34" s="542">
        <f>IF(BJ34&gt;0,AB34/BJ34,0)</f>
        <v>0.8795550708733452</v>
      </c>
      <c r="AH34" s="543"/>
      <c r="AI34" s="220"/>
      <c r="AJ34" s="270"/>
      <c r="AK34" s="271"/>
      <c r="AL34" s="272"/>
      <c r="AM34" s="270"/>
      <c r="AN34" s="271"/>
      <c r="AO34" s="272"/>
      <c r="AP34" s="271"/>
      <c r="AQ34" s="271"/>
      <c r="AR34" s="272"/>
      <c r="AS34" s="273">
        <f aca="true" t="shared" si="50" ref="AS34:AX34">(SUM(AS3:AS29))</f>
        <v>1846604.0977663458</v>
      </c>
      <c r="AT34" s="274">
        <f t="shared" si="50"/>
        <v>2045718.945416915</v>
      </c>
      <c r="AU34" s="275">
        <f t="shared" si="50"/>
        <v>0</v>
      </c>
      <c r="AV34" s="273">
        <f t="shared" si="50"/>
        <v>2077112.915866346</v>
      </c>
      <c r="AW34" s="274">
        <f t="shared" si="50"/>
        <v>2270602.374416915</v>
      </c>
      <c r="AX34" s="274">
        <f t="shared" si="50"/>
        <v>0</v>
      </c>
      <c r="AY34" s="276"/>
      <c r="AZ34" s="277"/>
      <c r="BA34" s="278"/>
      <c r="BB34" s="277"/>
      <c r="BC34" s="277"/>
      <c r="BD34" s="277"/>
      <c r="BE34" s="279"/>
      <c r="BF34" s="279"/>
      <c r="BG34" s="277"/>
      <c r="BH34" s="279"/>
      <c r="BI34" s="278"/>
      <c r="BJ34" s="280">
        <f>SUM(BJ30:BJ32)</f>
        <v>4347715.290283261</v>
      </c>
      <c r="BK34" s="281"/>
      <c r="BL34" s="153"/>
    </row>
    <row r="35" spans="1:62" ht="12" customHeight="1" thickBot="1">
      <c r="A35" s="502"/>
      <c r="B35" s="503"/>
      <c r="C35" s="248"/>
      <c r="D35" s="248"/>
      <c r="E35" s="248"/>
      <c r="F35" s="248"/>
      <c r="G35" s="282"/>
      <c r="H35" s="282"/>
      <c r="I35" s="282"/>
      <c r="J35" s="282"/>
      <c r="K35" s="283"/>
      <c r="L35" s="284"/>
      <c r="M35" s="284"/>
      <c r="N35" s="283"/>
      <c r="O35" s="283"/>
      <c r="P35" s="283"/>
      <c r="Q35" s="285"/>
      <c r="R35" s="258"/>
      <c r="S35" s="251"/>
      <c r="T35" s="254"/>
      <c r="U35" s="286"/>
      <c r="V35" s="287"/>
      <c r="W35" s="287"/>
      <c r="X35" s="287"/>
      <c r="Y35" s="218"/>
      <c r="Z35" s="218"/>
      <c r="AA35" s="218"/>
      <c r="AB35" s="288"/>
      <c r="AC35" s="288"/>
      <c r="AD35" s="288"/>
      <c r="AE35" s="288"/>
      <c r="AF35" s="288"/>
      <c r="AG35" s="289"/>
      <c r="AH35" s="290"/>
      <c r="AI35" s="220"/>
      <c r="AJ35" s="270"/>
      <c r="AK35" s="271"/>
      <c r="AL35" s="272"/>
      <c r="AM35" s="270"/>
      <c r="AN35" s="271"/>
      <c r="AO35" s="272"/>
      <c r="AP35" s="271"/>
      <c r="AQ35" s="271"/>
      <c r="AR35" s="272"/>
      <c r="AS35" s="209"/>
      <c r="AT35" s="210"/>
      <c r="AU35" s="210"/>
      <c r="AV35" s="291"/>
      <c r="AW35" s="291"/>
      <c r="AX35" s="292"/>
      <c r="AY35" s="229"/>
      <c r="AZ35" s="230"/>
      <c r="BA35" s="231"/>
      <c r="BB35" s="230"/>
      <c r="BC35" s="230"/>
      <c r="BD35" s="230"/>
      <c r="BE35" s="232"/>
      <c r="BF35" s="232"/>
      <c r="BG35" s="230"/>
      <c r="BH35" s="232"/>
      <c r="BI35" s="231"/>
      <c r="BJ35" s="293"/>
    </row>
    <row r="36" spans="1:62" ht="22.5" customHeight="1">
      <c r="A36" s="502"/>
      <c r="B36" s="503"/>
      <c r="C36" s="522" t="s">
        <v>572</v>
      </c>
      <c r="D36" s="522"/>
      <c r="E36" s="522"/>
      <c r="F36" s="523"/>
      <c r="G36" s="515">
        <v>5050</v>
      </c>
      <c r="H36" s="516"/>
      <c r="I36" s="516"/>
      <c r="J36" s="519" t="str">
        <f>LOOKUP(G36,'Lijst SHM''s'!A:A,'Lijst SHM''s'!B:B)</f>
        <v>De Voorbeeldige Woning</v>
      </c>
      <c r="K36" s="519"/>
      <c r="L36" s="519"/>
      <c r="M36" s="519"/>
      <c r="N36" s="519"/>
      <c r="O36" s="519"/>
      <c r="P36" s="519"/>
      <c r="Q36" s="519"/>
      <c r="R36" s="519"/>
      <c r="S36" s="519"/>
      <c r="T36" s="519"/>
      <c r="U36" s="519"/>
      <c r="V36" s="520"/>
      <c r="W36" s="525" t="s">
        <v>134</v>
      </c>
      <c r="X36" s="525"/>
      <c r="Y36" s="525"/>
      <c r="Z36" s="525"/>
      <c r="AA36" s="526"/>
      <c r="AB36" s="597" t="s">
        <v>576</v>
      </c>
      <c r="AC36" s="598"/>
      <c r="AD36" s="598"/>
      <c r="AE36" s="598"/>
      <c r="AF36" s="598"/>
      <c r="AG36" s="544">
        <f>IF(G30&gt;0,AB30/G30,0)</f>
        <v>166918.90975805727</v>
      </c>
      <c r="AH36" s="544"/>
      <c r="AI36" s="220"/>
      <c r="AJ36" s="270"/>
      <c r="AK36" s="271"/>
      <c r="AL36" s="272"/>
      <c r="AM36" s="270"/>
      <c r="AN36" s="271"/>
      <c r="AO36" s="272"/>
      <c r="AP36" s="271"/>
      <c r="AQ36" s="271"/>
      <c r="AR36" s="272"/>
      <c r="AS36" s="209"/>
      <c r="AT36" s="210"/>
      <c r="AU36" s="210"/>
      <c r="AV36" s="294">
        <f>AB30</f>
        <v>1836108.00733863</v>
      </c>
      <c r="AW36" s="294">
        <f>AB31</f>
        <v>1987947.02294359</v>
      </c>
      <c r="AX36" s="295">
        <f>AB32</f>
        <v>0</v>
      </c>
      <c r="AY36" s="276"/>
      <c r="AZ36" s="277"/>
      <c r="BA36" s="278"/>
      <c r="BB36" s="277"/>
      <c r="BC36" s="277"/>
      <c r="BD36" s="277"/>
      <c r="BE36" s="279"/>
      <c r="BF36" s="279"/>
      <c r="BG36" s="277"/>
      <c r="BH36" s="279"/>
      <c r="BI36" s="278"/>
      <c r="BJ36" s="587" t="str">
        <f>LOOKUP(W39,Codetabel!K:K,Codetabel!L:L)</f>
        <v>VO</v>
      </c>
    </row>
    <row r="37" spans="1:62" ht="21.75" customHeight="1" thickBot="1">
      <c r="A37" s="502"/>
      <c r="B37" s="503"/>
      <c r="C37" s="506" t="s">
        <v>573</v>
      </c>
      <c r="D37" s="506"/>
      <c r="E37" s="506"/>
      <c r="F37" s="507"/>
      <c r="G37" s="578" t="s">
        <v>1503</v>
      </c>
      <c r="H37" s="579"/>
      <c r="I37" s="579"/>
      <c r="J37" s="579"/>
      <c r="K37" s="579"/>
      <c r="L37" s="579"/>
      <c r="M37" s="579"/>
      <c r="N37" s="579"/>
      <c r="O37" s="579"/>
      <c r="P37" s="579"/>
      <c r="Q37" s="579"/>
      <c r="R37" s="579"/>
      <c r="S37" s="579"/>
      <c r="T37" s="579"/>
      <c r="U37" s="579"/>
      <c r="V37" s="580"/>
      <c r="W37" s="513" t="s">
        <v>597</v>
      </c>
      <c r="X37" s="513"/>
      <c r="Y37" s="513"/>
      <c r="Z37" s="513"/>
      <c r="AA37" s="514"/>
      <c r="AB37" s="536" t="s">
        <v>588</v>
      </c>
      <c r="AC37" s="506"/>
      <c r="AD37" s="506"/>
      <c r="AE37" s="506"/>
      <c r="AF37" s="506"/>
      <c r="AG37" s="540">
        <f>AS38*AG30</f>
        <v>1705.689498035278</v>
      </c>
      <c r="AH37" s="540"/>
      <c r="AI37" s="220"/>
      <c r="AJ37" s="270"/>
      <c r="AK37" s="271"/>
      <c r="AL37" s="272"/>
      <c r="AM37" s="270"/>
      <c r="AN37" s="271"/>
      <c r="AO37" s="272"/>
      <c r="AP37" s="271"/>
      <c r="AQ37" s="271"/>
      <c r="AR37" s="272"/>
      <c r="AS37" s="532" t="s">
        <v>587</v>
      </c>
      <c r="AT37" s="533"/>
      <c r="AU37" s="533"/>
      <c r="AV37" s="296">
        <f>AV36/AV34</f>
        <v>0.8839712050862699</v>
      </c>
      <c r="AW37" s="296">
        <f>AW36/AW34</f>
        <v>0.8755152576875509</v>
      </c>
      <c r="AX37" s="297" t="e">
        <f>AX36/AX34</f>
        <v>#DIV/0!</v>
      </c>
      <c r="AY37" s="276"/>
      <c r="AZ37" s="277"/>
      <c r="BA37" s="278"/>
      <c r="BB37" s="277"/>
      <c r="BC37" s="277"/>
      <c r="BD37" s="277"/>
      <c r="BE37" s="279"/>
      <c r="BF37" s="279"/>
      <c r="BG37" s="277"/>
      <c r="BH37" s="279"/>
      <c r="BI37" s="278"/>
      <c r="BJ37" s="588"/>
    </row>
    <row r="38" spans="1:62" ht="18.75" customHeight="1" thickBot="1">
      <c r="A38" s="502"/>
      <c r="B38" s="503"/>
      <c r="C38" s="506" t="s">
        <v>574</v>
      </c>
      <c r="D38" s="506"/>
      <c r="E38" s="506"/>
      <c r="F38" s="507"/>
      <c r="G38" s="572" t="s">
        <v>1493</v>
      </c>
      <c r="H38" s="573"/>
      <c r="I38" s="573"/>
      <c r="J38" s="573"/>
      <c r="K38" s="573"/>
      <c r="L38" s="573"/>
      <c r="M38" s="573"/>
      <c r="N38" s="573"/>
      <c r="O38" s="573"/>
      <c r="P38" s="573"/>
      <c r="Q38" s="573"/>
      <c r="R38" s="573"/>
      <c r="S38" s="573"/>
      <c r="T38" s="573"/>
      <c r="U38" s="573"/>
      <c r="V38" s="574"/>
      <c r="W38" s="569" t="s">
        <v>566</v>
      </c>
      <c r="X38" s="569"/>
      <c r="Y38" s="569"/>
      <c r="Z38" s="569"/>
      <c r="AA38" s="570"/>
      <c r="AB38" s="536" t="s">
        <v>577</v>
      </c>
      <c r="AC38" s="506"/>
      <c r="AD38" s="506"/>
      <c r="AE38" s="506"/>
      <c r="AF38" s="506"/>
      <c r="AG38" s="590">
        <f>IF(G31&gt;0,AB31/G31,0)</f>
        <v>198794.702294359</v>
      </c>
      <c r="AH38" s="590"/>
      <c r="AI38" s="220"/>
      <c r="AJ38" s="270"/>
      <c r="AK38" s="271"/>
      <c r="AL38" s="272"/>
      <c r="AM38" s="270"/>
      <c r="AN38" s="271"/>
      <c r="AO38" s="272"/>
      <c r="AP38" s="271"/>
      <c r="AQ38" s="271"/>
      <c r="AR38" s="272"/>
      <c r="AS38" s="273">
        <f>IF(AM29&gt;0,AS34/AM29,0)</f>
        <v>1929.5758597349486</v>
      </c>
      <c r="AT38" s="274">
        <f>IF(AN29&gt;0,AT34/AN29,0)</f>
        <v>1778.8860394929695</v>
      </c>
      <c r="AU38" s="275">
        <f>IF(AO29&gt;0,AU34/AO29,0)</f>
        <v>0</v>
      </c>
      <c r="AV38" s="298">
        <f>IF(AJ29&gt;0,AV36/AJ29,0)</f>
        <v>166918.90975805727</v>
      </c>
      <c r="AW38" s="298">
        <f>IF(AK29&gt;0,AW36/AK29,0)</f>
        <v>198794.702294359</v>
      </c>
      <c r="AX38" s="298">
        <f>IF(AL29&gt;0,AX36/AL29,0)</f>
        <v>0</v>
      </c>
      <c r="AY38" s="276"/>
      <c r="AZ38" s="277"/>
      <c r="BA38" s="278"/>
      <c r="BB38" s="277"/>
      <c r="BC38" s="277"/>
      <c r="BD38" s="277"/>
      <c r="BE38" s="279"/>
      <c r="BF38" s="279"/>
      <c r="BG38" s="277"/>
      <c r="BH38" s="279"/>
      <c r="BI38" s="278"/>
      <c r="BJ38" s="588"/>
    </row>
    <row r="39" spans="1:62" ht="23.25" customHeight="1" thickBot="1">
      <c r="A39" s="504"/>
      <c r="B39" s="505"/>
      <c r="C39" s="535" t="s">
        <v>575</v>
      </c>
      <c r="D39" s="535"/>
      <c r="E39" s="535"/>
      <c r="F39" s="571"/>
      <c r="G39" s="575" t="s">
        <v>1494</v>
      </c>
      <c r="H39" s="576"/>
      <c r="I39" s="576"/>
      <c r="J39" s="576"/>
      <c r="K39" s="576"/>
      <c r="L39" s="576"/>
      <c r="M39" s="576"/>
      <c r="N39" s="576"/>
      <c r="O39" s="576"/>
      <c r="P39" s="576"/>
      <c r="Q39" s="576"/>
      <c r="R39" s="576"/>
      <c r="S39" s="576"/>
      <c r="T39" s="576"/>
      <c r="U39" s="576"/>
      <c r="V39" s="577"/>
      <c r="W39" s="567" t="s">
        <v>550</v>
      </c>
      <c r="X39" s="567"/>
      <c r="Y39" s="567"/>
      <c r="Z39" s="567"/>
      <c r="AA39" s="568"/>
      <c r="AB39" s="534" t="s">
        <v>578</v>
      </c>
      <c r="AC39" s="535"/>
      <c r="AD39" s="535"/>
      <c r="AE39" s="535"/>
      <c r="AF39" s="535"/>
      <c r="AG39" s="541">
        <f>AT38*AG31</f>
        <v>1557.441869263474</v>
      </c>
      <c r="AH39" s="541"/>
      <c r="AI39" s="299"/>
      <c r="AJ39" s="300"/>
      <c r="AK39" s="301"/>
      <c r="AL39" s="302"/>
      <c r="AM39" s="300"/>
      <c r="AN39" s="301"/>
      <c r="AO39" s="302"/>
      <c r="AP39" s="301"/>
      <c r="AQ39" s="301"/>
      <c r="AR39" s="302"/>
      <c r="AS39" s="303"/>
      <c r="AT39" s="304"/>
      <c r="AU39" s="304"/>
      <c r="AV39" s="305"/>
      <c r="AW39" s="305"/>
      <c r="AX39" s="306"/>
      <c r="AY39" s="307"/>
      <c r="AZ39" s="308"/>
      <c r="BA39" s="309"/>
      <c r="BB39" s="308"/>
      <c r="BC39" s="308"/>
      <c r="BD39" s="308"/>
      <c r="BE39" s="310"/>
      <c r="BF39" s="310"/>
      <c r="BG39" s="308"/>
      <c r="BH39" s="310"/>
      <c r="BI39" s="309"/>
      <c r="BJ39" s="589"/>
    </row>
    <row r="40" spans="1:62" ht="14.25">
      <c r="A40" s="311"/>
      <c r="B40" s="311"/>
      <c r="C40" s="311"/>
      <c r="D40" s="311"/>
      <c r="E40" s="311"/>
      <c r="F40" s="311"/>
      <c r="G40" s="311"/>
      <c r="H40" s="311"/>
      <c r="I40" s="311"/>
      <c r="J40" s="311"/>
      <c r="K40" s="312"/>
      <c r="L40" s="312"/>
      <c r="M40" s="312"/>
      <c r="N40" s="312"/>
      <c r="O40" s="312"/>
      <c r="P40" s="312"/>
      <c r="Q40" s="311"/>
      <c r="R40" s="311"/>
      <c r="S40" s="312"/>
      <c r="T40" s="311"/>
      <c r="U40" s="311"/>
      <c r="V40" s="311"/>
      <c r="W40" s="311"/>
      <c r="X40" s="311"/>
      <c r="Y40" s="311"/>
      <c r="Z40" s="311"/>
      <c r="AA40" s="311"/>
      <c r="AB40" s="311"/>
      <c r="AC40" s="311"/>
      <c r="AD40" s="311"/>
      <c r="AE40" s="311"/>
      <c r="AF40" s="311"/>
      <c r="AG40" s="311"/>
      <c r="AH40" s="311"/>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1"/>
    </row>
    <row r="41" spans="1:62" ht="14.25">
      <c r="A41" s="319"/>
      <c r="B41" s="495" t="str">
        <f>IF('%Renovatie'!B2=0,"",'%Renovatie'!A1)</f>
        <v>RENOVATIEPAKKET 1</v>
      </c>
      <c r="C41" s="495"/>
      <c r="D41" s="495"/>
      <c r="E41" s="495"/>
      <c r="F41" s="495"/>
      <c r="G41" s="321">
        <f>IF('%Renovatie'!B2=0,"",'%Renovatie'!B2)</f>
        <v>1</v>
      </c>
      <c r="H41" s="319"/>
      <c r="I41" s="319"/>
      <c r="J41" s="322"/>
      <c r="K41" s="320"/>
      <c r="L41" s="320"/>
      <c r="M41" s="320"/>
      <c r="N41" s="320"/>
      <c r="O41" s="320"/>
      <c r="P41" s="320"/>
      <c r="Q41" s="320"/>
      <c r="R41" s="496" t="str">
        <f>IF('%Renovatie'!D2=0,"",'%Renovatie'!C1)</f>
        <v>RENOVATIEPAKKET 2</v>
      </c>
      <c r="S41" s="496"/>
      <c r="T41" s="496"/>
      <c r="U41" s="496"/>
      <c r="V41" s="496"/>
      <c r="W41" s="321">
        <f>IF('%Renovatie'!D2=0,"",'%Renovatie'!D2)</f>
        <v>0.8500000000000001</v>
      </c>
      <c r="X41" s="319"/>
      <c r="Y41" s="319"/>
      <c r="Z41" s="319"/>
      <c r="AA41" s="319"/>
      <c r="AB41" s="495">
        <f>IF('%Renovatie'!F2=0,"",'%Renovatie'!E1)</f>
      </c>
      <c r="AC41" s="495"/>
      <c r="AD41" s="495"/>
      <c r="AE41" s="495"/>
      <c r="AF41" s="495"/>
      <c r="AG41" s="495"/>
      <c r="AH41" s="495"/>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5">
        <f>IF('%Renovatie'!F2=0,"",'%Renovatie'!F2)</f>
      </c>
    </row>
    <row r="42" spans="2:62" ht="14.25">
      <c r="B42" s="492" t="str">
        <f>IF('%Renovatie'!A3="","",'%Renovatie'!A3)</f>
        <v>01 - totaalrenovatie EPB-nieuwbouw</v>
      </c>
      <c r="C42" s="492"/>
      <c r="D42" s="492"/>
      <c r="E42" s="492"/>
      <c r="F42" s="492"/>
      <c r="G42" s="326">
        <f>IF('%Renovatie'!B3=0,"",'%Renovatie'!B3)</f>
        <v>1</v>
      </c>
      <c r="R42" s="493" t="str">
        <f>IF('%Renovatie'!C3="","",'%Renovatie'!C3)</f>
        <v>03 - dakwerken &amp; isolatie (volledig nieuw)</v>
      </c>
      <c r="S42" s="493"/>
      <c r="T42" s="493"/>
      <c r="U42" s="493"/>
      <c r="V42" s="493"/>
      <c r="W42" s="326">
        <f>IF('%Renovatie'!D3=0,"",'%Renovatie'!D3)</f>
        <v>0.14</v>
      </c>
      <c r="AB42" s="497">
        <f>IF('%Renovatie'!E3="","",'%Renovatie'!E3)</f>
      </c>
      <c r="AC42" s="497"/>
      <c r="AD42" s="497"/>
      <c r="AE42" s="497"/>
      <c r="AF42" s="497"/>
      <c r="AG42" s="497"/>
      <c r="AH42" s="497"/>
      <c r="BJ42" s="327">
        <f>IF('%Renovatie'!F3=0,"",'%Renovatie'!F3)</f>
      </c>
    </row>
    <row r="43" spans="2:62" ht="14.25">
      <c r="B43" s="492">
        <f>IF('%Renovatie'!A4="","",'%Renovatie'!A4)</f>
      </c>
      <c r="C43" s="492"/>
      <c r="D43" s="492"/>
      <c r="E43" s="492"/>
      <c r="F43" s="492"/>
      <c r="G43" s="326">
        <f>IF('%Renovatie'!B4=0,"",'%Renovatie'!B4)</f>
      </c>
      <c r="R43" s="493" t="str">
        <f>IF('%Renovatie'!C4="","",'%Renovatie'!C4)</f>
        <v>04 - buitenschrijnwerk</v>
      </c>
      <c r="S43" s="493"/>
      <c r="T43" s="493"/>
      <c r="U43" s="493"/>
      <c r="V43" s="493"/>
      <c r="W43" s="326">
        <f>IF('%Renovatie'!D4=0,"",'%Renovatie'!D4)</f>
        <v>0.1</v>
      </c>
      <c r="AB43" s="494">
        <f>IF('%Renovatie'!E4="","",'%Renovatie'!E4)</f>
      </c>
      <c r="AC43" s="494"/>
      <c r="AD43" s="494"/>
      <c r="AE43" s="494"/>
      <c r="AF43" s="494"/>
      <c r="AG43" s="494"/>
      <c r="AH43" s="494"/>
      <c r="BJ43" s="327">
        <f>IF('%Renovatie'!F4=0,"",'%Renovatie'!F4)</f>
      </c>
    </row>
    <row r="44" spans="2:62" ht="14.25">
      <c r="B44" s="492">
        <f>IF('%Renovatie'!A5="","",'%Renovatie'!A5)</f>
      </c>
      <c r="C44" s="492"/>
      <c r="D44" s="492"/>
      <c r="E44" s="492"/>
      <c r="F44" s="492"/>
      <c r="G44" s="326">
        <f>IF('%Renovatie'!B5=0,"",'%Renovatie'!B5)</f>
      </c>
      <c r="R44" s="493" t="str">
        <f>IF('%Renovatie'!C5="","",'%Renovatie'!C5)</f>
        <v>05 - binnenafwerking (volledig nieuw)</v>
      </c>
      <c r="S44" s="493"/>
      <c r="T44" s="493"/>
      <c r="U44" s="493"/>
      <c r="V44" s="493"/>
      <c r="W44" s="326">
        <f>IF('%Renovatie'!D5=0,"",'%Renovatie'!D5)</f>
        <v>0.3</v>
      </c>
      <c r="AB44" s="494">
        <f>IF('%Renovatie'!E5="","",'%Renovatie'!E5)</f>
      </c>
      <c r="AC44" s="494"/>
      <c r="AD44" s="494"/>
      <c r="AE44" s="494"/>
      <c r="AF44" s="494"/>
      <c r="AG44" s="494"/>
      <c r="AH44" s="494"/>
      <c r="BJ44" s="327">
        <f>IF('%Renovatie'!F5=0,"",'%Renovatie'!F5)</f>
      </c>
    </row>
    <row r="45" spans="2:62" ht="14.25">
      <c r="B45" s="492">
        <f>IF('%Renovatie'!A6="","",'%Renovatie'!A6)</f>
      </c>
      <c r="C45" s="492"/>
      <c r="D45" s="492"/>
      <c r="E45" s="492"/>
      <c r="F45" s="492"/>
      <c r="G45" s="326">
        <f>IF('%Renovatie'!B6=0,"",'%Renovatie'!B6)</f>
      </c>
      <c r="R45" s="493" t="str">
        <f>IF('%Renovatie'!C6="","",'%Renovatie'!C6)</f>
        <v>06 - technieken CV&amp; fluida (volledig nieuw)</v>
      </c>
      <c r="S45" s="493"/>
      <c r="T45" s="493"/>
      <c r="U45" s="493"/>
      <c r="V45" s="493"/>
      <c r="W45" s="326">
        <f>IF('%Renovatie'!D6=0,"",'%Renovatie'!D6)</f>
        <v>0.16</v>
      </c>
      <c r="AB45" s="494">
        <f>IF('%Renovatie'!E6="","",'%Renovatie'!E6)</f>
      </c>
      <c r="AC45" s="494"/>
      <c r="AD45" s="494"/>
      <c r="AE45" s="494"/>
      <c r="AF45" s="494"/>
      <c r="AG45" s="494"/>
      <c r="AH45" s="494"/>
      <c r="BJ45" s="327">
        <f>IF('%Renovatie'!F6=0,"",'%Renovatie'!F6)</f>
      </c>
    </row>
    <row r="46" spans="2:62" ht="14.25">
      <c r="B46" s="492">
        <f>IF('%Renovatie'!A7="","",'%Renovatie'!A7)</f>
      </c>
      <c r="C46" s="492"/>
      <c r="D46" s="492"/>
      <c r="E46" s="492"/>
      <c r="F46" s="492"/>
      <c r="G46" s="326">
        <f>IF('%Renovatie'!B7=0,"",'%Renovatie'!B7)</f>
      </c>
      <c r="R46" s="493" t="str">
        <f>IF('%Renovatie'!C7="","",'%Renovatie'!C7)</f>
        <v>07 - elektrische installatie (volledig nieuw)</v>
      </c>
      <c r="S46" s="493"/>
      <c r="T46" s="493"/>
      <c r="U46" s="493"/>
      <c r="V46" s="493"/>
      <c r="W46" s="326">
        <f>IF('%Renovatie'!D7=0,"",'%Renovatie'!D7)</f>
        <v>0.06</v>
      </c>
      <c r="AB46" s="494">
        <f>IF('%Renovatie'!E7="","",'%Renovatie'!E7)</f>
      </c>
      <c r="AC46" s="494"/>
      <c r="AD46" s="494"/>
      <c r="AE46" s="494"/>
      <c r="AF46" s="494"/>
      <c r="AG46" s="494"/>
      <c r="AH46" s="494"/>
      <c r="BJ46" s="327">
        <f>IF('%Renovatie'!F7=0,"",'%Renovatie'!F7)</f>
      </c>
    </row>
    <row r="47" spans="2:62" ht="14.25">
      <c r="B47" s="492">
        <f>IF('%Renovatie'!A8="","",'%Renovatie'!A8)</f>
      </c>
      <c r="C47" s="492"/>
      <c r="D47" s="492"/>
      <c r="E47" s="492"/>
      <c r="F47" s="492"/>
      <c r="G47" s="326">
        <f>IF('%Renovatie'!B8=0,"",'%Renovatie'!B8)</f>
      </c>
      <c r="R47" s="493" t="str">
        <f>IF('%Renovatie'!C8="","",'%Renovatie'!C8)</f>
        <v>68 - ventilatiesysteem (systeem C/D)</v>
      </c>
      <c r="S47" s="493"/>
      <c r="T47" s="493"/>
      <c r="U47" s="493"/>
      <c r="V47" s="493"/>
      <c r="W47" s="326">
        <f>IF('%Renovatie'!D8=0,"",'%Renovatie'!D8)</f>
        <v>0.04</v>
      </c>
      <c r="AB47" s="494">
        <f>IF('%Renovatie'!E8="","",'%Renovatie'!E8)</f>
      </c>
      <c r="AC47" s="494"/>
      <c r="AD47" s="494"/>
      <c r="AE47" s="494"/>
      <c r="AF47" s="494"/>
      <c r="AG47" s="494"/>
      <c r="AH47" s="494"/>
      <c r="BJ47" s="327">
        <f>IF('%Renovatie'!F8=0,"",'%Renovatie'!F8)</f>
      </c>
    </row>
    <row r="48" spans="2:62" ht="14.25">
      <c r="B48" s="492">
        <f>IF('%Renovatie'!A9="","",'%Renovatie'!A9)</f>
      </c>
      <c r="C48" s="492"/>
      <c r="D48" s="492"/>
      <c r="E48" s="492"/>
      <c r="F48" s="492"/>
      <c r="G48" s="326">
        <f>IF('%Renovatie'!B9=0,"",'%Renovatie'!B9)</f>
      </c>
      <c r="R48" s="493" t="str">
        <f>IF('%Renovatie'!C9="","",'%Renovatie'!C9)</f>
        <v>21- na-isolatie gevels</v>
      </c>
      <c r="S48" s="493"/>
      <c r="T48" s="493"/>
      <c r="U48" s="493"/>
      <c r="V48" s="493"/>
      <c r="W48" s="326">
        <f>IF('%Renovatie'!D9=0,"",'%Renovatie'!D9)</f>
        <v>0.05</v>
      </c>
      <c r="AB48" s="494">
        <f>IF('%Renovatie'!E9="","",'%Renovatie'!E9)</f>
      </c>
      <c r="AC48" s="494"/>
      <c r="AD48" s="494"/>
      <c r="AE48" s="494"/>
      <c r="AF48" s="494"/>
      <c r="AG48" s="494"/>
      <c r="AH48" s="494"/>
      <c r="BJ48" s="327">
        <f>IF('%Renovatie'!F9=0,"",'%Renovatie'!F9)</f>
      </c>
    </row>
    <row r="49" spans="2:62" ht="14.25">
      <c r="B49" s="492">
        <f>IF('%Renovatie'!A10="","",'%Renovatie'!A10)</f>
      </c>
      <c r="C49" s="492"/>
      <c r="D49" s="492"/>
      <c r="E49" s="492"/>
      <c r="F49" s="492"/>
      <c r="G49" s="326">
        <f>IF('%Renovatie'!B10=0,"",'%Renovatie'!B10)</f>
      </c>
      <c r="J49" s="313"/>
      <c r="K49" s="313"/>
      <c r="L49" s="313"/>
      <c r="M49" s="313"/>
      <c r="N49" s="313"/>
      <c r="O49" s="313"/>
      <c r="P49" s="313"/>
      <c r="Q49" s="313"/>
      <c r="R49" s="493">
        <f>IF('%Renovatie'!C10="","",'%Renovatie'!C10)</f>
      </c>
      <c r="S49" s="493"/>
      <c r="T49" s="493"/>
      <c r="U49" s="493"/>
      <c r="V49" s="493"/>
      <c r="W49" s="326">
        <f>IF('%Renovatie'!D10=0,"",'%Renovatie'!D10)</f>
      </c>
      <c r="AB49" s="494">
        <f>IF('%Renovatie'!E10="","",'%Renovatie'!E10)</f>
      </c>
      <c r="AC49" s="494"/>
      <c r="AD49" s="494"/>
      <c r="AE49" s="494"/>
      <c r="AF49" s="494"/>
      <c r="AG49" s="494"/>
      <c r="AH49" s="494"/>
      <c r="BJ49" s="327">
        <f>IF('%Renovatie'!F10=0,"",'%Renovatie'!F10)</f>
      </c>
    </row>
    <row r="50" spans="2:62" ht="14.25">
      <c r="B50" s="492">
        <f>IF('%Renovatie'!A11="","",'%Renovatie'!A11)</f>
      </c>
      <c r="C50" s="492"/>
      <c r="D50" s="492"/>
      <c r="E50" s="492"/>
      <c r="F50" s="492"/>
      <c r="G50" s="326">
        <f>IF('%Renovatie'!B11=0,"",'%Renovatie'!B11)</f>
      </c>
      <c r="R50" s="493">
        <f>IF('%Renovatie'!C11="","",'%Renovatie'!C11)</f>
      </c>
      <c r="S50" s="493"/>
      <c r="T50" s="493"/>
      <c r="U50" s="493"/>
      <c r="V50" s="493"/>
      <c r="W50" s="326">
        <f>IF('%Renovatie'!D11=0,"",'%Renovatie'!D11)</f>
      </c>
      <c r="AB50" s="494">
        <f>IF('%Renovatie'!E11="","",'%Renovatie'!E11)</f>
      </c>
      <c r="AC50" s="494"/>
      <c r="AD50" s="494"/>
      <c r="AE50" s="494"/>
      <c r="AF50" s="494"/>
      <c r="AG50" s="494"/>
      <c r="AH50" s="494"/>
      <c r="BJ50" s="327">
        <f>IF('%Renovatie'!F11=0,"",'%Renovatie'!F11)</f>
      </c>
    </row>
    <row r="51" spans="2:62" ht="14.25">
      <c r="B51" s="492">
        <f>IF('%Renovatie'!A12="","",'%Renovatie'!A12)</f>
      </c>
      <c r="C51" s="492"/>
      <c r="D51" s="492"/>
      <c r="E51" s="492"/>
      <c r="F51" s="492"/>
      <c r="G51" s="326">
        <f>IF('%Renovatie'!B12=0,"",'%Renovatie'!B12)</f>
      </c>
      <c r="R51" s="493">
        <f>IF('%Renovatie'!C12="","",'%Renovatie'!C12)</f>
      </c>
      <c r="S51" s="493"/>
      <c r="T51" s="493"/>
      <c r="U51" s="493"/>
      <c r="V51" s="493"/>
      <c r="W51" s="326">
        <f>IF('%Renovatie'!D12=0,"",'%Renovatie'!D12)</f>
      </c>
      <c r="AB51" s="494">
        <f>IF('%Renovatie'!E12="","",'%Renovatie'!E12)</f>
      </c>
      <c r="AC51" s="494"/>
      <c r="AD51" s="494"/>
      <c r="AE51" s="494"/>
      <c r="AF51" s="494"/>
      <c r="AG51" s="494"/>
      <c r="AH51" s="494"/>
      <c r="BJ51" s="327">
        <f>IF('%Renovatie'!F12=0,"",'%Renovatie'!F12)</f>
      </c>
    </row>
  </sheetData>
  <sheetProtection/>
  <mergeCells count="121">
    <mergeCell ref="AG30:AH30"/>
    <mergeCell ref="AG31:AH31"/>
    <mergeCell ref="AG29:AH29"/>
    <mergeCell ref="G30:I30"/>
    <mergeCell ref="BJ36:BJ39"/>
    <mergeCell ref="AG38:AH38"/>
    <mergeCell ref="AB30:AF30"/>
    <mergeCell ref="AB31:AF31"/>
    <mergeCell ref="AB36:AF36"/>
    <mergeCell ref="AG32:AH32"/>
    <mergeCell ref="W31:X31"/>
    <mergeCell ref="W32:X32"/>
    <mergeCell ref="W39:AA39"/>
    <mergeCell ref="W38:AA38"/>
    <mergeCell ref="C39:F39"/>
    <mergeCell ref="C37:F37"/>
    <mergeCell ref="G38:V38"/>
    <mergeCell ref="G39:V39"/>
    <mergeCell ref="C38:F38"/>
    <mergeCell ref="G37:V37"/>
    <mergeCell ref="AE29:AF29"/>
    <mergeCell ref="AB29:AD29"/>
    <mergeCell ref="W34:X34"/>
    <mergeCell ref="AB32:AF32"/>
    <mergeCell ref="AB33:AF33"/>
    <mergeCell ref="G31:I31"/>
    <mergeCell ref="Y31:AA31"/>
    <mergeCell ref="Y30:AA30"/>
    <mergeCell ref="W30:X30"/>
    <mergeCell ref="G34:I34"/>
    <mergeCell ref="AS37:AU37"/>
    <mergeCell ref="AB39:AF39"/>
    <mergeCell ref="AB38:AF38"/>
    <mergeCell ref="AB34:AF34"/>
    <mergeCell ref="AG37:AH37"/>
    <mergeCell ref="AB37:AF37"/>
    <mergeCell ref="AG39:AH39"/>
    <mergeCell ref="AG34:AH34"/>
    <mergeCell ref="AG36:AH36"/>
    <mergeCell ref="A1:C1"/>
    <mergeCell ref="D1:AH1"/>
    <mergeCell ref="D22:F22"/>
    <mergeCell ref="D12:F12"/>
    <mergeCell ref="X12:Y12"/>
    <mergeCell ref="D14:F14"/>
    <mergeCell ref="X13:Y13"/>
    <mergeCell ref="D13:F13"/>
    <mergeCell ref="D16:F16"/>
    <mergeCell ref="X16:Y16"/>
    <mergeCell ref="D3:J3"/>
    <mergeCell ref="C36:F36"/>
    <mergeCell ref="G29:I29"/>
    <mergeCell ref="D20:F20"/>
    <mergeCell ref="D19:F19"/>
    <mergeCell ref="X19:Y19"/>
    <mergeCell ref="Y32:AA32"/>
    <mergeCell ref="W36:AA36"/>
    <mergeCell ref="X23:Y23"/>
    <mergeCell ref="X22:Y22"/>
    <mergeCell ref="A28:B39"/>
    <mergeCell ref="C30:F30"/>
    <mergeCell ref="C31:F31"/>
    <mergeCell ref="C32:F32"/>
    <mergeCell ref="C34:F34"/>
    <mergeCell ref="Y34:AA34"/>
    <mergeCell ref="W37:AA37"/>
    <mergeCell ref="G36:I36"/>
    <mergeCell ref="G32:I32"/>
    <mergeCell ref="J36:V36"/>
    <mergeCell ref="X14:Y14"/>
    <mergeCell ref="D15:F15"/>
    <mergeCell ref="D24:F24"/>
    <mergeCell ref="D21:F21"/>
    <mergeCell ref="X21:Y21"/>
    <mergeCell ref="D17:F17"/>
    <mergeCell ref="X15:Y15"/>
    <mergeCell ref="X20:Y20"/>
    <mergeCell ref="D18:F18"/>
    <mergeCell ref="X17:Y17"/>
    <mergeCell ref="R42:V42"/>
    <mergeCell ref="AB42:AH42"/>
    <mergeCell ref="D23:F23"/>
    <mergeCell ref="X24:Y24"/>
    <mergeCell ref="D26:F26"/>
    <mergeCell ref="X26:Y26"/>
    <mergeCell ref="D27:F27"/>
    <mergeCell ref="X25:Y25"/>
    <mergeCell ref="X27:Y27"/>
    <mergeCell ref="D25:F25"/>
    <mergeCell ref="B43:F43"/>
    <mergeCell ref="R43:V43"/>
    <mergeCell ref="AB43:AH43"/>
    <mergeCell ref="B41:F41"/>
    <mergeCell ref="R41:V41"/>
    <mergeCell ref="B44:F44"/>
    <mergeCell ref="R44:V44"/>
    <mergeCell ref="AB44:AH44"/>
    <mergeCell ref="AB41:AH41"/>
    <mergeCell ref="B42:F42"/>
    <mergeCell ref="B45:F45"/>
    <mergeCell ref="R45:V45"/>
    <mergeCell ref="AB45:AH45"/>
    <mergeCell ref="B46:F46"/>
    <mergeCell ref="R46:V46"/>
    <mergeCell ref="AB46:AH46"/>
    <mergeCell ref="B47:F47"/>
    <mergeCell ref="R47:V47"/>
    <mergeCell ref="AB47:AH47"/>
    <mergeCell ref="B48:F48"/>
    <mergeCell ref="R48:V48"/>
    <mergeCell ref="AB48:AH48"/>
    <mergeCell ref="X18:Y18"/>
    <mergeCell ref="B51:F51"/>
    <mergeCell ref="R51:V51"/>
    <mergeCell ref="AB51:AH51"/>
    <mergeCell ref="B49:F49"/>
    <mergeCell ref="R49:V49"/>
    <mergeCell ref="AB49:AH49"/>
    <mergeCell ref="B50:F50"/>
    <mergeCell ref="R50:V50"/>
    <mergeCell ref="AB50:AH50"/>
  </mergeCells>
  <conditionalFormatting sqref="AG30 Q30:Q34">
    <cfRule type="cellIs" priority="10" dxfId="6" operator="greaterThan" stopIfTrue="1">
      <formula>1</formula>
    </cfRule>
  </conditionalFormatting>
  <conditionalFormatting sqref="AG30:AG32">
    <cfRule type="cellIs" priority="8" dxfId="7" operator="lessThanOrEqual" stopIfTrue="1">
      <formula>1</formula>
    </cfRule>
    <cfRule type="cellIs" priority="9" dxfId="6" operator="greaterThan" stopIfTrue="1">
      <formula>1</formula>
    </cfRule>
  </conditionalFormatting>
  <conditionalFormatting sqref="Q30:Q32 Q34">
    <cfRule type="cellIs" priority="7" dxfId="7" operator="lessThanOrEqual" stopIfTrue="1">
      <formula>1</formula>
    </cfRule>
  </conditionalFormatting>
  <conditionalFormatting sqref="AG34:AH34">
    <cfRule type="cellIs" priority="1" dxfId="7" operator="lessThan" stopIfTrue="1">
      <formula>1</formula>
    </cfRule>
    <cfRule type="cellIs" priority="2" dxfId="6" operator="greaterThan" stopIfTrue="1">
      <formula>1</formula>
    </cfRule>
  </conditionalFormatting>
  <dataValidations count="16">
    <dataValidation type="list" allowBlank="1" showInputMessage="1" showErrorMessage="1" sqref="AY39:BI39 AV30:AX32">
      <formula1>Stadium</formula1>
    </dataValidation>
    <dataValidation type="list" allowBlank="1" showInputMessage="1" showErrorMessage="1" sqref="W37">
      <formula1>Gemeenten</formula1>
    </dataValidation>
    <dataValidation type="list" allowBlank="1" showInputMessage="1" showErrorMessage="1" sqref="AC4:AC10 AC12:AC27">
      <formula1>Invulbouw</formula1>
    </dataValidation>
    <dataValidation type="list" allowBlank="1" showInputMessage="1" showErrorMessage="1" sqref="AA12:AA27">
      <formula1>Basis</formula1>
    </dataValidation>
    <dataValidation type="list" allowBlank="1" showInputMessage="1" showErrorMessage="1" sqref="B4:B10 B12:B27">
      <formula1>Huur</formula1>
    </dataValidation>
    <dataValidation type="whole" allowBlank="1" showInputMessage="1" showErrorMessage="1" sqref="V13:V14 V21:V22 V17">
      <formula1>2</formula1>
      <formula2>30</formula2>
    </dataValidation>
    <dataValidation type="list" allowBlank="1" showInputMessage="1" showErrorMessage="1" sqref="D4:D10">
      <formula1>Woningtypes</formula1>
    </dataValidation>
    <dataValidation type="list" allowBlank="1" showInputMessage="1" showErrorMessage="1" sqref="AE4:AE10">
      <formula1>oppcf</formula1>
    </dataValidation>
    <dataValidation type="list" allowBlank="1" showInputMessage="1" showErrorMessage="1" sqref="Y4:Y10">
      <formula1>Autoberging</formula1>
    </dataValidation>
    <dataValidation type="list" allowBlank="1" showInputMessage="1" showErrorMessage="1" sqref="H4:H10">
      <formula1>Lagen</formula1>
    </dataValidation>
    <dataValidation type="list" allowBlank="1" showInputMessage="1" showErrorMessage="1" sqref="A4:A10 A12:A27">
      <formula1>SoortWerk</formula1>
    </dataValidation>
    <dataValidation type="list" allowBlank="1" showInputMessage="1" showErrorMessage="1" sqref="AD4:AD10">
      <formula1>MV</formula1>
    </dataValidation>
    <dataValidation type="list" allowBlank="1" showInputMessage="1" showErrorMessage="1" sqref="W39">
      <formula1>Stad</formula1>
    </dataValidation>
    <dataValidation type="whole" allowBlank="1" showInputMessage="1" showErrorMessage="1" sqref="V23:V27 V18">
      <formula1>0</formula1>
      <formula2>300</formula2>
    </dataValidation>
    <dataValidation type="list" allowBlank="1" showInputMessage="1" showErrorMessage="1" sqref="AB12:AB27">
      <formula1>centrum</formula1>
    </dataValidation>
    <dataValidation type="list" allowBlank="1" showInputMessage="1" showErrorMessage="1" sqref="D12:F27">
      <formula1>Keuzelijst</formula1>
    </dataValidation>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48" r:id="rId3"/>
  <headerFooter>
    <oddHeader>&amp;CVoorbeeld Simulatietabel</oddHeader>
    <oddFooter>&amp;L&amp;"Arial,Standaard"&amp;8&amp;D - &amp;F&amp;C&amp;"Arial,Standaard"&amp;7De VMSW is niet verantwoordelijk voor fouten in of foutief gebruik van dit document&amp;R&amp;"Arial,Standaard"&amp;8Opmaak SHM</oddFooter>
  </headerFooter>
  <ignoredErrors>
    <ignoredError sqref="AB3:AB4 L3 N3:P3 X3 AY28:BA28 H22:I22 BJ30 A28 AB12 K22:P22 BE29:BI29 AS29:BA29 W30 W32 W31 W34 AB32:AF32 K16:P17 H19:I19 X26:Z27 BJ32 AG19:AG27 X12:X13 Q30:Q32 Q34 Y14:Z14 AI41:BJ51 AC51:AH51 AC50:AH50 S50:V50 AC49:AH49 S49:V49 AC48:AH48 S48:V48 AC47:AH47 S47:V47 AC46:AH46 S46:V46 AC45:AH45 S45:V45 AC44:AH44 S44:V44 AC43:AH43 S43:V43 AC42:AH42 S42:V42 AC41:AH41 W41:AA51 S41:V41 S51:V51 G50:R50 G51:R51 G41:R41 AB41 G42:R42 AB42 G43:R43 AB43 G44:R44 AB44 G45:R45 AB45 G46:R46 AB46 G47:R47 AB47 G48:R48 AB48 G49:R49 AB49 AB50 AB51 B41 AA6:AA10 AA19:AE27 AE6:AE10 X19:Y19 X17:Y17 X15:Y15 Y21 Y20 X21 X20 X14 BE6:BF10 BE4:BF4 AE4 AA4 Q5:R5 AA5:BJ5 P6:V7 K4:M4 K5:L10 N5:O7 Z3:Z10 U29:X29 N8:Y10 W4:X7 Z19:Z25 BJ23 Z15:Z17 AA12:AA17 AG12:AG17 H17:I17 AB14:AE17 AA18:AG18 X23:Y23 X24:Y25 BJ24:BJ25 AH23:AH25 N4:T4 M5:M10 X16 H16:I16" unlockedFormula="1"/>
    <ignoredError sqref="BJ40 C40:V40 H12:I12 AC12 AE12:AF12 BB11:BD12 Z12 C11:V11 AC29:AD29 C39:F39 C36:F36 C38:F38 C37:F37 C34:F34 C28:V28 Y29:AA29 C29:T29 C32:F32 C31:F31 C30:F30 Q16:T17 X34 V32 U30:U32 U34:V34 AY37:BA37 AJ38:BA39 AJ30:BA36 AB34 G30:P30 G31:P31 G32:P32 Y32:AA32 Y31:AA31 Y30:AA30 C33:Q33 G34:P34 Y34:AA34 H36:V36 BJ33:BJ39 AG32:AH32 AG31:AH31 AB33 C35:V35 AB38:AH38 AG30:AH30 AB37:AH37 AB36:AH36 AB39:AH39 AJ29:AR29 AJ37:AX37 AG33:AH33 W12 K12:T12 Q22:T22 Z13 W17 BJ11:BJ13 AB13:AF13 BB28:BD40 V30 V31 X30 X31 X32 BJ28:BJ29 BJ31 AF14:AF16 AF26:AF27 AF19:AF23 AF24:AF25 BE17:BI17 BJ17 AF17 AH12:AX12 AH13:BD13 AH14:BJ15 AH26:BJ27 AH20:BJ21 AI24:BI25 AH17:BD17 R34:T34 R30:T30 R31:T31 R32:T32 R33:V33 AG4:AI4 BG4:BI4 AY4:BA4 BJ4 BB4:BD4 AJ4:AX4 AF4 AB6:AD6 AF6:BD6 AB7:AD7 AF7:BD7 AB8 AF8:BD8 AB9 AF9:BD9 AB10 AF10:BD10 AF29:AH29 AD8 BG6:BJ6 BG7:BJ7 BG8:BJ8 BG9:BJ9 BG10:BJ10 W40:AX40 W11:AX11 W28:AU28 W35:AH35 W33:AA33 AI23:BI23 AH22:BI22 AI16:BJ16 X22:Y22 X18 BJ18 AH18:BI18 AH16 BJ22 AH19:BJ19" evalError="1" unlockedFormula="1"/>
    <ignoredError sqref="Q13:T13 AY11:BA12 AD12 Q14:T14 Q15:T15 W14:W15 W16 W13 AC4:AD4" evalError="1"/>
    <ignoredError sqref="X22:Y22 X18 BJ18 AH18:BI18 AH16" formula="1" unlockedFormula="1"/>
    <ignoredError sqref="BJ22 AH19:BJ19" evalError="1" formula="1" unlockedFormula="1"/>
  </ignoredErrors>
  <legacyDrawing r:id="rId2"/>
</worksheet>
</file>

<file path=xl/worksheets/sheet10.xml><?xml version="1.0" encoding="utf-8"?>
<worksheet xmlns="http://schemas.openxmlformats.org/spreadsheetml/2006/main" xmlns:r="http://schemas.openxmlformats.org/officeDocument/2006/relationships">
  <dimension ref="A1:R53"/>
  <sheetViews>
    <sheetView zoomScalePageLayoutView="0" workbookViewId="0" topLeftCell="A1">
      <selection activeCell="A1" sqref="A1:IV16384"/>
    </sheetView>
  </sheetViews>
  <sheetFormatPr defaultColWidth="9.140625" defaultRowHeight="15"/>
  <cols>
    <col min="1" max="1" width="12.7109375" style="0" customWidth="1"/>
    <col min="2" max="2" width="12.57421875" style="0" customWidth="1"/>
    <col min="3" max="3" width="11.28125" style="0" customWidth="1"/>
    <col min="11" max="11" width="24.28125" style="0" customWidth="1"/>
    <col min="13" max="13" width="21.57421875" style="0" customWidth="1"/>
    <col min="14" max="14" width="13.7109375" style="53" customWidth="1"/>
    <col min="15" max="15" width="23.57421875" style="3" bestFit="1" customWidth="1"/>
    <col min="16" max="16" width="28.28125" style="0" customWidth="1"/>
    <col min="17" max="17" width="58.7109375" style="0" customWidth="1"/>
    <col min="18" max="18" width="9.140625" style="0" customWidth="1"/>
  </cols>
  <sheetData>
    <row r="1" spans="1:18" ht="21">
      <c r="A1" s="55" t="s">
        <v>447</v>
      </c>
      <c r="B1" s="55" t="s">
        <v>448</v>
      </c>
      <c r="C1" s="55" t="s">
        <v>449</v>
      </c>
      <c r="D1" s="55" t="s">
        <v>600</v>
      </c>
      <c r="E1" s="55" t="s">
        <v>611</v>
      </c>
      <c r="F1" s="55" t="s">
        <v>562</v>
      </c>
      <c r="G1" s="55" t="s">
        <v>456</v>
      </c>
      <c r="H1" s="55" t="s">
        <v>457</v>
      </c>
      <c r="I1" s="55" t="s">
        <v>460</v>
      </c>
      <c r="J1" s="55" t="s">
        <v>468</v>
      </c>
      <c r="K1" s="22" t="s">
        <v>594</v>
      </c>
      <c r="L1" s="55" t="s">
        <v>583</v>
      </c>
      <c r="M1" s="55" t="s">
        <v>457</v>
      </c>
      <c r="N1" s="56" t="s">
        <v>586</v>
      </c>
      <c r="O1" s="22" t="s">
        <v>644</v>
      </c>
      <c r="P1" s="55" t="s">
        <v>585</v>
      </c>
      <c r="Q1" s="407" t="s">
        <v>615</v>
      </c>
      <c r="R1" s="408" t="s">
        <v>562</v>
      </c>
    </row>
    <row r="2" spans="1:18" ht="14.25">
      <c r="A2" s="19">
        <v>0</v>
      </c>
      <c r="B2" s="19">
        <v>0</v>
      </c>
      <c r="C2" s="20">
        <v>1</v>
      </c>
      <c r="D2" s="23">
        <v>0</v>
      </c>
      <c r="E2" t="s">
        <v>671</v>
      </c>
      <c r="F2" s="19">
        <v>1</v>
      </c>
      <c r="G2" s="9" t="s">
        <v>444</v>
      </c>
      <c r="H2" s="9" t="s">
        <v>25</v>
      </c>
      <c r="I2" s="9" t="s">
        <v>453</v>
      </c>
      <c r="J2" s="9">
        <v>0</v>
      </c>
      <c r="K2" s="18" t="s">
        <v>595</v>
      </c>
      <c r="L2" s="406" t="s">
        <v>596</v>
      </c>
      <c r="M2" s="9" t="s">
        <v>83</v>
      </c>
      <c r="N2" s="54">
        <v>0</v>
      </c>
      <c r="O2" s="18">
        <v>0</v>
      </c>
      <c r="P2" s="9" t="s">
        <v>672</v>
      </c>
      <c r="Q2" s="409" t="s">
        <v>691</v>
      </c>
      <c r="R2" s="410">
        <v>1</v>
      </c>
    </row>
    <row r="3" spans="1:18" ht="14.25">
      <c r="A3" s="19">
        <v>0.06</v>
      </c>
      <c r="B3" s="19">
        <v>0.01</v>
      </c>
      <c r="C3" s="9">
        <v>1.1</v>
      </c>
      <c r="D3" s="19">
        <v>0.05</v>
      </c>
      <c r="E3" s="9" t="s">
        <v>450</v>
      </c>
      <c r="F3" s="19">
        <v>1</v>
      </c>
      <c r="G3" s="9" t="s">
        <v>454</v>
      </c>
      <c r="H3" s="9" t="s">
        <v>26</v>
      </c>
      <c r="I3" s="9" t="s">
        <v>129</v>
      </c>
      <c r="J3" s="9">
        <v>6</v>
      </c>
      <c r="K3" s="18" t="s">
        <v>606</v>
      </c>
      <c r="L3" s="406" t="s">
        <v>607</v>
      </c>
      <c r="M3" s="9" t="s">
        <v>673</v>
      </c>
      <c r="N3" s="54">
        <v>0</v>
      </c>
      <c r="O3" s="18">
        <v>0</v>
      </c>
      <c r="P3" s="9" t="s">
        <v>673</v>
      </c>
      <c r="Q3" s="409" t="s">
        <v>692</v>
      </c>
      <c r="R3" s="411">
        <v>0.16</v>
      </c>
    </row>
    <row r="4" spans="1:18" ht="14.25">
      <c r="A4" s="19">
        <v>0.08</v>
      </c>
      <c r="B4" s="19"/>
      <c r="C4" s="20">
        <v>1</v>
      </c>
      <c r="D4" s="23">
        <v>0.1</v>
      </c>
      <c r="E4" s="9" t="s">
        <v>612</v>
      </c>
      <c r="F4" s="19">
        <f>'%Renovatie'!B2</f>
        <v>1</v>
      </c>
      <c r="G4" s="9" t="s">
        <v>689</v>
      </c>
      <c r="H4" s="9" t="s">
        <v>453</v>
      </c>
      <c r="I4" s="9" t="s">
        <v>25</v>
      </c>
      <c r="J4" s="9">
        <v>10</v>
      </c>
      <c r="K4" s="18" t="s">
        <v>550</v>
      </c>
      <c r="L4" s="406" t="s">
        <v>582</v>
      </c>
      <c r="M4" s="9" t="s">
        <v>107</v>
      </c>
      <c r="N4" s="54">
        <v>0</v>
      </c>
      <c r="O4" s="18">
        <v>0</v>
      </c>
      <c r="P4" s="9" t="s">
        <v>464</v>
      </c>
      <c r="Q4" s="409" t="s">
        <v>616</v>
      </c>
      <c r="R4" s="411">
        <v>0.14</v>
      </c>
    </row>
    <row r="5" spans="1:18" ht="14.25">
      <c r="A5" s="19">
        <v>0.1</v>
      </c>
      <c r="B5" s="9"/>
      <c r="C5" s="20">
        <v>1</v>
      </c>
      <c r="D5" s="20"/>
      <c r="E5" s="24" t="s">
        <v>613</v>
      </c>
      <c r="F5" s="19">
        <f>'%Renovatie'!D2</f>
        <v>0.8500000000000001</v>
      </c>
      <c r="G5" s="9" t="s">
        <v>690</v>
      </c>
      <c r="H5" s="9"/>
      <c r="I5" s="9"/>
      <c r="J5" s="9"/>
      <c r="K5" s="9"/>
      <c r="L5" s="406"/>
      <c r="M5" s="24" t="s">
        <v>603</v>
      </c>
      <c r="N5" s="54">
        <f>'Prijsnormen €'!B21</f>
        <v>620</v>
      </c>
      <c r="O5" s="18">
        <v>1</v>
      </c>
      <c r="P5" s="9" t="s">
        <v>465</v>
      </c>
      <c r="Q5" s="409" t="s">
        <v>626</v>
      </c>
      <c r="R5" s="411">
        <v>0.04</v>
      </c>
    </row>
    <row r="6" spans="1:18" ht="14.25">
      <c r="A6" s="9"/>
      <c r="B6" s="9"/>
      <c r="C6" s="9"/>
      <c r="D6" s="9"/>
      <c r="E6" s="24" t="s">
        <v>614</v>
      </c>
      <c r="F6" s="19">
        <f>'%Renovatie'!F2</f>
        <v>0</v>
      </c>
      <c r="G6" s="9"/>
      <c r="H6" s="9"/>
      <c r="I6" s="9"/>
      <c r="J6" s="9"/>
      <c r="K6" s="9"/>
      <c r="L6" s="406"/>
      <c r="M6" s="9" t="s">
        <v>609</v>
      </c>
      <c r="N6" s="54">
        <f>'Prijsnormen €'!B38</f>
        <v>3200</v>
      </c>
      <c r="O6" s="18">
        <v>1</v>
      </c>
      <c r="P6" s="9" t="s">
        <v>93</v>
      </c>
      <c r="Q6" s="409" t="s">
        <v>617</v>
      </c>
      <c r="R6" s="411">
        <v>0.1</v>
      </c>
    </row>
    <row r="7" spans="1:18" ht="14.25">
      <c r="A7" s="9"/>
      <c r="B7" s="9"/>
      <c r="C7" s="9"/>
      <c r="D7" s="9"/>
      <c r="E7" s="24" t="s">
        <v>451</v>
      </c>
      <c r="F7" s="19">
        <v>1</v>
      </c>
      <c r="G7" s="9"/>
      <c r="H7" s="9"/>
      <c r="I7" s="9"/>
      <c r="J7" s="9"/>
      <c r="K7" s="9"/>
      <c r="L7" s="406"/>
      <c r="M7" s="9" t="s">
        <v>610</v>
      </c>
      <c r="N7" s="54">
        <f>'Prijsnormen €'!B39</f>
        <v>5000</v>
      </c>
      <c r="O7" s="18">
        <v>1</v>
      </c>
      <c r="P7" s="9" t="s">
        <v>81</v>
      </c>
      <c r="Q7" s="409" t="s">
        <v>625</v>
      </c>
      <c r="R7" s="411">
        <v>0.3</v>
      </c>
    </row>
    <row r="8" spans="13:18" ht="14.25">
      <c r="M8" s="9" t="s">
        <v>78</v>
      </c>
      <c r="N8" s="54">
        <f>'Prijsnormen €'!B$20</f>
        <v>810</v>
      </c>
      <c r="O8" s="18">
        <v>0</v>
      </c>
      <c r="P8" s="9" t="s">
        <v>608</v>
      </c>
      <c r="Q8" s="409" t="s">
        <v>623</v>
      </c>
      <c r="R8" s="411">
        <v>0.16</v>
      </c>
    </row>
    <row r="9" spans="13:18" ht="14.25">
      <c r="M9" s="9" t="s">
        <v>91</v>
      </c>
      <c r="N9" s="54">
        <f>'Prijsnormen €'!B$20</f>
        <v>810</v>
      </c>
      <c r="O9" s="18">
        <v>0</v>
      </c>
      <c r="P9" s="9" t="s">
        <v>602</v>
      </c>
      <c r="Q9" s="409" t="s">
        <v>669</v>
      </c>
      <c r="R9" s="411">
        <v>0.06</v>
      </c>
    </row>
    <row r="10" spans="1:18" ht="14.25">
      <c r="A10" s="1"/>
      <c r="B10" s="1"/>
      <c r="C10" s="1"/>
      <c r="D10" s="1"/>
      <c r="M10" s="9" t="s">
        <v>80</v>
      </c>
      <c r="N10" s="54">
        <f>'Prijsnormen €'!B$20</f>
        <v>810</v>
      </c>
      <c r="O10" s="18">
        <v>0</v>
      </c>
      <c r="P10" s="9" t="s">
        <v>78</v>
      </c>
      <c r="Q10" s="409" t="s">
        <v>668</v>
      </c>
      <c r="R10" s="411">
        <v>0.04</v>
      </c>
    </row>
    <row r="11" spans="1:18" ht="14.25">
      <c r="A11" s="2"/>
      <c r="B11" s="2"/>
      <c r="C11" s="2"/>
      <c r="D11" s="2"/>
      <c r="M11" s="9" t="s">
        <v>97</v>
      </c>
      <c r="N11" s="54">
        <f>'Prijsnormen €'!B$20</f>
        <v>810</v>
      </c>
      <c r="O11" s="18">
        <v>0</v>
      </c>
      <c r="P11" s="9" t="s">
        <v>91</v>
      </c>
      <c r="Q11" s="409" t="s">
        <v>1455</v>
      </c>
      <c r="R11" s="411">
        <v>0.05</v>
      </c>
    </row>
    <row r="12" spans="1:18" ht="14.25">
      <c r="A12" s="3"/>
      <c r="B12" s="3"/>
      <c r="M12" s="9" t="s">
        <v>466</v>
      </c>
      <c r="N12" s="54">
        <f>'Prijsnormen €'!B$20</f>
        <v>810</v>
      </c>
      <c r="O12" s="18">
        <v>0</v>
      </c>
      <c r="P12" s="9" t="s">
        <v>80</v>
      </c>
      <c r="Q12" s="409" t="s">
        <v>1456</v>
      </c>
      <c r="R12" s="411">
        <v>0.11</v>
      </c>
    </row>
    <row r="13" spans="13:18" ht="14.25">
      <c r="M13" s="9" t="s">
        <v>76</v>
      </c>
      <c r="N13" s="54">
        <f>'Prijsnormen €'!B$20</f>
        <v>810</v>
      </c>
      <c r="O13" s="18">
        <v>0</v>
      </c>
      <c r="P13" s="9" t="s">
        <v>97</v>
      </c>
      <c r="Q13" s="409" t="s">
        <v>627</v>
      </c>
      <c r="R13" s="411">
        <v>0.05</v>
      </c>
    </row>
    <row r="14" spans="13:18" ht="14.25">
      <c r="M14" s="9" t="s">
        <v>98</v>
      </c>
      <c r="N14" s="54">
        <f>'Prijsnormen €'!B$20</f>
        <v>810</v>
      </c>
      <c r="O14" s="18">
        <v>0</v>
      </c>
      <c r="P14" s="9" t="s">
        <v>466</v>
      </c>
      <c r="Q14" s="409" t="s">
        <v>1457</v>
      </c>
      <c r="R14" s="411">
        <v>0.03</v>
      </c>
    </row>
    <row r="15" spans="13:18" ht="14.25">
      <c r="M15" s="9" t="s">
        <v>1454</v>
      </c>
      <c r="N15" s="54">
        <f>'Prijsnormen €'!B24</f>
        <v>1100</v>
      </c>
      <c r="O15" s="18">
        <v>0</v>
      </c>
      <c r="P15" s="9" t="s">
        <v>76</v>
      </c>
      <c r="Q15" s="409" t="s">
        <v>1458</v>
      </c>
      <c r="R15" s="411">
        <v>0.02</v>
      </c>
    </row>
    <row r="16" spans="13:18" ht="14.25">
      <c r="M16" s="9" t="s">
        <v>465</v>
      </c>
      <c r="N16" s="54">
        <f>'Prijsnormen €'!B16</f>
        <v>8000</v>
      </c>
      <c r="O16" s="18">
        <v>0</v>
      </c>
      <c r="P16" s="9" t="s">
        <v>98</v>
      </c>
      <c r="Q16" s="409" t="s">
        <v>1495</v>
      </c>
      <c r="R16" s="411">
        <v>0.08</v>
      </c>
    </row>
    <row r="17" spans="13:18" ht="14.25">
      <c r="M17" s="9" t="s">
        <v>640</v>
      </c>
      <c r="N17" s="54">
        <f>'Prijsnormen €'!B37</f>
        <v>1500</v>
      </c>
      <c r="O17" s="18">
        <v>1</v>
      </c>
      <c r="P17" s="9" t="s">
        <v>100</v>
      </c>
      <c r="Q17" s="409" t="s">
        <v>1459</v>
      </c>
      <c r="R17" s="411">
        <v>0.03</v>
      </c>
    </row>
    <row r="18" spans="13:18" ht="14.25">
      <c r="M18" s="9" t="s">
        <v>111</v>
      </c>
      <c r="N18" s="54">
        <v>0</v>
      </c>
      <c r="O18" s="18">
        <v>0</v>
      </c>
      <c r="P18" s="9" t="s">
        <v>85</v>
      </c>
      <c r="Q18" s="409" t="s">
        <v>1460</v>
      </c>
      <c r="R18" s="411">
        <v>0.05</v>
      </c>
    </row>
    <row r="19" spans="13:18" ht="14.25">
      <c r="M19" s="9" t="s">
        <v>672</v>
      </c>
      <c r="N19" s="54">
        <v>0</v>
      </c>
      <c r="O19" s="18">
        <v>0</v>
      </c>
      <c r="P19" s="9" t="s">
        <v>639</v>
      </c>
      <c r="Q19" s="409" t="s">
        <v>1461</v>
      </c>
      <c r="R19" s="411">
        <v>0.08</v>
      </c>
    </row>
    <row r="20" spans="13:18" ht="14.25">
      <c r="M20" s="9" t="s">
        <v>608</v>
      </c>
      <c r="N20" s="54">
        <f>'Prijsnormen €'!B26</f>
        <v>6250</v>
      </c>
      <c r="O20" s="18">
        <v>0</v>
      </c>
      <c r="P20" s="9" t="s">
        <v>1454</v>
      </c>
      <c r="Q20" s="409" t="s">
        <v>1462</v>
      </c>
      <c r="R20" s="411">
        <v>0.04</v>
      </c>
    </row>
    <row r="21" spans="13:18" ht="14.25">
      <c r="M21" s="9" t="s">
        <v>464</v>
      </c>
      <c r="N21" s="54">
        <f>'Prijsnormen €'!B15</f>
        <v>16000</v>
      </c>
      <c r="O21" s="18">
        <v>0</v>
      </c>
      <c r="P21" s="9" t="s">
        <v>638</v>
      </c>
      <c r="Q21" s="409" t="s">
        <v>1463</v>
      </c>
      <c r="R21" s="411">
        <v>0.02</v>
      </c>
    </row>
    <row r="22" spans="13:18" ht="14.25">
      <c r="M22" s="9" t="s">
        <v>65</v>
      </c>
      <c r="N22" s="54">
        <v>0</v>
      </c>
      <c r="O22" s="18">
        <v>0</v>
      </c>
      <c r="P22" s="9" t="s">
        <v>68</v>
      </c>
      <c r="Q22" s="409" t="s">
        <v>620</v>
      </c>
      <c r="R22" s="411">
        <v>0.03</v>
      </c>
    </row>
    <row r="23" spans="13:18" ht="14.25">
      <c r="M23" s="9" t="s">
        <v>116</v>
      </c>
      <c r="N23" s="54">
        <v>0</v>
      </c>
      <c r="O23" s="18">
        <v>0</v>
      </c>
      <c r="P23" s="9" t="s">
        <v>108</v>
      </c>
      <c r="Q23" s="409" t="s">
        <v>1499</v>
      </c>
      <c r="R23" s="411">
        <v>0.03</v>
      </c>
    </row>
    <row r="24" spans="13:18" ht="14.25">
      <c r="M24" s="9" t="s">
        <v>102</v>
      </c>
      <c r="N24" s="54">
        <v>0</v>
      </c>
      <c r="O24" s="18">
        <v>0</v>
      </c>
      <c r="P24" s="9" t="s">
        <v>83</v>
      </c>
      <c r="Q24" s="409" t="s">
        <v>621</v>
      </c>
      <c r="R24" s="411">
        <v>0.02</v>
      </c>
    </row>
    <row r="25" spans="13:18" ht="14.25">
      <c r="M25" s="9" t="s">
        <v>87</v>
      </c>
      <c r="N25" s="54">
        <v>0</v>
      </c>
      <c r="O25" s="18">
        <v>0</v>
      </c>
      <c r="P25" s="9" t="s">
        <v>111</v>
      </c>
      <c r="Q25" s="409" t="s">
        <v>1464</v>
      </c>
      <c r="R25" s="411">
        <v>0.04</v>
      </c>
    </row>
    <row r="26" spans="13:18" ht="14.25">
      <c r="M26" s="9" t="s">
        <v>74</v>
      </c>
      <c r="N26" s="54">
        <v>0</v>
      </c>
      <c r="O26" s="18">
        <v>0</v>
      </c>
      <c r="P26" s="9" t="s">
        <v>70</v>
      </c>
      <c r="Q26" s="409" t="s">
        <v>1465</v>
      </c>
      <c r="R26" s="411">
        <v>0.04</v>
      </c>
    </row>
    <row r="27" spans="13:18" ht="14.25">
      <c r="M27" s="9" t="s">
        <v>70</v>
      </c>
      <c r="N27" s="54">
        <v>0</v>
      </c>
      <c r="O27" s="18">
        <v>0</v>
      </c>
      <c r="P27" s="9" t="s">
        <v>102</v>
      </c>
      <c r="Q27" s="409" t="s">
        <v>618</v>
      </c>
      <c r="R27" s="411">
        <v>0.04</v>
      </c>
    </row>
    <row r="28" spans="13:18" ht="14.25">
      <c r="M28" s="9" t="s">
        <v>643</v>
      </c>
      <c r="N28" s="54">
        <f>'Prijsnormen €'!B30</f>
        <v>1600</v>
      </c>
      <c r="O28" s="18">
        <v>1</v>
      </c>
      <c r="P28" s="9" t="s">
        <v>65</v>
      </c>
      <c r="Q28" s="409" t="s">
        <v>1466</v>
      </c>
      <c r="R28" s="411">
        <v>0.04</v>
      </c>
    </row>
    <row r="29" spans="13:18" ht="14.25">
      <c r="M29" s="9" t="s">
        <v>113</v>
      </c>
      <c r="N29" s="54">
        <f>'Prijsnormen €'!B19</f>
        <v>25000</v>
      </c>
      <c r="O29" s="18">
        <v>1</v>
      </c>
      <c r="P29" s="9" t="s">
        <v>116</v>
      </c>
      <c r="Q29" s="409" t="s">
        <v>1467</v>
      </c>
      <c r="R29" s="411">
        <v>0.02</v>
      </c>
    </row>
    <row r="30" spans="13:18" ht="14.25">
      <c r="M30" s="9" t="s">
        <v>110</v>
      </c>
      <c r="N30" s="54">
        <v>0</v>
      </c>
      <c r="O30" s="18">
        <v>0</v>
      </c>
      <c r="P30" s="9" t="s">
        <v>687</v>
      </c>
      <c r="Q30" s="409" t="s">
        <v>1496</v>
      </c>
      <c r="R30" s="411">
        <v>0.08</v>
      </c>
    </row>
    <row r="31" spans="13:18" ht="14.25">
      <c r="M31" s="9" t="s">
        <v>108</v>
      </c>
      <c r="N31" s="54">
        <v>0</v>
      </c>
      <c r="O31" s="18">
        <v>0</v>
      </c>
      <c r="P31" s="9" t="s">
        <v>74</v>
      </c>
      <c r="Q31" s="409" t="s">
        <v>1497</v>
      </c>
      <c r="R31" s="411">
        <v>0.08</v>
      </c>
    </row>
    <row r="32" spans="13:18" ht="14.25">
      <c r="M32" s="9" t="s">
        <v>104</v>
      </c>
      <c r="N32" s="54">
        <v>0</v>
      </c>
      <c r="O32" s="18">
        <v>0</v>
      </c>
      <c r="P32" s="9" t="s">
        <v>107</v>
      </c>
      <c r="Q32" s="52"/>
      <c r="R32" s="25"/>
    </row>
    <row r="33" spans="13:18" ht="14.25">
      <c r="M33" s="9" t="s">
        <v>81</v>
      </c>
      <c r="N33" s="54">
        <f>'Prijsnormen €'!B17</f>
        <v>2700</v>
      </c>
      <c r="O33" s="18">
        <v>0</v>
      </c>
      <c r="P33" s="9" t="s">
        <v>109</v>
      </c>
      <c r="Q33" s="70"/>
      <c r="R33" s="25"/>
    </row>
    <row r="34" spans="13:16" ht="14.25">
      <c r="M34" s="9" t="s">
        <v>93</v>
      </c>
      <c r="N34" s="54">
        <f>'Prijsnormen €'!B18</f>
        <v>26000</v>
      </c>
      <c r="O34" s="18">
        <v>0</v>
      </c>
      <c r="P34" s="9" t="s">
        <v>120</v>
      </c>
    </row>
    <row r="35" spans="13:16" ht="14.25">
      <c r="M35" s="9" t="s">
        <v>645</v>
      </c>
      <c r="N35" s="54">
        <v>4250</v>
      </c>
      <c r="O35" s="18">
        <v>1</v>
      </c>
      <c r="P35" s="9" t="s">
        <v>118</v>
      </c>
    </row>
    <row r="36" spans="13:16" ht="14.25">
      <c r="M36" s="9" t="s">
        <v>646</v>
      </c>
      <c r="N36" s="54">
        <v>6400</v>
      </c>
      <c r="O36" s="18">
        <v>1</v>
      </c>
      <c r="P36" s="9" t="s">
        <v>72</v>
      </c>
    </row>
    <row r="37" spans="13:16" ht="14.25">
      <c r="M37" s="9" t="s">
        <v>100</v>
      </c>
      <c r="N37" s="54">
        <v>0</v>
      </c>
      <c r="O37" s="18">
        <v>0</v>
      </c>
      <c r="P37" s="9" t="s">
        <v>645</v>
      </c>
    </row>
    <row r="38" spans="13:16" ht="14.25">
      <c r="M38" s="9" t="s">
        <v>639</v>
      </c>
      <c r="N38" s="54">
        <f>'Prijsnormen €'!B23</f>
        <v>1250</v>
      </c>
      <c r="O38" s="18">
        <v>0</v>
      </c>
      <c r="P38" s="9" t="s">
        <v>646</v>
      </c>
    </row>
    <row r="39" spans="13:16" ht="14.25">
      <c r="M39" s="9" t="s">
        <v>85</v>
      </c>
      <c r="N39" s="54">
        <f>'Prijsnormen €'!B20</f>
        <v>810</v>
      </c>
      <c r="O39" s="18">
        <v>0</v>
      </c>
      <c r="P39" s="9" t="s">
        <v>640</v>
      </c>
    </row>
    <row r="40" spans="13:16" ht="14.25">
      <c r="M40" s="9" t="s">
        <v>638</v>
      </c>
      <c r="N40" s="54">
        <f>'Prijsnormen €'!B23</f>
        <v>1250</v>
      </c>
      <c r="O40" s="18">
        <v>0</v>
      </c>
      <c r="P40" s="24" t="s">
        <v>1449</v>
      </c>
    </row>
    <row r="41" spans="13:16" ht="14.25">
      <c r="M41" s="9" t="s">
        <v>68</v>
      </c>
      <c r="N41" s="54">
        <f>'Prijsnormen €'!B20</f>
        <v>810</v>
      </c>
      <c r="O41" s="18">
        <v>0</v>
      </c>
      <c r="P41" s="24" t="s">
        <v>1450</v>
      </c>
    </row>
    <row r="42" spans="13:16" ht="14.25">
      <c r="M42" s="9" t="s">
        <v>693</v>
      </c>
      <c r="N42" s="54">
        <f>'Prijsnormen €'!B40</f>
        <v>2500</v>
      </c>
      <c r="O42" s="18">
        <v>1</v>
      </c>
      <c r="P42" s="9" t="s">
        <v>1451</v>
      </c>
    </row>
    <row r="43" spans="13:16" ht="14.25">
      <c r="M43" s="9" t="s">
        <v>109</v>
      </c>
      <c r="N43" s="54">
        <v>0</v>
      </c>
      <c r="O43" s="18">
        <v>0</v>
      </c>
      <c r="P43" s="9" t="s">
        <v>1452</v>
      </c>
    </row>
    <row r="44" spans="13:16" ht="14.25">
      <c r="M44" s="9" t="s">
        <v>120</v>
      </c>
      <c r="N44" s="54">
        <v>0</v>
      </c>
      <c r="O44" s="18">
        <v>0</v>
      </c>
      <c r="P44" s="9" t="s">
        <v>609</v>
      </c>
    </row>
    <row r="45" spans="13:16" ht="14.25">
      <c r="M45" s="9" t="s">
        <v>118</v>
      </c>
      <c r="N45" s="54">
        <v>0</v>
      </c>
      <c r="O45" s="18">
        <v>0</v>
      </c>
      <c r="P45" s="9" t="s">
        <v>610</v>
      </c>
    </row>
    <row r="46" spans="13:16" ht="14.25">
      <c r="M46" s="9" t="s">
        <v>72</v>
      </c>
      <c r="N46" s="54">
        <v>0</v>
      </c>
      <c r="O46" s="18">
        <v>0</v>
      </c>
      <c r="P46" s="9" t="s">
        <v>642</v>
      </c>
    </row>
    <row r="47" spans="13:16" ht="14.25">
      <c r="M47" s="9" t="s">
        <v>688</v>
      </c>
      <c r="N47" s="54">
        <f>'Prijsnormen €'!B23</f>
        <v>1250</v>
      </c>
      <c r="O47" s="18">
        <v>0</v>
      </c>
      <c r="P47" s="9" t="s">
        <v>641</v>
      </c>
    </row>
    <row r="48" spans="13:16" ht="14.25">
      <c r="M48" s="24" t="s">
        <v>1449</v>
      </c>
      <c r="N48" s="54">
        <f>'Prijsnormen €'!B35</f>
        <v>3200</v>
      </c>
      <c r="O48" s="18">
        <v>1</v>
      </c>
      <c r="P48" s="9" t="s">
        <v>113</v>
      </c>
    </row>
    <row r="49" spans="13:16" ht="14.25">
      <c r="M49" s="24" t="s">
        <v>1450</v>
      </c>
      <c r="N49" s="54">
        <f>'Prijsnormen €'!B36</f>
        <v>4800</v>
      </c>
      <c r="O49" s="18">
        <v>1</v>
      </c>
      <c r="P49" s="51" t="s">
        <v>693</v>
      </c>
    </row>
    <row r="50" spans="13:16" ht="14.25">
      <c r="M50" s="9" t="s">
        <v>1451</v>
      </c>
      <c r="N50" s="54">
        <f>'Prijsnormen €'!B33</f>
        <v>2700</v>
      </c>
      <c r="O50" s="18">
        <v>1</v>
      </c>
      <c r="P50" s="9" t="s">
        <v>643</v>
      </c>
    </row>
    <row r="51" spans="13:16" ht="14.25">
      <c r="M51" s="9" t="s">
        <v>1452</v>
      </c>
      <c r="N51" s="54">
        <f>'Prijsnormen €'!B34</f>
        <v>3200</v>
      </c>
      <c r="O51" s="18">
        <v>1</v>
      </c>
      <c r="P51" s="9"/>
    </row>
    <row r="52" spans="13:16" ht="14.25">
      <c r="M52" s="9" t="s">
        <v>642</v>
      </c>
      <c r="N52" s="54">
        <f>'Prijsnormen €'!B28</f>
        <v>3700</v>
      </c>
      <c r="O52" s="18">
        <v>1</v>
      </c>
      <c r="P52" s="9"/>
    </row>
    <row r="53" spans="13:16" ht="14.25">
      <c r="M53" s="9" t="s">
        <v>641</v>
      </c>
      <c r="N53" s="54">
        <f>'Prijsnormen €'!B29</f>
        <v>4900</v>
      </c>
      <c r="O53" s="18">
        <v>1</v>
      </c>
      <c r="P53" s="9"/>
    </row>
  </sheetData>
  <sheetProtection/>
  <autoFilter ref="A1:R49"/>
  <printOptions/>
  <pageMargins left="0.7" right="0.7" top="0.75" bottom="0.75" header="0.3" footer="0.3"/>
  <pageSetup horizontalDpi="600" verticalDpi="600" orientation="portrait" paperSize="9" r:id="rId1"/>
  <ignoredErrors>
    <ignoredError sqref="N39:N40" formula="1"/>
  </ignoredErrors>
</worksheet>
</file>

<file path=xl/worksheets/sheet11.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N2"/>
    </sheetView>
  </sheetViews>
  <sheetFormatPr defaultColWidth="9.140625" defaultRowHeight="15"/>
  <sheetData>
    <row r="1" spans="1:14" ht="14.25">
      <c r="A1">
        <v>1</v>
      </c>
      <c r="B1">
        <v>2</v>
      </c>
      <c r="C1">
        <v>3</v>
      </c>
      <c r="D1">
        <v>4</v>
      </c>
      <c r="E1">
        <v>5</v>
      </c>
      <c r="F1">
        <v>6</v>
      </c>
      <c r="G1">
        <v>7</v>
      </c>
      <c r="H1">
        <v>8</v>
      </c>
      <c r="I1">
        <v>9</v>
      </c>
      <c r="J1">
        <v>10</v>
      </c>
      <c r="K1">
        <v>11</v>
      </c>
      <c r="L1">
        <v>12</v>
      </c>
      <c r="M1">
        <v>13</v>
      </c>
      <c r="N1">
        <v>14</v>
      </c>
    </row>
    <row r="2" spans="1:14" ht="14.25">
      <c r="A2">
        <v>3</v>
      </c>
      <c r="B2">
        <v>4</v>
      </c>
      <c r="C2">
        <v>5</v>
      </c>
      <c r="D2">
        <v>6</v>
      </c>
      <c r="E2">
        <v>7</v>
      </c>
      <c r="F2">
        <v>8</v>
      </c>
      <c r="G2">
        <v>9</v>
      </c>
      <c r="H2">
        <v>10</v>
      </c>
      <c r="I2">
        <v>11</v>
      </c>
      <c r="J2">
        <v>12</v>
      </c>
      <c r="K2">
        <v>13</v>
      </c>
      <c r="L2">
        <v>14</v>
      </c>
      <c r="M2">
        <v>15</v>
      </c>
      <c r="N2">
        <v>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C9" sqref="C9"/>
    </sheetView>
  </sheetViews>
  <sheetFormatPr defaultColWidth="9.140625" defaultRowHeight="15"/>
  <cols>
    <col min="1" max="1" width="44.8515625" style="0" customWidth="1"/>
    <col min="2" max="2" width="9.140625" style="3" customWidth="1"/>
    <col min="3" max="3" width="46.140625" style="0" customWidth="1"/>
    <col min="4" max="4" width="7.140625" style="3" customWidth="1"/>
    <col min="5" max="5" width="44.7109375" style="0" customWidth="1"/>
    <col min="6" max="6" width="8.28125" style="3" customWidth="1"/>
  </cols>
  <sheetData>
    <row r="1" spans="1:6" ht="14.25">
      <c r="A1" s="26" t="s">
        <v>628</v>
      </c>
      <c r="B1" s="41" t="s">
        <v>562</v>
      </c>
      <c r="C1" s="29" t="s">
        <v>629</v>
      </c>
      <c r="D1" s="43" t="s">
        <v>562</v>
      </c>
      <c r="E1" s="46" t="s">
        <v>631</v>
      </c>
      <c r="F1" s="38" t="s">
        <v>562</v>
      </c>
    </row>
    <row r="2" spans="1:6" ht="15" thickBot="1">
      <c r="A2" s="39" t="s">
        <v>630</v>
      </c>
      <c r="B2" s="42">
        <f>IF(SUM(B3:B23)&gt;1,1,SUM(B3:B23))</f>
        <v>1</v>
      </c>
      <c r="C2" s="44" t="s">
        <v>630</v>
      </c>
      <c r="D2" s="45">
        <f>IF(SUM(D3:D23)&gt;1,1,SUM(D3:D23))</f>
        <v>0.8500000000000001</v>
      </c>
      <c r="E2" s="47" t="s">
        <v>630</v>
      </c>
      <c r="F2" s="40">
        <f>IF(SUM(F3:F23)&gt;1,1,SUM(F3:F23))</f>
        <v>0</v>
      </c>
    </row>
    <row r="3" spans="1:6" ht="14.25">
      <c r="A3" s="27" t="s">
        <v>691</v>
      </c>
      <c r="B3" s="317">
        <f>IF(A3=0,"",LOOKUP(A3,Codetabel!$Q:$Q,Codetabel!$R:$R))</f>
        <v>1</v>
      </c>
      <c r="C3" s="33" t="s">
        <v>1479</v>
      </c>
      <c r="D3" s="34">
        <f>IF(C3=0,"",LOOKUP(C3,Codetabel!$Q:$Q,Codetabel!$R:$R))</f>
        <v>0.14</v>
      </c>
      <c r="E3" s="48"/>
      <c r="F3" s="35">
        <f>IF(E3=0,"",LOOKUP(E3,Codetabel!$Q:$Q,Codetabel!$R:$R))</f>
      </c>
    </row>
    <row r="4" spans="1:6" ht="14.25">
      <c r="A4" s="27"/>
      <c r="B4" s="32">
        <f>IF(A4=0,"",LOOKUP(A4,Codetabel!$Q:$Q,Codetabel!$R:$R))</f>
      </c>
      <c r="C4" s="30" t="s">
        <v>617</v>
      </c>
      <c r="D4" s="34">
        <f>IF(C4=0,"",LOOKUP(C4,Codetabel!$Q:$Q,Codetabel!$R:$R))</f>
        <v>0.1</v>
      </c>
      <c r="E4" s="49"/>
      <c r="F4" s="35">
        <f>IF(E4=0,"",LOOKUP(E4,Codetabel!$Q:$Q,Codetabel!$R:$R))</f>
      </c>
    </row>
    <row r="5" spans="1:6" ht="14.25">
      <c r="A5" s="27"/>
      <c r="B5" s="32">
        <f>IF(A5=0,"",LOOKUP(A5,Codetabel!$Q:$Q,Codetabel!$R:$R))</f>
      </c>
      <c r="C5" s="30" t="s">
        <v>625</v>
      </c>
      <c r="D5" s="34">
        <f>IF(C5=0,"",LOOKUP(C5,Codetabel!$Q:$Q,Codetabel!$R:$R))</f>
        <v>0.3</v>
      </c>
      <c r="E5" s="49"/>
      <c r="F5" s="35">
        <f>IF(E5=0,"",LOOKUP(E5,Codetabel!$Q:$Q,Codetabel!$R:$R))</f>
      </c>
    </row>
    <row r="6" spans="1:6" ht="14.25">
      <c r="A6" s="27"/>
      <c r="B6" s="32">
        <f>IF(A6=0,"",LOOKUP(A6,Codetabel!$Q:$Q,Codetabel!$R:$R))</f>
      </c>
      <c r="C6" s="30" t="s">
        <v>623</v>
      </c>
      <c r="D6" s="34">
        <f>IF(C6=0,"",LOOKUP(C6,Codetabel!$Q:$Q,Codetabel!$R:$R))</f>
        <v>0.16</v>
      </c>
      <c r="E6" s="49"/>
      <c r="F6" s="35">
        <f>IF(E6=0,"",LOOKUP(E6,Codetabel!$Q:$Q,Codetabel!$R:$R))</f>
      </c>
    </row>
    <row r="7" spans="1:6" ht="14.25">
      <c r="A7" s="27"/>
      <c r="B7" s="32">
        <f>IF(A7=0,"",LOOKUP(A7,Codetabel!$Q:$Q,Codetabel!$R:$R))</f>
      </c>
      <c r="C7" s="30" t="s">
        <v>669</v>
      </c>
      <c r="D7" s="34">
        <f>IF(C7=0,"",LOOKUP(C7,Codetabel!$Q:$Q,Codetabel!$R:$R))</f>
        <v>0.06</v>
      </c>
      <c r="E7" s="49"/>
      <c r="F7" s="35">
        <f>IF(E7=0,"",LOOKUP(E7,Codetabel!$Q:$Q,Codetabel!$R:$R))</f>
      </c>
    </row>
    <row r="8" spans="1:6" ht="14.25">
      <c r="A8" s="27"/>
      <c r="B8" s="32">
        <f>IF(A8=0,"",LOOKUP(A8,Codetabel!$Q:$Q,Codetabel!$R:$R))</f>
      </c>
      <c r="C8" s="30" t="s">
        <v>618</v>
      </c>
      <c r="D8" s="34">
        <f>IF(C8=0,"",LOOKUP(C8,Codetabel!$Q:$Q,Codetabel!$R:$R))</f>
        <v>0.04</v>
      </c>
      <c r="E8" s="49"/>
      <c r="F8" s="35">
        <f>IF(E8=0,"",LOOKUP(E8,Codetabel!$Q:$Q,Codetabel!$R:$R))</f>
      </c>
    </row>
    <row r="9" spans="1:6" ht="14.25">
      <c r="A9" s="27"/>
      <c r="B9" s="32">
        <f>IF(A9=0,"",LOOKUP(A9,Codetabel!$Q:$Q,Codetabel!$R:$R))</f>
      </c>
      <c r="C9" s="30" t="s">
        <v>1455</v>
      </c>
      <c r="D9" s="34">
        <f>IF(C9=0,"",LOOKUP(C9,Codetabel!$Q:$Q,Codetabel!$R:$R))</f>
        <v>0.05</v>
      </c>
      <c r="E9" s="49"/>
      <c r="F9" s="35">
        <f>IF(E9=0,"",LOOKUP(E9,Codetabel!$Q:$Q,Codetabel!$R:$R))</f>
      </c>
    </row>
    <row r="10" spans="1:6" ht="14.25">
      <c r="A10" s="27"/>
      <c r="B10" s="32">
        <f>IF(A10=0,"",LOOKUP(A10,Codetabel!$Q:$Q,Codetabel!$R:$R))</f>
      </c>
      <c r="C10" s="30"/>
      <c r="D10" s="34">
        <f>IF(C10=0,"",LOOKUP(C10,Codetabel!$Q:$Q,Codetabel!$R:$R))</f>
      </c>
      <c r="E10" s="49"/>
      <c r="F10" s="35">
        <f>IF(E10=0,"",LOOKUP(E10,Codetabel!$Q:$Q,Codetabel!$R:$R))</f>
      </c>
    </row>
    <row r="11" spans="1:6" ht="14.25">
      <c r="A11" s="27"/>
      <c r="B11" s="32">
        <f>IF(A11=0,"",LOOKUP(A11,Codetabel!$Q:$Q,Codetabel!$R:$R))</f>
      </c>
      <c r="C11" s="30"/>
      <c r="D11" s="34">
        <f>IF(C11=0,"",LOOKUP(C11,Codetabel!$Q:$Q,Codetabel!$R:$R))</f>
      </c>
      <c r="E11" s="49"/>
      <c r="F11" s="35">
        <f>IF(E11=0,"",LOOKUP(E11,Codetabel!$Q:$Q,Codetabel!$R:$R))</f>
      </c>
    </row>
    <row r="12" spans="1:6" ht="14.25">
      <c r="A12" s="27"/>
      <c r="B12" s="32">
        <f>IF(A12=0,"",LOOKUP(A12,Codetabel!$Q:$Q,Codetabel!$R:$R))</f>
      </c>
      <c r="C12" s="30"/>
      <c r="D12" s="34">
        <f>IF(C12=0,"",LOOKUP(C12,Codetabel!$Q:$Q,Codetabel!$R:$R))</f>
      </c>
      <c r="E12" s="49"/>
      <c r="F12" s="35">
        <f>IF(E12=0,"",LOOKUP(E12,Codetabel!$Q:$Q,Codetabel!$R:$R))</f>
      </c>
    </row>
    <row r="13" spans="1:6" ht="14.25">
      <c r="A13" s="27"/>
      <c r="B13" s="32">
        <f>IF(A13=0,"",LOOKUP(A13,Codetabel!$Q:$Q,Codetabel!$R:$R))</f>
      </c>
      <c r="C13" s="30"/>
      <c r="D13" s="34">
        <f>IF(C13=0,"",LOOKUP(C13,Codetabel!$Q:$Q,Codetabel!$R:$R))</f>
      </c>
      <c r="E13" s="49"/>
      <c r="F13" s="35">
        <f>IF(E13=0,"",LOOKUP(E13,Codetabel!$Q:$Q,Codetabel!$R:$R))</f>
      </c>
    </row>
    <row r="14" spans="1:6" ht="14.25">
      <c r="A14" s="27"/>
      <c r="B14" s="32">
        <f>IF(A14=0,"",LOOKUP(A14,Codetabel!$Q:$Q,Codetabel!$R:$R))</f>
      </c>
      <c r="C14" s="30"/>
      <c r="D14" s="34">
        <f>IF(C14=0,"",LOOKUP(C14,Codetabel!$Q:$Q,Codetabel!$R:$R))</f>
      </c>
      <c r="E14" s="49"/>
      <c r="F14" s="35">
        <f>IF(E14=0,"",LOOKUP(E14,Codetabel!$Q:$Q,Codetabel!$R:$R))</f>
      </c>
    </row>
    <row r="15" spans="1:6" ht="14.25">
      <c r="A15" s="27"/>
      <c r="B15" s="32">
        <f>IF(A15=0,"",LOOKUP(A15,Codetabel!$Q:$Q,Codetabel!$R:$R))</f>
      </c>
      <c r="C15" s="30"/>
      <c r="D15" s="34">
        <f>IF(C15=0,"",LOOKUP(C15,Codetabel!$Q:$Q,Codetabel!$R:$R))</f>
      </c>
      <c r="E15" s="49"/>
      <c r="F15" s="35">
        <f>IF(E15=0,"",LOOKUP(E15,Codetabel!$Q:$Q,Codetabel!$R:$R))</f>
      </c>
    </row>
    <row r="16" spans="1:6" ht="14.25">
      <c r="A16" s="27"/>
      <c r="B16" s="32">
        <f>IF(A16=0,"",LOOKUP(A16,Codetabel!$Q:$Q,Codetabel!$R:$R))</f>
      </c>
      <c r="C16" s="30"/>
      <c r="D16" s="34">
        <f>IF(C16=0,"",LOOKUP(C16,Codetabel!$Q:$Q,Codetabel!$R:$R))</f>
      </c>
      <c r="E16" s="49"/>
      <c r="F16" s="35">
        <f>IF(E16=0,"",LOOKUP(E16,Codetabel!$Q:$Q,Codetabel!$R:$R))</f>
      </c>
    </row>
    <row r="17" spans="1:6" ht="14.25">
      <c r="A17" s="27"/>
      <c r="B17" s="32">
        <f>IF(A17=0,"",LOOKUP(A17,Codetabel!$Q:$Q,Codetabel!$R:$R))</f>
      </c>
      <c r="C17" s="30"/>
      <c r="D17" s="34">
        <f>IF(C17=0,"",LOOKUP(C17,Codetabel!$Q:$Q,Codetabel!$R:$R))</f>
      </c>
      <c r="E17" s="49"/>
      <c r="F17" s="35">
        <f>IF(E17=0,"",LOOKUP(E17,Codetabel!$Q:$Q,Codetabel!$R:$R))</f>
      </c>
    </row>
    <row r="18" spans="1:6" ht="14.25">
      <c r="A18" s="27"/>
      <c r="B18" s="32">
        <f>IF(A18=0,"",LOOKUP(A18,Codetabel!$Q:$Q,Codetabel!$R:$R))</f>
      </c>
      <c r="C18" s="30"/>
      <c r="D18" s="34">
        <f>IF(C18=0,"",LOOKUP(C18,Codetabel!$Q:$Q,Codetabel!$R:$R))</f>
      </c>
      <c r="E18" s="49"/>
      <c r="F18" s="35">
        <f>IF(E18=0,"",LOOKUP(E18,Codetabel!$Q:$Q,Codetabel!$R:$R))</f>
      </c>
    </row>
    <row r="19" spans="1:6" ht="14.25">
      <c r="A19" s="27"/>
      <c r="B19" s="32">
        <f>IF(A19=0,"",LOOKUP(A19,Codetabel!$Q:$Q,Codetabel!$R:$R))</f>
      </c>
      <c r="C19" s="30"/>
      <c r="D19" s="34">
        <f>IF(C19=0,"",LOOKUP(C19,Codetabel!$Q:$Q,Codetabel!$R:$R))</f>
      </c>
      <c r="E19" s="49"/>
      <c r="F19" s="35">
        <f>IF(E19=0,"",LOOKUP(E19,Codetabel!$Q:$Q,Codetabel!$R:$R))</f>
      </c>
    </row>
    <row r="20" spans="1:6" ht="14.25">
      <c r="A20" s="27"/>
      <c r="B20" s="32">
        <f>IF(A20=0,"",LOOKUP(A20,Codetabel!$Q:$Q,Codetabel!$R:$R))</f>
      </c>
      <c r="C20" s="30"/>
      <c r="D20" s="34">
        <f>IF(C20=0,"",LOOKUP(C20,Codetabel!$Q:$Q,Codetabel!$R:$R))</f>
      </c>
      <c r="E20" s="49"/>
      <c r="F20" s="35">
        <f>IF(E20=0,"",LOOKUP(E20,Codetabel!$Q:$Q,Codetabel!$R:$R))</f>
      </c>
    </row>
    <row r="21" spans="1:6" ht="14.25">
      <c r="A21" s="27"/>
      <c r="B21" s="32">
        <f>IF(A21=0,"",LOOKUP(A21,Codetabel!$Q:$Q,Codetabel!$R:$R))</f>
      </c>
      <c r="C21" s="30"/>
      <c r="D21" s="34">
        <f>IF(C21=0,"",LOOKUP(C21,Codetabel!$Q:$Q,Codetabel!$R:$R))</f>
      </c>
      <c r="E21" s="49"/>
      <c r="F21" s="35">
        <f>IF(E21=0,"",LOOKUP(E21,Codetabel!$Q:$Q,Codetabel!$R:$R))</f>
      </c>
    </row>
    <row r="22" spans="1:6" ht="14.25">
      <c r="A22" s="27"/>
      <c r="B22" s="32">
        <f>IF(A22=0,"",LOOKUP(A22,Codetabel!$Q:$Q,Codetabel!$R:$R))</f>
      </c>
      <c r="C22" s="30"/>
      <c r="D22" s="34">
        <f>IF(C22=0,"",LOOKUP(C22,Codetabel!$Q:$Q,Codetabel!$R:$R))</f>
      </c>
      <c r="E22" s="49"/>
      <c r="F22" s="35">
        <f>IF(E22=0,"",LOOKUP(E22,Codetabel!$Q:$Q,Codetabel!$R:$R))</f>
      </c>
    </row>
    <row r="23" spans="1:6" ht="15" thickBot="1">
      <c r="A23" s="28"/>
      <c r="B23" s="318">
        <f>IF(A23=0,"",LOOKUP(A23,Codetabel!$Q:$Q,Codetabel!$R:$R))</f>
      </c>
      <c r="C23" s="31"/>
      <c r="D23" s="36">
        <f>IF(C23=0,"",LOOKUP(C23,Codetabel!$Q:$Q,Codetabel!$R:$R))</f>
      </c>
      <c r="E23" s="50"/>
      <c r="F23" s="37">
        <f>IF(E23=0,"",LOOKUP(E23,Codetabel!$Q:$Q,Codetabel!$R:$R))</f>
      </c>
    </row>
  </sheetData>
  <sheetProtection/>
  <dataValidations count="1">
    <dataValidation type="list" allowBlank="1" showInputMessage="1" showErrorMessage="1" sqref="C3:C23 E3:E23 A3:A23">
      <formula1>Deelrenovaties</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B1"/>
    </sheetView>
  </sheetViews>
  <sheetFormatPr defaultColWidth="9.140625" defaultRowHeight="15"/>
  <cols>
    <col min="1" max="1" width="64.28125" style="0" customWidth="1"/>
    <col min="2" max="2" width="15.7109375" style="0" customWidth="1"/>
  </cols>
  <sheetData>
    <row r="1" spans="1:4" ht="21" thickBot="1">
      <c r="A1" s="637" t="s">
        <v>615</v>
      </c>
      <c r="B1" s="638"/>
      <c r="C1" s="630" t="s">
        <v>562</v>
      </c>
      <c r="D1" s="631"/>
    </row>
    <row r="2" spans="1:4" ht="15" thickBot="1">
      <c r="A2" s="599" t="s">
        <v>691</v>
      </c>
      <c r="B2" s="600"/>
      <c r="C2" s="632">
        <v>1</v>
      </c>
      <c r="D2" s="633"/>
    </row>
    <row r="3" spans="1:4" ht="15" thickBot="1">
      <c r="A3" s="601" t="s">
        <v>665</v>
      </c>
      <c r="B3" s="602"/>
      <c r="C3" s="602"/>
      <c r="D3" s="603"/>
    </row>
    <row r="4" spans="1:4" ht="15" thickBot="1">
      <c r="A4" s="648" t="s">
        <v>692</v>
      </c>
      <c r="B4" s="649"/>
      <c r="C4" s="619">
        <v>0.16</v>
      </c>
      <c r="D4" s="634">
        <v>0.4</v>
      </c>
    </row>
    <row r="5" spans="1:4" ht="14.25">
      <c r="A5" s="441" t="s">
        <v>1498</v>
      </c>
      <c r="B5" s="442">
        <v>0.05</v>
      </c>
      <c r="C5" s="619"/>
      <c r="D5" s="634"/>
    </row>
    <row r="6" spans="1:4" ht="15" thickBot="1">
      <c r="A6" s="443" t="s">
        <v>1456</v>
      </c>
      <c r="B6" s="444">
        <v>0.11</v>
      </c>
      <c r="C6" s="620"/>
      <c r="D6" s="634"/>
    </row>
    <row r="7" spans="1:4" ht="15" thickBot="1">
      <c r="A7" s="618" t="s">
        <v>616</v>
      </c>
      <c r="B7" s="603"/>
      <c r="C7" s="619">
        <v>0.14</v>
      </c>
      <c r="D7" s="635"/>
    </row>
    <row r="8" spans="1:4" ht="14.25">
      <c r="A8" s="59" t="s">
        <v>626</v>
      </c>
      <c r="B8" s="412">
        <v>0.04</v>
      </c>
      <c r="C8" s="619"/>
      <c r="D8" s="636"/>
    </row>
    <row r="9" spans="1:4" ht="14.25">
      <c r="A9" s="60" t="s">
        <v>627</v>
      </c>
      <c r="B9" s="413">
        <v>0.05</v>
      </c>
      <c r="C9" s="619"/>
      <c r="D9" s="636"/>
    </row>
    <row r="10" spans="1:4" ht="14.25">
      <c r="A10" s="61" t="s">
        <v>1457</v>
      </c>
      <c r="B10" s="414">
        <v>0.03</v>
      </c>
      <c r="C10" s="619"/>
      <c r="D10" s="636"/>
    </row>
    <row r="11" spans="1:4" ht="15" thickBot="1">
      <c r="A11" s="61" t="s">
        <v>1458</v>
      </c>
      <c r="B11" s="414">
        <v>0.02</v>
      </c>
      <c r="C11" s="620"/>
      <c r="D11" s="636"/>
    </row>
    <row r="12" spans="1:4" ht="15" thickBot="1">
      <c r="A12" s="601" t="s">
        <v>617</v>
      </c>
      <c r="B12" s="603"/>
      <c r="C12" s="415">
        <v>0.1</v>
      </c>
      <c r="D12" s="636"/>
    </row>
    <row r="13" spans="1:4" ht="15" thickBot="1">
      <c r="A13" s="615" t="s">
        <v>666</v>
      </c>
      <c r="B13" s="616"/>
      <c r="C13" s="617"/>
      <c r="D13" s="371"/>
    </row>
    <row r="14" spans="1:4" ht="15" thickBot="1">
      <c r="A14" s="604" t="s">
        <v>667</v>
      </c>
      <c r="B14" s="605"/>
      <c r="C14" s="605"/>
      <c r="D14" s="606"/>
    </row>
    <row r="15" spans="1:4" ht="15" thickBot="1">
      <c r="A15" s="604" t="s">
        <v>625</v>
      </c>
      <c r="B15" s="605"/>
      <c r="C15" s="639">
        <v>0.3</v>
      </c>
      <c r="D15" s="610">
        <v>0.3</v>
      </c>
    </row>
    <row r="16" spans="1:4" ht="14.25">
      <c r="A16" s="57" t="s">
        <v>1495</v>
      </c>
      <c r="B16" s="416">
        <v>0.08</v>
      </c>
      <c r="C16" s="640"/>
      <c r="D16" s="611"/>
    </row>
    <row r="17" spans="1:4" ht="14.25">
      <c r="A17" s="58" t="s">
        <v>1459</v>
      </c>
      <c r="B17" s="417">
        <v>0.03</v>
      </c>
      <c r="C17" s="640"/>
      <c r="D17" s="611"/>
    </row>
    <row r="18" spans="1:4" ht="14.25">
      <c r="A18" s="58" t="s">
        <v>1460</v>
      </c>
      <c r="B18" s="417">
        <v>0.05</v>
      </c>
      <c r="C18" s="640"/>
      <c r="D18" s="611"/>
    </row>
    <row r="19" spans="1:4" ht="14.25">
      <c r="A19" s="58" t="s">
        <v>1461</v>
      </c>
      <c r="B19" s="417">
        <v>0.08</v>
      </c>
      <c r="C19" s="640"/>
      <c r="D19" s="611"/>
    </row>
    <row r="20" spans="1:4" ht="14.25">
      <c r="A20" s="58" t="s">
        <v>1462</v>
      </c>
      <c r="B20" s="417">
        <v>0.04</v>
      </c>
      <c r="C20" s="640"/>
      <c r="D20" s="611"/>
    </row>
    <row r="21" spans="1:4" ht="15" thickBot="1">
      <c r="A21" s="68" t="s">
        <v>1463</v>
      </c>
      <c r="B21" s="418">
        <v>0.02</v>
      </c>
      <c r="C21" s="641"/>
      <c r="D21" s="611"/>
    </row>
    <row r="22" spans="1:7" ht="14.25">
      <c r="A22" s="66" t="s">
        <v>1496</v>
      </c>
      <c r="B22" s="419">
        <v>0.08</v>
      </c>
      <c r="C22" s="613"/>
      <c r="D22" s="611"/>
      <c r="G22" s="440"/>
    </row>
    <row r="23" spans="1:4" ht="15" thickBot="1">
      <c r="A23" s="67" t="s">
        <v>1497</v>
      </c>
      <c r="B23" s="420">
        <v>0.08</v>
      </c>
      <c r="C23" s="614"/>
      <c r="D23" s="612"/>
    </row>
    <row r="24" spans="1:4" ht="15" thickBot="1">
      <c r="A24" s="607" t="s">
        <v>624</v>
      </c>
      <c r="B24" s="608"/>
      <c r="C24" s="608"/>
      <c r="D24" s="609"/>
    </row>
    <row r="25" spans="1:4" ht="15" thickBot="1">
      <c r="A25" s="623" t="s">
        <v>668</v>
      </c>
      <c r="B25" s="624"/>
      <c r="C25" s="421">
        <v>0.04</v>
      </c>
      <c r="D25" s="644">
        <v>0.30000000000000004</v>
      </c>
    </row>
    <row r="26" spans="1:4" ht="15" thickBot="1">
      <c r="A26" s="623" t="s">
        <v>623</v>
      </c>
      <c r="B26" s="624"/>
      <c r="C26" s="642">
        <v>0.16</v>
      </c>
      <c r="D26" s="645"/>
    </row>
    <row r="27" spans="1:4" ht="14.25">
      <c r="A27" s="62" t="s">
        <v>620</v>
      </c>
      <c r="B27" s="422">
        <v>0.03</v>
      </c>
      <c r="C27" s="643"/>
      <c r="D27" s="645"/>
    </row>
    <row r="28" spans="1:4" ht="14.25">
      <c r="A28" s="63" t="s">
        <v>1499</v>
      </c>
      <c r="B28" s="423">
        <v>0.03</v>
      </c>
      <c r="C28" s="643"/>
      <c r="D28" s="645"/>
    </row>
    <row r="29" spans="1:4" ht="14.25">
      <c r="A29" s="63" t="s">
        <v>621</v>
      </c>
      <c r="B29" s="423">
        <v>0.02</v>
      </c>
      <c r="C29" s="643"/>
      <c r="D29" s="645"/>
    </row>
    <row r="30" spans="1:4" ht="14.25">
      <c r="A30" s="445" t="s">
        <v>1464</v>
      </c>
      <c r="B30" s="446">
        <v>0.04</v>
      </c>
      <c r="C30" s="643"/>
      <c r="D30" s="645"/>
    </row>
    <row r="31" spans="1:4" ht="15" thickBot="1">
      <c r="A31" s="69" t="s">
        <v>1465</v>
      </c>
      <c r="B31" s="424">
        <v>0.04</v>
      </c>
      <c r="C31" s="643"/>
      <c r="D31" s="645"/>
    </row>
    <row r="32" spans="1:4" ht="15" thickBot="1">
      <c r="A32" s="64" t="s">
        <v>622</v>
      </c>
      <c r="B32" s="439">
        <v>0.03</v>
      </c>
      <c r="C32" s="447"/>
      <c r="D32" s="645"/>
    </row>
    <row r="33" spans="1:4" ht="15" thickBot="1">
      <c r="A33" s="623" t="s">
        <v>618</v>
      </c>
      <c r="B33" s="624"/>
      <c r="C33" s="421">
        <v>0.04</v>
      </c>
      <c r="D33" s="645"/>
    </row>
    <row r="34" spans="1:4" ht="14.25">
      <c r="A34" s="625" t="s">
        <v>669</v>
      </c>
      <c r="B34" s="626"/>
      <c r="C34" s="627">
        <v>0.06</v>
      </c>
      <c r="D34" s="646"/>
    </row>
    <row r="35" spans="1:4" ht="14.25">
      <c r="A35" s="426" t="s">
        <v>1466</v>
      </c>
      <c r="B35" s="427">
        <v>0.04</v>
      </c>
      <c r="C35" s="628"/>
      <c r="D35" s="646"/>
    </row>
    <row r="36" spans="1:4" ht="15" thickBot="1">
      <c r="A36" s="65" t="s">
        <v>1468</v>
      </c>
      <c r="B36" s="425">
        <v>0.02</v>
      </c>
      <c r="C36" s="629"/>
      <c r="D36" s="646"/>
    </row>
    <row r="37" spans="1:4" ht="15" thickBot="1">
      <c r="A37" s="64" t="s">
        <v>670</v>
      </c>
      <c r="B37" s="621" t="s">
        <v>619</v>
      </c>
      <c r="C37" s="622"/>
      <c r="D37" s="647"/>
    </row>
  </sheetData>
  <sheetProtection/>
  <mergeCells count="26">
    <mergeCell ref="C1:D1"/>
    <mergeCell ref="C2:D2"/>
    <mergeCell ref="D4:D12"/>
    <mergeCell ref="A1:B1"/>
    <mergeCell ref="C15:C21"/>
    <mergeCell ref="C26:C31"/>
    <mergeCell ref="D25:D37"/>
    <mergeCell ref="A4:B4"/>
    <mergeCell ref="C4:C6"/>
    <mergeCell ref="A12:B12"/>
    <mergeCell ref="B37:C37"/>
    <mergeCell ref="A26:B26"/>
    <mergeCell ref="A33:B33"/>
    <mergeCell ref="A25:B25"/>
    <mergeCell ref="A34:B34"/>
    <mergeCell ref="C34:C36"/>
    <mergeCell ref="A2:B2"/>
    <mergeCell ref="A3:D3"/>
    <mergeCell ref="A14:D14"/>
    <mergeCell ref="A24:D24"/>
    <mergeCell ref="D15:D23"/>
    <mergeCell ref="C22:C23"/>
    <mergeCell ref="A13:C13"/>
    <mergeCell ref="A7:B7"/>
    <mergeCell ref="C7:C11"/>
    <mergeCell ref="A15:B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54"/>
  <sheetViews>
    <sheetView zoomScalePageLayoutView="0" workbookViewId="0" topLeftCell="A1">
      <selection activeCell="A35" sqref="A35:A36"/>
    </sheetView>
  </sheetViews>
  <sheetFormatPr defaultColWidth="9.140625" defaultRowHeight="15"/>
  <cols>
    <col min="1" max="1" width="53.140625" style="0" customWidth="1"/>
    <col min="2" max="2" width="25.7109375" style="4" customWidth="1"/>
    <col min="3" max="3" width="31.421875" style="0" customWidth="1"/>
  </cols>
  <sheetData>
    <row r="1" spans="1:3" s="330" customFormat="1" ht="21">
      <c r="A1" s="374" t="s">
        <v>34</v>
      </c>
      <c r="B1" s="375"/>
      <c r="C1" s="384"/>
    </row>
    <row r="2" spans="1:3" s="330" customFormat="1" ht="15" thickBot="1">
      <c r="A2" s="376" t="s">
        <v>38</v>
      </c>
      <c r="B2" s="346"/>
      <c r="C2" s="347"/>
    </row>
    <row r="3" spans="1:3" s="330" customFormat="1" ht="14.25">
      <c r="A3" s="652" t="s">
        <v>647</v>
      </c>
      <c r="B3" s="429" t="s">
        <v>1437</v>
      </c>
      <c r="C3" s="386" t="s">
        <v>36</v>
      </c>
    </row>
    <row r="4" spans="1:3" s="330" customFormat="1" ht="14.25">
      <c r="A4" s="653"/>
      <c r="B4" s="430" t="s">
        <v>1438</v>
      </c>
      <c r="C4" s="389" t="s">
        <v>36</v>
      </c>
    </row>
    <row r="5" spans="1:3" s="330" customFormat="1" ht="14.25">
      <c r="A5" s="653" t="s">
        <v>648</v>
      </c>
      <c r="B5" s="430" t="s">
        <v>1439</v>
      </c>
      <c r="C5" s="389" t="s">
        <v>36</v>
      </c>
    </row>
    <row r="6" spans="1:3" s="330" customFormat="1" ht="15" thickBot="1">
      <c r="A6" s="654"/>
      <c r="B6" s="431" t="s">
        <v>1440</v>
      </c>
      <c r="C6" s="392" t="s">
        <v>36</v>
      </c>
    </row>
    <row r="7" spans="1:3" s="330" customFormat="1" ht="15" thickBot="1">
      <c r="A7" s="376" t="s">
        <v>35</v>
      </c>
      <c r="B7" s="348"/>
      <c r="C7" s="347"/>
    </row>
    <row r="8" spans="1:3" s="330" customFormat="1" ht="14.25">
      <c r="A8" s="398" t="s">
        <v>37</v>
      </c>
      <c r="B8" s="380">
        <v>-60</v>
      </c>
      <c r="C8" s="381" t="s">
        <v>36</v>
      </c>
    </row>
    <row r="9" spans="1:3" s="330" customFormat="1" ht="14.25">
      <c r="A9" s="377" t="s">
        <v>46</v>
      </c>
      <c r="B9" s="385">
        <v>-12</v>
      </c>
      <c r="C9" s="343" t="s">
        <v>36</v>
      </c>
    </row>
    <row r="10" spans="1:3" s="330" customFormat="1" ht="14.25">
      <c r="A10" s="377" t="s">
        <v>47</v>
      </c>
      <c r="B10" s="385">
        <v>-25</v>
      </c>
      <c r="C10" s="343" t="s">
        <v>36</v>
      </c>
    </row>
    <row r="11" spans="1:3" s="330" customFormat="1" ht="14.25">
      <c r="A11" s="377" t="s">
        <v>48</v>
      </c>
      <c r="B11" s="385">
        <v>-35</v>
      </c>
      <c r="C11" s="343" t="s">
        <v>36</v>
      </c>
    </row>
    <row r="12" spans="1:3" s="330" customFormat="1" ht="14.25">
      <c r="A12" s="377" t="s">
        <v>49</v>
      </c>
      <c r="B12" s="385">
        <v>-25</v>
      </c>
      <c r="C12" s="343" t="s">
        <v>36</v>
      </c>
    </row>
    <row r="13" spans="1:3" s="330" customFormat="1" ht="15" thickBot="1">
      <c r="A13" s="404" t="s">
        <v>1441</v>
      </c>
      <c r="B13" s="401">
        <v>-40</v>
      </c>
      <c r="C13" s="402" t="s">
        <v>36</v>
      </c>
    </row>
    <row r="14" spans="1:3" s="330" customFormat="1" ht="15" thickBot="1">
      <c r="A14" s="376" t="s">
        <v>39</v>
      </c>
      <c r="B14" s="346"/>
      <c r="C14" s="347"/>
    </row>
    <row r="15" spans="1:3" s="330" customFormat="1" ht="14.25">
      <c r="A15" s="379" t="s">
        <v>50</v>
      </c>
      <c r="B15" s="380">
        <v>16000</v>
      </c>
      <c r="C15" s="381" t="s">
        <v>40</v>
      </c>
    </row>
    <row r="16" spans="1:3" s="330" customFormat="1" ht="14.25">
      <c r="A16" s="378" t="s">
        <v>51</v>
      </c>
      <c r="B16" s="385">
        <v>8000</v>
      </c>
      <c r="C16" s="343" t="s">
        <v>40</v>
      </c>
    </row>
    <row r="17" spans="1:3" s="330" customFormat="1" ht="14.25">
      <c r="A17" s="378" t="s">
        <v>52</v>
      </c>
      <c r="B17" s="385">
        <v>2700</v>
      </c>
      <c r="C17" s="343" t="s">
        <v>40</v>
      </c>
    </row>
    <row r="18" spans="1:3" s="330" customFormat="1" ht="14.25">
      <c r="A18" s="378" t="s">
        <v>53</v>
      </c>
      <c r="B18" s="385">
        <v>26000</v>
      </c>
      <c r="C18" s="343" t="s">
        <v>40</v>
      </c>
    </row>
    <row r="19" spans="1:3" s="330" customFormat="1" ht="15" thickBot="1">
      <c r="A19" s="403" t="s">
        <v>1471</v>
      </c>
      <c r="B19" s="401">
        <v>25000</v>
      </c>
      <c r="C19" s="405">
        <v>6250</v>
      </c>
    </row>
    <row r="20" spans="1:3" s="330" customFormat="1" ht="28.5">
      <c r="A20" s="378" t="s">
        <v>54</v>
      </c>
      <c r="B20" s="385">
        <v>810</v>
      </c>
      <c r="C20" s="343" t="s">
        <v>36</v>
      </c>
    </row>
    <row r="21" spans="1:3" s="330" customFormat="1" ht="14.25">
      <c r="A21" s="378" t="s">
        <v>678</v>
      </c>
      <c r="B21" s="385">
        <v>620</v>
      </c>
      <c r="C21" s="343" t="s">
        <v>36</v>
      </c>
    </row>
    <row r="22" spans="1:3" s="330" customFormat="1" ht="15" thickBot="1">
      <c r="A22" s="383" t="s">
        <v>1446</v>
      </c>
      <c r="B22" s="346"/>
      <c r="C22" s="347"/>
    </row>
    <row r="23" spans="1:3" s="330" customFormat="1" ht="28.5">
      <c r="A23" s="379" t="s">
        <v>1453</v>
      </c>
      <c r="B23" s="380">
        <v>1250</v>
      </c>
      <c r="C23" s="381" t="s">
        <v>36</v>
      </c>
    </row>
    <row r="24" spans="1:3" s="330" customFormat="1" ht="15" thickBot="1">
      <c r="A24" s="403" t="s">
        <v>1445</v>
      </c>
      <c r="B24" s="401">
        <v>1100</v>
      </c>
      <c r="C24" s="402" t="s">
        <v>1444</v>
      </c>
    </row>
    <row r="25" spans="1:3" s="330" customFormat="1" ht="15" thickBot="1">
      <c r="A25" s="383" t="s">
        <v>608</v>
      </c>
      <c r="B25" s="346"/>
      <c r="C25" s="347"/>
    </row>
    <row r="26" spans="1:3" s="330" customFormat="1" ht="23.25" customHeight="1" thickBot="1">
      <c r="A26" s="396" t="s">
        <v>663</v>
      </c>
      <c r="B26" s="395">
        <v>6250</v>
      </c>
      <c r="C26" s="397" t="s">
        <v>664</v>
      </c>
    </row>
    <row r="27" spans="1:3" s="330" customFormat="1" ht="15" thickBot="1">
      <c r="A27" s="376" t="s">
        <v>1447</v>
      </c>
      <c r="B27" s="346"/>
      <c r="C27" s="347"/>
    </row>
    <row r="28" spans="1:3" s="330" customFormat="1" ht="14.25">
      <c r="A28" s="651" t="s">
        <v>649</v>
      </c>
      <c r="B28" s="344">
        <v>3700</v>
      </c>
      <c r="C28" s="345" t="s">
        <v>650</v>
      </c>
    </row>
    <row r="29" spans="1:3" s="330" customFormat="1" ht="14.25">
      <c r="A29" s="650"/>
      <c r="B29" s="342">
        <v>4900</v>
      </c>
      <c r="C29" s="394" t="s">
        <v>651</v>
      </c>
    </row>
    <row r="30" spans="1:3" s="330" customFormat="1" ht="14.25">
      <c r="A30" s="393" t="s">
        <v>637</v>
      </c>
      <c r="B30" s="342">
        <v>1600</v>
      </c>
      <c r="C30" s="394" t="s">
        <v>652</v>
      </c>
    </row>
    <row r="31" spans="1:3" s="330" customFormat="1" ht="14.25">
      <c r="A31" s="393" t="s">
        <v>653</v>
      </c>
      <c r="B31" s="342">
        <v>4250</v>
      </c>
      <c r="C31" s="394" t="s">
        <v>650</v>
      </c>
    </row>
    <row r="32" spans="1:3" s="330" customFormat="1" ht="14.25">
      <c r="A32" s="393" t="s">
        <v>653</v>
      </c>
      <c r="B32" s="342">
        <v>6400</v>
      </c>
      <c r="C32" s="394" t="s">
        <v>651</v>
      </c>
    </row>
    <row r="33" spans="1:3" s="330" customFormat="1" ht="14.25">
      <c r="A33" s="650" t="s">
        <v>1442</v>
      </c>
      <c r="B33" s="342">
        <v>2700</v>
      </c>
      <c r="C33" s="394" t="s">
        <v>650</v>
      </c>
    </row>
    <row r="34" spans="1:3" s="330" customFormat="1" ht="14.25">
      <c r="A34" s="650"/>
      <c r="B34" s="342">
        <v>3200</v>
      </c>
      <c r="C34" s="394" t="s">
        <v>651</v>
      </c>
    </row>
    <row r="35" spans="1:3" s="330" customFormat="1" ht="14.25">
      <c r="A35" s="650" t="s">
        <v>1443</v>
      </c>
      <c r="B35" s="342">
        <v>3200</v>
      </c>
      <c r="C35" s="394" t="s">
        <v>650</v>
      </c>
    </row>
    <row r="36" spans="1:3" s="330" customFormat="1" ht="14.25">
      <c r="A36" s="650"/>
      <c r="B36" s="342">
        <v>4800</v>
      </c>
      <c r="C36" s="394" t="s">
        <v>651</v>
      </c>
    </row>
    <row r="37" spans="1:3" s="330" customFormat="1" ht="14.25">
      <c r="A37" s="393" t="s">
        <v>654</v>
      </c>
      <c r="B37" s="342">
        <v>1500</v>
      </c>
      <c r="C37" s="394" t="s">
        <v>660</v>
      </c>
    </row>
    <row r="38" spans="1:3" s="330" customFormat="1" ht="14.25">
      <c r="A38" s="393" t="s">
        <v>658</v>
      </c>
      <c r="B38" s="342">
        <v>3200</v>
      </c>
      <c r="C38" s="394" t="s">
        <v>650</v>
      </c>
    </row>
    <row r="39" spans="1:3" s="330" customFormat="1" ht="14.25">
      <c r="A39" s="393" t="s">
        <v>659</v>
      </c>
      <c r="B39" s="342">
        <v>5000</v>
      </c>
      <c r="C39" s="394" t="s">
        <v>651</v>
      </c>
    </row>
    <row r="40" spans="1:3" s="330" customFormat="1" ht="42.75">
      <c r="A40" s="387" t="s">
        <v>1428</v>
      </c>
      <c r="B40" s="388">
        <v>2500</v>
      </c>
      <c r="C40" s="389" t="s">
        <v>657</v>
      </c>
    </row>
    <row r="41" spans="1:3" s="330" customFormat="1" ht="15" thickBot="1">
      <c r="A41" s="390" t="s">
        <v>1429</v>
      </c>
      <c r="B41" s="391">
        <v>875</v>
      </c>
      <c r="C41" s="392" t="s">
        <v>656</v>
      </c>
    </row>
    <row r="42" spans="1:3" s="330" customFormat="1" ht="15" thickBot="1">
      <c r="A42" s="376" t="s">
        <v>1448</v>
      </c>
      <c r="B42" s="346"/>
      <c r="C42" s="347"/>
    </row>
    <row r="43" spans="1:3" s="330" customFormat="1" ht="28.5">
      <c r="A43" s="379" t="s">
        <v>55</v>
      </c>
      <c r="B43" s="380" t="s">
        <v>56</v>
      </c>
      <c r="C43" s="381"/>
    </row>
    <row r="44" spans="1:3" s="330" customFormat="1" ht="14.25">
      <c r="A44" s="378" t="s">
        <v>57</v>
      </c>
      <c r="B44" s="385" t="s">
        <v>56</v>
      </c>
      <c r="C44" s="343"/>
    </row>
    <row r="45" spans="1:3" s="330" customFormat="1" ht="14.25">
      <c r="A45" s="378" t="s">
        <v>58</v>
      </c>
      <c r="B45" s="385" t="s">
        <v>56</v>
      </c>
      <c r="C45" s="343"/>
    </row>
    <row r="46" spans="1:3" s="330" customFormat="1" ht="14.25">
      <c r="A46" s="378" t="s">
        <v>662</v>
      </c>
      <c r="B46" s="385" t="s">
        <v>56</v>
      </c>
      <c r="C46" s="343"/>
    </row>
    <row r="47" spans="1:3" s="330" customFormat="1" ht="15" thickBot="1">
      <c r="A47" s="403" t="s">
        <v>661</v>
      </c>
      <c r="B47" s="401" t="s">
        <v>56</v>
      </c>
      <c r="C47" s="402"/>
    </row>
    <row r="48" spans="1:3" s="330" customFormat="1" ht="15" thickBot="1">
      <c r="A48" s="376" t="s">
        <v>41</v>
      </c>
      <c r="B48" s="346"/>
      <c r="C48" s="347"/>
    </row>
    <row r="49" spans="1:3" s="330" customFormat="1" ht="14.25">
      <c r="A49" s="379" t="s">
        <v>42</v>
      </c>
      <c r="B49" s="380">
        <v>250</v>
      </c>
      <c r="C49" s="381" t="s">
        <v>36</v>
      </c>
    </row>
    <row r="50" spans="1:3" s="330" customFormat="1" ht="15" thickBot="1">
      <c r="A50" s="403" t="s">
        <v>43</v>
      </c>
      <c r="B50" s="401">
        <v>125000</v>
      </c>
      <c r="C50" s="402" t="s">
        <v>604</v>
      </c>
    </row>
    <row r="51" spans="1:3" s="330" customFormat="1" ht="15" thickBot="1">
      <c r="A51" s="376" t="s">
        <v>44</v>
      </c>
      <c r="B51" s="346"/>
      <c r="C51" s="347"/>
    </row>
    <row r="52" spans="1:3" s="330" customFormat="1" ht="14.25">
      <c r="A52" s="398" t="s">
        <v>45</v>
      </c>
      <c r="B52" s="380"/>
      <c r="C52" s="399"/>
    </row>
    <row r="53" spans="1:3" s="330" customFormat="1" ht="14.25">
      <c r="A53" s="382" t="s">
        <v>127</v>
      </c>
      <c r="B53" s="385">
        <v>5000</v>
      </c>
      <c r="C53" s="343" t="s">
        <v>40</v>
      </c>
    </row>
    <row r="54" spans="1:3" s="330" customFormat="1" ht="30" customHeight="1" thickBot="1">
      <c r="A54" s="400" t="s">
        <v>128</v>
      </c>
      <c r="B54" s="401">
        <v>2500</v>
      </c>
      <c r="C54" s="402" t="s">
        <v>40</v>
      </c>
    </row>
  </sheetData>
  <sheetProtection/>
  <mergeCells count="5">
    <mergeCell ref="A33:A34"/>
    <mergeCell ref="A35:A36"/>
    <mergeCell ref="A28:A29"/>
    <mergeCell ref="A3:A4"/>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16.421875" style="5" customWidth="1"/>
    <col min="2" max="2" width="75.7109375" style="5" customWidth="1"/>
    <col min="3" max="16384" width="9.140625" style="5" customWidth="1"/>
  </cols>
  <sheetData>
    <row r="1" spans="1:2" ht="18">
      <c r="A1" s="474" t="s">
        <v>62</v>
      </c>
      <c r="B1" s="474" t="s">
        <v>61</v>
      </c>
    </row>
    <row r="2" spans="1:2" ht="57">
      <c r="A2" s="475" t="s">
        <v>25</v>
      </c>
      <c r="B2" s="475" t="s">
        <v>676</v>
      </c>
    </row>
    <row r="3" spans="1:2" ht="18" customHeight="1">
      <c r="A3" s="475" t="s">
        <v>26</v>
      </c>
      <c r="B3" s="475" t="s">
        <v>677</v>
      </c>
    </row>
    <row r="4" spans="1:2" ht="18" customHeight="1">
      <c r="A4" s="475" t="s">
        <v>453</v>
      </c>
      <c r="B4" s="475" t="s">
        <v>1504</v>
      </c>
    </row>
    <row r="5" spans="1:2" ht="42.75">
      <c r="A5" s="475" t="s">
        <v>63</v>
      </c>
      <c r="B5" s="475" t="s">
        <v>123</v>
      </c>
    </row>
    <row r="6" spans="1:2" ht="42.75">
      <c r="A6" s="475" t="s">
        <v>66</v>
      </c>
      <c r="B6" s="475" t="s">
        <v>124</v>
      </c>
    </row>
    <row r="7" spans="1:2" ht="28.5">
      <c r="A7" s="475" t="s">
        <v>81</v>
      </c>
      <c r="B7" s="475" t="s">
        <v>125</v>
      </c>
    </row>
    <row r="8" spans="1:2" ht="14.25">
      <c r="A8" s="475" t="s">
        <v>93</v>
      </c>
      <c r="B8" s="475" t="s">
        <v>92</v>
      </c>
    </row>
    <row r="9" spans="1:2" ht="14.25">
      <c r="A9" s="475" t="s">
        <v>83</v>
      </c>
      <c r="B9" s="475" t="s">
        <v>82</v>
      </c>
    </row>
    <row r="10" spans="1:2" ht="14.25">
      <c r="A10" s="475" t="s">
        <v>60</v>
      </c>
      <c r="B10" s="475" t="s">
        <v>105</v>
      </c>
    </row>
    <row r="11" spans="1:2" ht="14.25">
      <c r="A11" s="475" t="s">
        <v>107</v>
      </c>
      <c r="B11" s="475" t="s">
        <v>106</v>
      </c>
    </row>
    <row r="12" spans="1:2" ht="14.25">
      <c r="A12" s="475" t="s">
        <v>78</v>
      </c>
      <c r="B12" s="475" t="s">
        <v>77</v>
      </c>
    </row>
    <row r="13" spans="1:2" ht="14.25">
      <c r="A13" s="475" t="s">
        <v>91</v>
      </c>
      <c r="B13" s="475" t="s">
        <v>90</v>
      </c>
    </row>
    <row r="14" spans="1:2" ht="28.5">
      <c r="A14" s="475" t="s">
        <v>80</v>
      </c>
      <c r="B14" s="475" t="s">
        <v>79</v>
      </c>
    </row>
    <row r="15" spans="1:2" ht="28.5">
      <c r="A15" s="475" t="s">
        <v>97</v>
      </c>
      <c r="B15" s="475" t="s">
        <v>96</v>
      </c>
    </row>
    <row r="16" spans="1:2" ht="14.25">
      <c r="A16" s="475" t="s">
        <v>122</v>
      </c>
      <c r="B16" s="475" t="s">
        <v>121</v>
      </c>
    </row>
    <row r="17" spans="1:2" ht="14.25">
      <c r="A17" s="475" t="s">
        <v>76</v>
      </c>
      <c r="B17" s="475" t="s">
        <v>75</v>
      </c>
    </row>
    <row r="18" spans="1:2" ht="14.25">
      <c r="A18" s="475" t="s">
        <v>98</v>
      </c>
      <c r="B18" s="475" t="s">
        <v>24</v>
      </c>
    </row>
    <row r="19" spans="1:2" ht="14.25">
      <c r="A19" s="475" t="s">
        <v>111</v>
      </c>
      <c r="B19" s="475" t="s">
        <v>111</v>
      </c>
    </row>
    <row r="20" spans="1:2" ht="14.25">
      <c r="A20" s="475" t="s">
        <v>95</v>
      </c>
      <c r="B20" s="475" t="s">
        <v>94</v>
      </c>
    </row>
    <row r="21" spans="1:2" ht="14.25">
      <c r="A21" s="475" t="s">
        <v>65</v>
      </c>
      <c r="B21" s="475" t="s">
        <v>64</v>
      </c>
    </row>
    <row r="22" spans="1:2" ht="14.25">
      <c r="A22" s="475" t="s">
        <v>116</v>
      </c>
      <c r="B22" s="475" t="s">
        <v>126</v>
      </c>
    </row>
    <row r="23" spans="1:2" ht="14.25">
      <c r="A23" s="475" t="s">
        <v>102</v>
      </c>
      <c r="B23" s="475" t="s">
        <v>101</v>
      </c>
    </row>
    <row r="24" spans="1:2" ht="14.25">
      <c r="A24" s="475" t="s">
        <v>87</v>
      </c>
      <c r="B24" s="475" t="s">
        <v>86</v>
      </c>
    </row>
    <row r="25" spans="1:2" ht="14.25">
      <c r="A25" s="475" t="s">
        <v>74</v>
      </c>
      <c r="B25" s="475" t="s">
        <v>73</v>
      </c>
    </row>
    <row r="26" spans="1:2" ht="14.25">
      <c r="A26" s="475" t="s">
        <v>70</v>
      </c>
      <c r="B26" s="475" t="s">
        <v>69</v>
      </c>
    </row>
    <row r="27" spans="1:2" ht="14.25">
      <c r="A27" s="475" t="s">
        <v>113</v>
      </c>
      <c r="B27" s="475" t="s">
        <v>112</v>
      </c>
    </row>
    <row r="28" spans="1:2" ht="14.25">
      <c r="A28" s="475" t="s">
        <v>110</v>
      </c>
      <c r="B28" s="475" t="s">
        <v>110</v>
      </c>
    </row>
    <row r="29" spans="1:2" ht="14.25">
      <c r="A29" s="475" t="s">
        <v>108</v>
      </c>
      <c r="B29" s="475" t="s">
        <v>59</v>
      </c>
    </row>
    <row r="30" spans="1:2" ht="14.25">
      <c r="A30" s="475" t="s">
        <v>104</v>
      </c>
      <c r="B30" s="475" t="s">
        <v>103</v>
      </c>
    </row>
    <row r="31" spans="1:2" ht="14.25">
      <c r="A31" s="475" t="s">
        <v>100</v>
      </c>
      <c r="B31" s="475" t="s">
        <v>99</v>
      </c>
    </row>
    <row r="32" spans="1:2" ht="14.25">
      <c r="A32" s="475" t="s">
        <v>85</v>
      </c>
      <c r="B32" s="475" t="s">
        <v>84</v>
      </c>
    </row>
    <row r="33" spans="1:2" ht="14.25">
      <c r="A33" s="475" t="s">
        <v>89</v>
      </c>
      <c r="B33" s="475" t="s">
        <v>88</v>
      </c>
    </row>
    <row r="34" spans="1:2" ht="14.25">
      <c r="A34" s="475" t="s">
        <v>115</v>
      </c>
      <c r="B34" s="475" t="s">
        <v>114</v>
      </c>
    </row>
    <row r="35" spans="1:2" ht="14.25">
      <c r="A35" s="475" t="s">
        <v>68</v>
      </c>
      <c r="B35" s="475" t="s">
        <v>67</v>
      </c>
    </row>
    <row r="36" spans="1:2" ht="14.25">
      <c r="A36" s="475" t="s">
        <v>109</v>
      </c>
      <c r="B36" s="475" t="s">
        <v>109</v>
      </c>
    </row>
    <row r="37" spans="1:2" ht="14.25">
      <c r="A37" s="475" t="s">
        <v>120</v>
      </c>
      <c r="B37" s="475" t="s">
        <v>119</v>
      </c>
    </row>
    <row r="38" spans="1:2" ht="14.25">
      <c r="A38" s="475" t="s">
        <v>118</v>
      </c>
      <c r="B38" s="475" t="s">
        <v>117</v>
      </c>
    </row>
    <row r="39" spans="1:2" ht="14.25">
      <c r="A39" s="475" t="s">
        <v>72</v>
      </c>
      <c r="B39" s="475" t="s">
        <v>71</v>
      </c>
    </row>
  </sheetData>
  <sheetProtection/>
  <printOptions/>
  <pageMargins left="0.3937007874015748" right="0.1968503937007874"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133"/>
  <sheetViews>
    <sheetView zoomScalePageLayoutView="0" workbookViewId="0" topLeftCell="A1">
      <selection activeCell="C5" sqref="C5"/>
    </sheetView>
  </sheetViews>
  <sheetFormatPr defaultColWidth="24.28125" defaultRowHeight="15"/>
  <cols>
    <col min="1" max="1" width="16.421875" style="0" customWidth="1"/>
    <col min="2" max="2" width="20.8515625" style="0" customWidth="1"/>
  </cols>
  <sheetData>
    <row r="1" spans="1:2" ht="15" thickBot="1">
      <c r="A1" s="340" t="s">
        <v>33</v>
      </c>
      <c r="B1" s="341" t="s">
        <v>601</v>
      </c>
    </row>
    <row r="2" spans="1:2" ht="14.25">
      <c r="A2" s="338">
        <v>0</v>
      </c>
      <c r="B2" s="339">
        <v>0</v>
      </c>
    </row>
    <row r="3" spans="1:2" ht="14.25">
      <c r="A3" s="12">
        <v>30</v>
      </c>
      <c r="B3" s="11">
        <v>2115</v>
      </c>
    </row>
    <row r="4" spans="1:2" ht="14.25">
      <c r="A4" s="12">
        <v>31</v>
      </c>
      <c r="B4" s="11">
        <v>2103</v>
      </c>
    </row>
    <row r="5" spans="1:2" ht="14.25">
      <c r="A5" s="12">
        <v>32</v>
      </c>
      <c r="B5" s="11">
        <v>2089</v>
      </c>
    </row>
    <row r="6" spans="1:2" ht="14.25">
      <c r="A6" s="12">
        <v>33</v>
      </c>
      <c r="B6" s="11">
        <v>2075</v>
      </c>
    </row>
    <row r="7" spans="1:2" ht="14.25">
      <c r="A7" s="12">
        <v>34</v>
      </c>
      <c r="B7" s="11">
        <v>2062</v>
      </c>
    </row>
    <row r="8" spans="1:2" ht="14.25">
      <c r="A8" s="12">
        <v>35</v>
      </c>
      <c r="B8" s="11">
        <v>2051</v>
      </c>
    </row>
    <row r="9" spans="1:2" ht="14.25">
      <c r="A9" s="12">
        <v>36</v>
      </c>
      <c r="B9" s="11">
        <v>2037</v>
      </c>
    </row>
    <row r="10" spans="1:2" ht="14.25">
      <c r="A10" s="12">
        <v>37</v>
      </c>
      <c r="B10" s="11">
        <v>2025</v>
      </c>
    </row>
    <row r="11" spans="1:2" ht="14.25">
      <c r="A11" s="12">
        <v>38</v>
      </c>
      <c r="B11" s="11">
        <v>2011</v>
      </c>
    </row>
    <row r="12" spans="1:2" ht="14.25">
      <c r="A12" s="12">
        <v>39</v>
      </c>
      <c r="B12" s="11">
        <v>2000</v>
      </c>
    </row>
    <row r="13" spans="1:2" ht="14.25">
      <c r="A13" s="12">
        <v>40</v>
      </c>
      <c r="B13" s="11">
        <v>1986</v>
      </c>
    </row>
    <row r="14" spans="1:2" ht="14.25">
      <c r="A14" s="12">
        <v>41</v>
      </c>
      <c r="B14" s="11">
        <v>1975</v>
      </c>
    </row>
    <row r="15" spans="1:2" ht="14.25">
      <c r="A15" s="12">
        <v>42</v>
      </c>
      <c r="B15" s="11">
        <v>1961</v>
      </c>
    </row>
    <row r="16" spans="1:2" ht="14.25">
      <c r="A16" s="12">
        <v>43</v>
      </c>
      <c r="B16" s="11">
        <v>1950</v>
      </c>
    </row>
    <row r="17" spans="1:2" ht="14.25">
      <c r="A17" s="12">
        <v>44</v>
      </c>
      <c r="B17" s="11">
        <v>1938</v>
      </c>
    </row>
    <row r="18" spans="1:2" ht="14.25">
      <c r="A18" s="12">
        <v>45</v>
      </c>
      <c r="B18" s="11">
        <v>1926</v>
      </c>
    </row>
    <row r="19" spans="1:2" ht="14.25">
      <c r="A19" s="12">
        <v>46</v>
      </c>
      <c r="B19" s="11">
        <v>1913</v>
      </c>
    </row>
    <row r="20" spans="1:2" ht="14.25">
      <c r="A20" s="12">
        <v>47</v>
      </c>
      <c r="B20" s="11">
        <v>1901</v>
      </c>
    </row>
    <row r="21" spans="1:2" ht="14.25">
      <c r="A21" s="12">
        <v>48</v>
      </c>
      <c r="B21" s="11">
        <v>1890</v>
      </c>
    </row>
    <row r="22" spans="1:2" ht="14.25">
      <c r="A22" s="12">
        <v>49</v>
      </c>
      <c r="B22" s="11">
        <v>1879</v>
      </c>
    </row>
    <row r="23" spans="1:2" ht="14.25">
      <c r="A23" s="12">
        <v>50</v>
      </c>
      <c r="B23" s="11">
        <v>1867</v>
      </c>
    </row>
    <row r="24" spans="1:2" ht="14.25">
      <c r="A24" s="12">
        <v>51</v>
      </c>
      <c r="B24" s="11">
        <v>1855</v>
      </c>
    </row>
    <row r="25" spans="1:2" ht="14.25">
      <c r="A25" s="12">
        <v>52</v>
      </c>
      <c r="B25" s="11">
        <v>1844</v>
      </c>
    </row>
    <row r="26" spans="1:2" ht="14.25">
      <c r="A26" s="12">
        <v>53</v>
      </c>
      <c r="B26" s="11">
        <v>1833</v>
      </c>
    </row>
    <row r="27" spans="1:2" ht="14.25">
      <c r="A27" s="12">
        <v>54</v>
      </c>
      <c r="B27" s="11">
        <v>1822</v>
      </c>
    </row>
    <row r="28" spans="1:2" ht="14.25">
      <c r="A28" s="12">
        <v>55</v>
      </c>
      <c r="B28" s="11">
        <v>1812</v>
      </c>
    </row>
    <row r="29" spans="1:2" ht="14.25">
      <c r="A29" s="12">
        <v>56</v>
      </c>
      <c r="B29" s="11">
        <v>1800</v>
      </c>
    </row>
    <row r="30" spans="1:2" ht="14.25">
      <c r="A30" s="12">
        <v>57</v>
      </c>
      <c r="B30" s="11">
        <v>1790</v>
      </c>
    </row>
    <row r="31" spans="1:2" ht="14.25">
      <c r="A31" s="12">
        <v>58</v>
      </c>
      <c r="B31" s="11">
        <v>1778</v>
      </c>
    </row>
    <row r="32" spans="1:2" ht="14.25">
      <c r="A32" s="12">
        <v>59</v>
      </c>
      <c r="B32" s="11">
        <v>1769</v>
      </c>
    </row>
    <row r="33" spans="1:2" ht="14.25">
      <c r="A33" s="12">
        <v>60</v>
      </c>
      <c r="B33" s="11">
        <v>1757</v>
      </c>
    </row>
    <row r="34" spans="1:2" ht="14.25">
      <c r="A34" s="12">
        <v>61</v>
      </c>
      <c r="B34" s="11">
        <v>1747</v>
      </c>
    </row>
    <row r="35" spans="1:2" ht="14.25">
      <c r="A35" s="12">
        <v>62</v>
      </c>
      <c r="B35" s="11">
        <v>1736</v>
      </c>
    </row>
    <row r="36" spans="1:2" ht="14.25">
      <c r="A36" s="12">
        <v>63</v>
      </c>
      <c r="B36" s="11">
        <v>1727</v>
      </c>
    </row>
    <row r="37" spans="1:2" ht="14.25">
      <c r="A37" s="12">
        <v>64</v>
      </c>
      <c r="B37" s="11">
        <v>1716</v>
      </c>
    </row>
    <row r="38" spans="1:2" ht="14.25">
      <c r="A38" s="12">
        <v>65</v>
      </c>
      <c r="B38" s="11">
        <v>1708</v>
      </c>
    </row>
    <row r="39" spans="1:2" ht="14.25">
      <c r="A39" s="12">
        <v>66</v>
      </c>
      <c r="B39" s="11">
        <v>1696</v>
      </c>
    </row>
    <row r="40" spans="1:2" ht="14.25">
      <c r="A40" s="12">
        <v>67</v>
      </c>
      <c r="B40" s="11">
        <v>1688</v>
      </c>
    </row>
    <row r="41" spans="1:2" ht="14.25">
      <c r="A41" s="12">
        <v>68</v>
      </c>
      <c r="B41" s="11">
        <v>1677</v>
      </c>
    </row>
    <row r="42" spans="1:2" ht="14.25">
      <c r="A42" s="12">
        <v>69</v>
      </c>
      <c r="B42" s="11">
        <v>1668</v>
      </c>
    </row>
    <row r="43" spans="1:2" ht="14.25">
      <c r="A43" s="12">
        <v>70</v>
      </c>
      <c r="B43" s="11">
        <v>1658</v>
      </c>
    </row>
    <row r="44" spans="1:2" ht="14.25">
      <c r="A44" s="12">
        <v>71</v>
      </c>
      <c r="B44" s="11">
        <v>1649</v>
      </c>
    </row>
    <row r="45" spans="1:2" ht="14.25">
      <c r="A45" s="12">
        <v>72</v>
      </c>
      <c r="B45" s="11">
        <v>1639</v>
      </c>
    </row>
    <row r="46" spans="1:2" ht="14.25">
      <c r="A46" s="12">
        <v>73</v>
      </c>
      <c r="B46" s="11">
        <v>1631</v>
      </c>
    </row>
    <row r="47" spans="1:2" ht="14.25">
      <c r="A47" s="12">
        <v>74</v>
      </c>
      <c r="B47" s="11">
        <v>1621</v>
      </c>
    </row>
    <row r="48" spans="1:2" ht="14.25">
      <c r="A48" s="12">
        <v>75</v>
      </c>
      <c r="B48" s="11">
        <v>1613</v>
      </c>
    </row>
    <row r="49" spans="1:2" ht="14.25">
      <c r="A49" s="12">
        <v>76</v>
      </c>
      <c r="B49" s="11">
        <v>1603</v>
      </c>
    </row>
    <row r="50" spans="1:2" ht="14.25">
      <c r="A50" s="12">
        <v>77</v>
      </c>
      <c r="B50" s="11">
        <v>1595</v>
      </c>
    </row>
    <row r="51" spans="1:2" ht="14.25">
      <c r="A51" s="12">
        <v>78</v>
      </c>
      <c r="B51" s="11">
        <v>1586</v>
      </c>
    </row>
    <row r="52" spans="1:2" ht="14.25">
      <c r="A52" s="12">
        <v>79</v>
      </c>
      <c r="B52" s="11">
        <v>1577</v>
      </c>
    </row>
    <row r="53" spans="1:2" ht="14.25">
      <c r="A53" s="12">
        <v>80</v>
      </c>
      <c r="B53" s="11">
        <v>1568</v>
      </c>
    </row>
    <row r="54" spans="1:2" ht="14.25">
      <c r="A54" s="12">
        <v>81</v>
      </c>
      <c r="B54" s="11">
        <v>1561</v>
      </c>
    </row>
    <row r="55" spans="1:2" ht="14.25">
      <c r="A55" s="12">
        <v>82</v>
      </c>
      <c r="B55" s="11">
        <v>1552</v>
      </c>
    </row>
    <row r="56" spans="1:2" ht="14.25">
      <c r="A56" s="12">
        <v>83</v>
      </c>
      <c r="B56" s="11">
        <v>1544</v>
      </c>
    </row>
    <row r="57" spans="1:2" ht="14.25">
      <c r="A57" s="12">
        <v>84</v>
      </c>
      <c r="B57" s="11">
        <v>1535</v>
      </c>
    </row>
    <row r="58" spans="1:2" ht="14.25">
      <c r="A58" s="12">
        <v>85</v>
      </c>
      <c r="B58" s="11">
        <v>1529</v>
      </c>
    </row>
    <row r="59" spans="1:2" ht="14.25">
      <c r="A59" s="12">
        <v>86</v>
      </c>
      <c r="B59" s="11">
        <v>1520</v>
      </c>
    </row>
    <row r="60" spans="1:2" ht="14.25">
      <c r="A60" s="12">
        <v>87</v>
      </c>
      <c r="B60" s="11">
        <v>1512</v>
      </c>
    </row>
    <row r="61" spans="1:2" ht="14.25">
      <c r="A61" s="12">
        <v>88</v>
      </c>
      <c r="B61" s="11">
        <v>1504</v>
      </c>
    </row>
    <row r="62" spans="1:2" ht="14.25">
      <c r="A62" s="12">
        <v>89</v>
      </c>
      <c r="B62" s="11">
        <v>1498</v>
      </c>
    </row>
    <row r="63" spans="1:2" ht="14.25">
      <c r="A63" s="12">
        <v>90</v>
      </c>
      <c r="B63" s="11">
        <v>1489</v>
      </c>
    </row>
    <row r="64" spans="1:2" ht="14.25">
      <c r="A64" s="12">
        <v>91</v>
      </c>
      <c r="B64" s="11">
        <v>1483</v>
      </c>
    </row>
    <row r="65" spans="1:2" ht="14.25">
      <c r="A65" s="12">
        <v>92</v>
      </c>
      <c r="B65" s="11">
        <v>1474</v>
      </c>
    </row>
    <row r="66" spans="1:2" ht="14.25">
      <c r="A66" s="12">
        <v>93</v>
      </c>
      <c r="B66" s="11">
        <v>1468</v>
      </c>
    </row>
    <row r="67" spans="1:2" ht="14.25">
      <c r="A67" s="12">
        <v>94</v>
      </c>
      <c r="B67" s="11">
        <v>1460</v>
      </c>
    </row>
    <row r="68" spans="1:2" ht="14.25">
      <c r="A68" s="12">
        <v>95</v>
      </c>
      <c r="B68" s="11">
        <v>1454</v>
      </c>
    </row>
    <row r="69" spans="1:2" ht="14.25">
      <c r="A69" s="12">
        <v>96</v>
      </c>
      <c r="B69" s="11">
        <v>1445</v>
      </c>
    </row>
    <row r="70" spans="1:2" ht="14.25">
      <c r="A70" s="12">
        <v>97</v>
      </c>
      <c r="B70" s="11">
        <v>1439</v>
      </c>
    </row>
    <row r="71" spans="1:2" ht="14.25">
      <c r="A71" s="12">
        <v>98</v>
      </c>
      <c r="B71" s="11">
        <v>1433</v>
      </c>
    </row>
    <row r="72" spans="1:2" ht="14.25">
      <c r="A72" s="12">
        <v>99</v>
      </c>
      <c r="B72" s="11">
        <v>1427</v>
      </c>
    </row>
    <row r="73" spans="1:2" ht="14.25">
      <c r="A73" s="12">
        <v>100</v>
      </c>
      <c r="B73" s="11">
        <v>1419</v>
      </c>
    </row>
    <row r="74" spans="1:2" ht="14.25">
      <c r="A74" s="12">
        <v>101</v>
      </c>
      <c r="B74" s="11">
        <v>1413</v>
      </c>
    </row>
    <row r="75" spans="1:2" ht="14.25">
      <c r="A75" s="12">
        <v>102</v>
      </c>
      <c r="B75" s="11">
        <v>1407</v>
      </c>
    </row>
    <row r="76" spans="1:2" ht="14.25">
      <c r="A76" s="12">
        <v>103</v>
      </c>
      <c r="B76" s="11">
        <v>1401</v>
      </c>
    </row>
    <row r="77" spans="1:2" ht="14.25">
      <c r="A77" s="12">
        <v>104</v>
      </c>
      <c r="B77" s="11">
        <v>1394</v>
      </c>
    </row>
    <row r="78" spans="1:2" ht="14.25">
      <c r="A78" s="12">
        <v>105</v>
      </c>
      <c r="B78" s="11">
        <v>1389</v>
      </c>
    </row>
    <row r="79" spans="1:2" ht="14.25">
      <c r="A79" s="12">
        <v>106</v>
      </c>
      <c r="B79" s="11">
        <v>1382</v>
      </c>
    </row>
    <row r="80" spans="1:2" ht="14.25">
      <c r="A80" s="12">
        <v>107</v>
      </c>
      <c r="B80" s="11">
        <v>1377</v>
      </c>
    </row>
    <row r="81" spans="1:2" ht="14.25">
      <c r="A81" s="12">
        <v>108</v>
      </c>
      <c r="B81" s="11">
        <v>1371</v>
      </c>
    </row>
    <row r="82" spans="1:2" ht="14.25">
      <c r="A82" s="12">
        <v>109</v>
      </c>
      <c r="B82" s="11">
        <v>1366</v>
      </c>
    </row>
    <row r="83" spans="1:2" ht="14.25">
      <c r="A83" s="12">
        <v>110</v>
      </c>
      <c r="B83" s="11">
        <v>1360</v>
      </c>
    </row>
    <row r="84" spans="1:2" ht="14.25">
      <c r="A84" s="12">
        <v>111</v>
      </c>
      <c r="B84" s="11">
        <v>1355</v>
      </c>
    </row>
    <row r="85" spans="1:2" ht="14.25">
      <c r="A85" s="12">
        <v>112</v>
      </c>
      <c r="B85" s="11">
        <v>1348</v>
      </c>
    </row>
    <row r="86" spans="1:2" ht="14.25">
      <c r="A86" s="12">
        <v>113</v>
      </c>
      <c r="B86" s="11">
        <v>1345</v>
      </c>
    </row>
    <row r="87" spans="1:2" ht="14.25">
      <c r="A87" s="12">
        <v>114</v>
      </c>
      <c r="B87" s="11">
        <v>1338</v>
      </c>
    </row>
    <row r="88" spans="1:2" ht="14.25">
      <c r="A88" s="12">
        <v>115</v>
      </c>
      <c r="B88" s="11">
        <v>1335</v>
      </c>
    </row>
    <row r="89" spans="1:2" ht="14.25">
      <c r="A89" s="12">
        <v>116</v>
      </c>
      <c r="B89" s="11">
        <v>1329</v>
      </c>
    </row>
    <row r="90" spans="1:2" ht="14.25">
      <c r="A90" s="12">
        <v>117</v>
      </c>
      <c r="B90" s="11">
        <v>1325</v>
      </c>
    </row>
    <row r="91" spans="1:2" ht="14.25">
      <c r="A91" s="12">
        <v>118</v>
      </c>
      <c r="B91" s="11">
        <v>1319</v>
      </c>
    </row>
    <row r="92" spans="1:2" ht="14.25">
      <c r="A92" s="12">
        <v>119</v>
      </c>
      <c r="B92" s="11">
        <v>1315</v>
      </c>
    </row>
    <row r="93" spans="1:2" ht="14.25">
      <c r="A93" s="12">
        <v>120</v>
      </c>
      <c r="B93" s="11">
        <v>1310</v>
      </c>
    </row>
    <row r="94" spans="1:2" ht="14.25">
      <c r="A94" s="12">
        <v>121</v>
      </c>
      <c r="B94" s="11">
        <v>1306</v>
      </c>
    </row>
    <row r="95" spans="1:2" ht="14.25">
      <c r="A95" s="12">
        <v>122</v>
      </c>
      <c r="B95" s="11">
        <v>1301</v>
      </c>
    </row>
    <row r="96" spans="1:2" ht="14.25">
      <c r="A96" s="12">
        <v>123</v>
      </c>
      <c r="B96" s="11">
        <v>1297</v>
      </c>
    </row>
    <row r="97" spans="1:2" ht="14.25">
      <c r="A97" s="12">
        <v>124</v>
      </c>
      <c r="B97" s="11">
        <v>1293</v>
      </c>
    </row>
    <row r="98" spans="1:2" ht="14.25">
      <c r="A98" s="12">
        <v>125</v>
      </c>
      <c r="B98" s="11">
        <v>1290</v>
      </c>
    </row>
    <row r="99" spans="1:2" ht="14.25">
      <c r="A99" s="12">
        <v>126</v>
      </c>
      <c r="B99" s="11">
        <v>1285</v>
      </c>
    </row>
    <row r="100" spans="1:2" ht="14.25">
      <c r="A100" s="12">
        <v>127</v>
      </c>
      <c r="B100" s="11">
        <v>1281</v>
      </c>
    </row>
    <row r="101" spans="1:2" ht="14.25">
      <c r="A101" s="12">
        <v>128</v>
      </c>
      <c r="B101" s="11">
        <v>1278</v>
      </c>
    </row>
    <row r="102" spans="1:2" ht="14.25">
      <c r="A102" s="12">
        <v>129</v>
      </c>
      <c r="B102" s="11">
        <v>1274</v>
      </c>
    </row>
    <row r="103" spans="1:2" ht="14.25">
      <c r="A103" s="12">
        <v>130</v>
      </c>
      <c r="B103" s="11">
        <v>1270</v>
      </c>
    </row>
    <row r="104" spans="1:2" ht="14.25">
      <c r="A104" s="12">
        <v>131</v>
      </c>
      <c r="B104" s="11">
        <v>1268</v>
      </c>
    </row>
    <row r="105" spans="1:2" ht="14.25">
      <c r="A105" s="12">
        <v>132</v>
      </c>
      <c r="B105" s="11">
        <v>1264</v>
      </c>
    </row>
    <row r="106" spans="1:2" ht="14.25">
      <c r="A106" s="12">
        <v>133</v>
      </c>
      <c r="B106" s="11">
        <v>1260</v>
      </c>
    </row>
    <row r="107" spans="1:2" ht="14.25">
      <c r="A107" s="12">
        <v>134</v>
      </c>
      <c r="B107" s="11">
        <v>1256</v>
      </c>
    </row>
    <row r="108" spans="1:2" ht="14.25">
      <c r="A108" s="12">
        <v>135</v>
      </c>
      <c r="B108" s="11">
        <v>1255</v>
      </c>
    </row>
    <row r="109" spans="1:2" ht="14.25">
      <c r="A109" s="12">
        <v>136</v>
      </c>
      <c r="B109" s="11">
        <v>1251</v>
      </c>
    </row>
    <row r="110" spans="1:2" ht="14.25">
      <c r="A110" s="12">
        <v>137</v>
      </c>
      <c r="B110" s="11">
        <v>1249</v>
      </c>
    </row>
    <row r="111" spans="1:2" ht="14.25">
      <c r="A111" s="12">
        <v>138</v>
      </c>
      <c r="B111" s="11">
        <v>1245</v>
      </c>
    </row>
    <row r="112" spans="1:2" ht="14.25">
      <c r="A112" s="12">
        <v>139</v>
      </c>
      <c r="B112" s="11">
        <v>1244</v>
      </c>
    </row>
    <row r="113" spans="1:2" ht="14.25">
      <c r="A113" s="12">
        <v>140</v>
      </c>
      <c r="B113" s="11">
        <v>1240</v>
      </c>
    </row>
    <row r="114" spans="1:2" ht="14.25">
      <c r="A114" s="12">
        <v>141</v>
      </c>
      <c r="B114" s="11">
        <v>1239</v>
      </c>
    </row>
    <row r="115" spans="1:2" ht="14.25">
      <c r="A115" s="12">
        <v>142</v>
      </c>
      <c r="B115" s="11">
        <v>1235</v>
      </c>
    </row>
    <row r="116" spans="1:2" ht="14.25">
      <c r="A116" s="12">
        <v>143</v>
      </c>
      <c r="B116" s="11">
        <v>1234</v>
      </c>
    </row>
    <row r="117" spans="1:2" ht="14.25">
      <c r="A117" s="12">
        <v>144</v>
      </c>
      <c r="B117" s="11">
        <v>1232</v>
      </c>
    </row>
    <row r="118" spans="1:2" ht="14.25">
      <c r="A118" s="12">
        <v>145</v>
      </c>
      <c r="B118" s="11">
        <v>1230</v>
      </c>
    </row>
    <row r="119" spans="1:2" ht="14.25">
      <c r="A119" s="12">
        <v>146</v>
      </c>
      <c r="B119" s="11">
        <v>1227</v>
      </c>
    </row>
    <row r="120" spans="1:2" ht="14.25">
      <c r="A120" s="12">
        <v>147</v>
      </c>
      <c r="B120" s="11">
        <v>1225</v>
      </c>
    </row>
    <row r="121" spans="1:2" ht="14.25">
      <c r="A121" s="12">
        <v>148</v>
      </c>
      <c r="B121" s="11">
        <v>1224</v>
      </c>
    </row>
    <row r="122" spans="1:2" ht="14.25">
      <c r="A122" s="12">
        <v>149</v>
      </c>
      <c r="B122" s="11">
        <v>1223</v>
      </c>
    </row>
    <row r="123" spans="1:2" ht="14.25">
      <c r="A123" s="12">
        <v>150</v>
      </c>
      <c r="B123" s="11">
        <v>1220</v>
      </c>
    </row>
    <row r="124" spans="1:2" ht="14.25">
      <c r="A124" s="12">
        <f>A123+1</f>
        <v>151</v>
      </c>
      <c r="B124" s="11">
        <v>1220</v>
      </c>
    </row>
    <row r="125" spans="1:2" ht="14.25">
      <c r="A125" s="12">
        <f aca="true" t="shared" si="0" ref="A125:A133">A124+1</f>
        <v>152</v>
      </c>
      <c r="B125" s="11">
        <v>1220</v>
      </c>
    </row>
    <row r="126" spans="1:2" ht="14.25">
      <c r="A126" s="12">
        <f t="shared" si="0"/>
        <v>153</v>
      </c>
      <c r="B126" s="11">
        <v>1220</v>
      </c>
    </row>
    <row r="127" spans="1:2" ht="14.25">
      <c r="A127" s="12">
        <f t="shared" si="0"/>
        <v>154</v>
      </c>
      <c r="B127" s="11">
        <v>1220</v>
      </c>
    </row>
    <row r="128" spans="1:2" ht="14.25">
      <c r="A128" s="12">
        <f t="shared" si="0"/>
        <v>155</v>
      </c>
      <c r="B128" s="11">
        <v>1220</v>
      </c>
    </row>
    <row r="129" spans="1:2" ht="14.25">
      <c r="A129" s="12">
        <f t="shared" si="0"/>
        <v>156</v>
      </c>
      <c r="B129" s="11">
        <v>1220</v>
      </c>
    </row>
    <row r="130" spans="1:2" ht="14.25">
      <c r="A130" s="12">
        <f t="shared" si="0"/>
        <v>157</v>
      </c>
      <c r="B130" s="11">
        <v>1220</v>
      </c>
    </row>
    <row r="131" spans="1:2" ht="14.25">
      <c r="A131" s="12">
        <f t="shared" si="0"/>
        <v>158</v>
      </c>
      <c r="B131" s="11">
        <v>1220</v>
      </c>
    </row>
    <row r="132" spans="1:2" ht="14.25">
      <c r="A132" s="12">
        <f t="shared" si="0"/>
        <v>159</v>
      </c>
      <c r="B132" s="11">
        <v>1220</v>
      </c>
    </row>
    <row r="133" spans="1:2" ht="15" thickBot="1">
      <c r="A133" s="372">
        <f t="shared" si="0"/>
        <v>160</v>
      </c>
      <c r="B133" s="373">
        <v>1220</v>
      </c>
    </row>
  </sheetData>
  <sheetProtection/>
  <printOptions horizontalCentered="1"/>
  <pageMargins left="0.15748031496062992" right="0.15748031496062992" top="0.4724409448818898" bottom="0.2362204724409449" header="0.1968503937007874" footer="0.31496062992125984"/>
  <pageSetup fitToHeight="1" fitToWidth="1"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dimension ref="A1:N99"/>
  <sheetViews>
    <sheetView zoomScalePageLayoutView="0" workbookViewId="0" topLeftCell="A1">
      <selection activeCell="A2" sqref="A2"/>
    </sheetView>
  </sheetViews>
  <sheetFormatPr defaultColWidth="9.140625" defaultRowHeight="15" customHeight="1"/>
  <cols>
    <col min="1" max="1" width="10.57421875" style="335" bestFit="1" customWidth="1"/>
    <col min="2" max="2" width="44.7109375" style="330" bestFit="1" customWidth="1"/>
    <col min="3" max="3" width="8.7109375" style="336" bestFit="1" customWidth="1"/>
    <col min="4" max="4" width="15.7109375" style="336" bestFit="1" customWidth="1"/>
    <col min="5" max="5" width="9.7109375" style="336" bestFit="1" customWidth="1"/>
    <col min="6" max="6" width="20.8515625" style="330" bestFit="1" customWidth="1"/>
    <col min="7" max="7" width="27.8515625" style="330" bestFit="1" customWidth="1"/>
    <col min="8" max="8" width="7.00390625" style="330" bestFit="1" customWidth="1"/>
    <col min="9" max="9" width="6.421875" style="330" bestFit="1" customWidth="1"/>
    <col min="10" max="10" width="28.7109375" style="330" bestFit="1" customWidth="1"/>
    <col min="11" max="11" width="13.28125" style="336" bestFit="1" customWidth="1"/>
    <col min="12" max="12" width="20.00390625" style="336" bestFit="1" customWidth="1"/>
    <col min="13" max="13" width="42.00390625" style="330" bestFit="1" customWidth="1"/>
    <col min="14" max="14" width="9.7109375" style="330" bestFit="1" customWidth="1"/>
    <col min="15" max="16384" width="8.8515625" style="330" customWidth="1"/>
  </cols>
  <sheetData>
    <row r="1" spans="1:14" ht="15" customHeight="1">
      <c r="A1" s="328" t="s">
        <v>30</v>
      </c>
      <c r="B1" s="329" t="s">
        <v>31</v>
      </c>
      <c r="C1" s="328" t="s">
        <v>694</v>
      </c>
      <c r="D1" s="329" t="s">
        <v>132</v>
      </c>
      <c r="E1" s="328" t="s">
        <v>695</v>
      </c>
      <c r="F1" s="329" t="s">
        <v>134</v>
      </c>
      <c r="G1" s="329" t="s">
        <v>696</v>
      </c>
      <c r="H1" s="328" t="s">
        <v>697</v>
      </c>
      <c r="I1" s="328" t="s">
        <v>698</v>
      </c>
      <c r="J1" s="329" t="s">
        <v>699</v>
      </c>
      <c r="K1" s="329" t="s">
        <v>700</v>
      </c>
      <c r="L1" s="329" t="s">
        <v>701</v>
      </c>
      <c r="M1" s="329" t="s">
        <v>702</v>
      </c>
      <c r="N1" s="329" t="s">
        <v>703</v>
      </c>
    </row>
    <row r="2" spans="1:14" ht="15" customHeight="1">
      <c r="A2" s="331">
        <v>1000</v>
      </c>
      <c r="B2" s="332" t="s">
        <v>32</v>
      </c>
      <c r="C2" s="334"/>
      <c r="D2" s="333"/>
      <c r="E2" s="334"/>
      <c r="F2" s="333"/>
      <c r="G2" s="333"/>
      <c r="H2" s="334"/>
      <c r="I2" s="334"/>
      <c r="J2" s="333"/>
      <c r="K2" s="333"/>
      <c r="L2" s="333"/>
      <c r="M2" s="333"/>
      <c r="N2" s="333"/>
    </row>
    <row r="3" spans="1:14" ht="15" customHeight="1">
      <c r="A3" s="331">
        <v>1010</v>
      </c>
      <c r="B3" s="332" t="s">
        <v>471</v>
      </c>
      <c r="C3" s="331" t="s">
        <v>704</v>
      </c>
      <c r="D3" s="332" t="s">
        <v>146</v>
      </c>
      <c r="E3" s="331" t="s">
        <v>705</v>
      </c>
      <c r="F3" s="332" t="s">
        <v>146</v>
      </c>
      <c r="G3" s="332" t="s">
        <v>706</v>
      </c>
      <c r="H3" s="331" t="s">
        <v>707</v>
      </c>
      <c r="I3" s="331"/>
      <c r="J3" s="332" t="s">
        <v>708</v>
      </c>
      <c r="K3" s="332" t="s">
        <v>709</v>
      </c>
      <c r="L3" s="332" t="s">
        <v>710</v>
      </c>
      <c r="M3" s="332" t="s">
        <v>711</v>
      </c>
      <c r="N3" s="332" t="s">
        <v>712</v>
      </c>
    </row>
    <row r="4" spans="1:14" ht="15" customHeight="1">
      <c r="A4" s="331">
        <v>1065</v>
      </c>
      <c r="B4" s="332" t="s">
        <v>472</v>
      </c>
      <c r="C4" s="331" t="s">
        <v>704</v>
      </c>
      <c r="D4" s="332" t="s">
        <v>146</v>
      </c>
      <c r="E4" s="331" t="s">
        <v>713</v>
      </c>
      <c r="F4" s="332" t="s">
        <v>146</v>
      </c>
      <c r="G4" s="332" t="s">
        <v>714</v>
      </c>
      <c r="H4" s="331" t="s">
        <v>715</v>
      </c>
      <c r="I4" s="331"/>
      <c r="J4" s="332" t="s">
        <v>716</v>
      </c>
      <c r="K4" s="332" t="s">
        <v>717</v>
      </c>
      <c r="L4" s="332" t="s">
        <v>718</v>
      </c>
      <c r="M4" s="332" t="s">
        <v>719</v>
      </c>
      <c r="N4" s="332" t="s">
        <v>720</v>
      </c>
    </row>
    <row r="5" spans="1:14" ht="15" customHeight="1">
      <c r="A5" s="331">
        <v>1110</v>
      </c>
      <c r="B5" s="332" t="s">
        <v>473</v>
      </c>
      <c r="C5" s="331" t="s">
        <v>704</v>
      </c>
      <c r="D5" s="332" t="s">
        <v>146</v>
      </c>
      <c r="E5" s="331" t="s">
        <v>721</v>
      </c>
      <c r="F5" s="332" t="s">
        <v>194</v>
      </c>
      <c r="G5" s="332" t="s">
        <v>722</v>
      </c>
      <c r="H5" s="331" t="s">
        <v>723</v>
      </c>
      <c r="I5" s="331"/>
      <c r="J5" s="332" t="s">
        <v>724</v>
      </c>
      <c r="K5" s="332" t="s">
        <v>725</v>
      </c>
      <c r="L5" s="332" t="s">
        <v>726</v>
      </c>
      <c r="M5" s="332" t="s">
        <v>727</v>
      </c>
      <c r="N5" s="332" t="s">
        <v>728</v>
      </c>
    </row>
    <row r="6" spans="1:14" ht="15" customHeight="1">
      <c r="A6" s="331">
        <v>1120</v>
      </c>
      <c r="B6" s="332" t="s">
        <v>474</v>
      </c>
      <c r="C6" s="331" t="s">
        <v>704</v>
      </c>
      <c r="D6" s="332" t="s">
        <v>146</v>
      </c>
      <c r="E6" s="331" t="s">
        <v>729</v>
      </c>
      <c r="F6" s="332" t="s">
        <v>197</v>
      </c>
      <c r="G6" s="332" t="s">
        <v>730</v>
      </c>
      <c r="H6" s="331" t="s">
        <v>731</v>
      </c>
      <c r="I6" s="331"/>
      <c r="J6" s="332" t="s">
        <v>732</v>
      </c>
      <c r="K6" s="332" t="s">
        <v>733</v>
      </c>
      <c r="L6" s="332" t="s">
        <v>734</v>
      </c>
      <c r="M6" s="332" t="s">
        <v>735</v>
      </c>
      <c r="N6" s="332" t="s">
        <v>736</v>
      </c>
    </row>
    <row r="7" spans="1:14" ht="15" customHeight="1">
      <c r="A7" s="331">
        <v>1140</v>
      </c>
      <c r="B7" s="332" t="s">
        <v>475</v>
      </c>
      <c r="C7" s="331" t="s">
        <v>704</v>
      </c>
      <c r="D7" s="332" t="s">
        <v>146</v>
      </c>
      <c r="E7" s="331" t="s">
        <v>737</v>
      </c>
      <c r="F7" s="332" t="s">
        <v>146</v>
      </c>
      <c r="G7" s="332" t="s">
        <v>738</v>
      </c>
      <c r="H7" s="331" t="s">
        <v>739</v>
      </c>
      <c r="I7" s="331"/>
      <c r="J7" s="332" t="s">
        <v>740</v>
      </c>
      <c r="K7" s="332" t="s">
        <v>741</v>
      </c>
      <c r="L7" s="332" t="s">
        <v>742</v>
      </c>
      <c r="M7" s="332" t="s">
        <v>743</v>
      </c>
      <c r="N7" s="332" t="s">
        <v>744</v>
      </c>
    </row>
    <row r="8" spans="1:14" ht="15" customHeight="1">
      <c r="A8" s="331">
        <v>1150</v>
      </c>
      <c r="B8" s="332" t="s">
        <v>476</v>
      </c>
      <c r="C8" s="331" t="s">
        <v>704</v>
      </c>
      <c r="D8" s="332" t="s">
        <v>146</v>
      </c>
      <c r="E8" s="331" t="s">
        <v>745</v>
      </c>
      <c r="F8" s="332" t="s">
        <v>224</v>
      </c>
      <c r="G8" s="332" t="s">
        <v>746</v>
      </c>
      <c r="H8" s="331" t="s">
        <v>747</v>
      </c>
      <c r="I8" s="331"/>
      <c r="J8" s="332" t="s">
        <v>748</v>
      </c>
      <c r="K8" s="332" t="s">
        <v>749</v>
      </c>
      <c r="L8" s="332" t="s">
        <v>750</v>
      </c>
      <c r="M8" s="332" t="s">
        <v>751</v>
      </c>
      <c r="N8" s="332" t="s">
        <v>752</v>
      </c>
    </row>
    <row r="9" spans="1:14" ht="15" customHeight="1">
      <c r="A9" s="331">
        <v>1155</v>
      </c>
      <c r="B9" s="332" t="s">
        <v>477</v>
      </c>
      <c r="C9" s="331" t="s">
        <v>704</v>
      </c>
      <c r="D9" s="332" t="s">
        <v>146</v>
      </c>
      <c r="E9" s="331" t="s">
        <v>753</v>
      </c>
      <c r="F9" s="332" t="s">
        <v>231</v>
      </c>
      <c r="G9" s="332" t="s">
        <v>754</v>
      </c>
      <c r="H9" s="331" t="s">
        <v>747</v>
      </c>
      <c r="I9" s="331"/>
      <c r="J9" s="332" t="s">
        <v>755</v>
      </c>
      <c r="K9" s="332" t="s">
        <v>756</v>
      </c>
      <c r="L9" s="332" t="s">
        <v>757</v>
      </c>
      <c r="M9" s="332" t="s">
        <v>758</v>
      </c>
      <c r="N9" s="332" t="s">
        <v>759</v>
      </c>
    </row>
    <row r="10" spans="1:14" ht="15" customHeight="1">
      <c r="A10" s="331">
        <v>1160</v>
      </c>
      <c r="B10" s="332" t="s">
        <v>760</v>
      </c>
      <c r="C10" s="331" t="s">
        <v>704</v>
      </c>
      <c r="D10" s="332" t="s">
        <v>146</v>
      </c>
      <c r="E10" s="331" t="s">
        <v>761</v>
      </c>
      <c r="F10" s="332" t="s">
        <v>251</v>
      </c>
      <c r="G10" s="332" t="s">
        <v>762</v>
      </c>
      <c r="H10" s="331" t="s">
        <v>763</v>
      </c>
      <c r="I10" s="331"/>
      <c r="J10" s="332" t="s">
        <v>764</v>
      </c>
      <c r="K10" s="332" t="s">
        <v>765</v>
      </c>
      <c r="L10" s="332" t="s">
        <v>766</v>
      </c>
      <c r="M10" s="332" t="s">
        <v>767</v>
      </c>
      <c r="N10" s="332" t="s">
        <v>768</v>
      </c>
    </row>
    <row r="11" spans="1:14" ht="15" customHeight="1">
      <c r="A11" s="331">
        <v>1170</v>
      </c>
      <c r="B11" s="337" t="s">
        <v>1424</v>
      </c>
      <c r="C11" s="331" t="s">
        <v>704</v>
      </c>
      <c r="D11" s="332" t="s">
        <v>146</v>
      </c>
      <c r="E11" s="331" t="s">
        <v>769</v>
      </c>
      <c r="F11" s="332" t="s">
        <v>254</v>
      </c>
      <c r="G11" s="332" t="s">
        <v>770</v>
      </c>
      <c r="H11" s="331" t="s">
        <v>771</v>
      </c>
      <c r="I11" s="331" t="s">
        <v>772</v>
      </c>
      <c r="J11" s="332" t="s">
        <v>773</v>
      </c>
      <c r="K11" s="332" t="s">
        <v>774</v>
      </c>
      <c r="L11" s="332" t="s">
        <v>775</v>
      </c>
      <c r="M11" s="332" t="s">
        <v>776</v>
      </c>
      <c r="N11" s="332" t="s">
        <v>777</v>
      </c>
    </row>
    <row r="12" spans="1:14" ht="15" customHeight="1">
      <c r="A12" s="331">
        <v>1200</v>
      </c>
      <c r="B12" s="332" t="s">
        <v>478</v>
      </c>
      <c r="C12" s="331" t="s">
        <v>704</v>
      </c>
      <c r="D12" s="332" t="s">
        <v>146</v>
      </c>
      <c r="E12" s="331" t="s">
        <v>778</v>
      </c>
      <c r="F12" s="332" t="s">
        <v>314</v>
      </c>
      <c r="G12" s="332" t="s">
        <v>779</v>
      </c>
      <c r="H12" s="331" t="s">
        <v>780</v>
      </c>
      <c r="I12" s="331" t="s">
        <v>781</v>
      </c>
      <c r="J12" s="332" t="s">
        <v>782</v>
      </c>
      <c r="K12" s="332" t="s">
        <v>783</v>
      </c>
      <c r="L12" s="332" t="s">
        <v>784</v>
      </c>
      <c r="M12" s="332" t="s">
        <v>785</v>
      </c>
      <c r="N12" s="332" t="s">
        <v>786</v>
      </c>
    </row>
    <row r="13" spans="1:14" ht="15" customHeight="1">
      <c r="A13" s="331">
        <v>1210</v>
      </c>
      <c r="B13" s="332" t="s">
        <v>787</v>
      </c>
      <c r="C13" s="331" t="s">
        <v>704</v>
      </c>
      <c r="D13" s="332" t="s">
        <v>146</v>
      </c>
      <c r="E13" s="331" t="s">
        <v>788</v>
      </c>
      <c r="F13" s="332" t="s">
        <v>179</v>
      </c>
      <c r="G13" s="332" t="s">
        <v>789</v>
      </c>
      <c r="H13" s="331" t="s">
        <v>772</v>
      </c>
      <c r="I13" s="331"/>
      <c r="J13" s="332" t="s">
        <v>790</v>
      </c>
      <c r="K13" s="332" t="s">
        <v>791</v>
      </c>
      <c r="L13" s="332" t="s">
        <v>792</v>
      </c>
      <c r="M13" s="332" t="s">
        <v>793</v>
      </c>
      <c r="N13" s="332" t="s">
        <v>794</v>
      </c>
    </row>
    <row r="14" spans="1:14" ht="15" customHeight="1">
      <c r="A14" s="331">
        <v>1220</v>
      </c>
      <c r="B14" s="332" t="s">
        <v>795</v>
      </c>
      <c r="C14" s="331" t="s">
        <v>704</v>
      </c>
      <c r="D14" s="332" t="s">
        <v>146</v>
      </c>
      <c r="E14" s="331" t="s">
        <v>788</v>
      </c>
      <c r="F14" s="332" t="s">
        <v>179</v>
      </c>
      <c r="G14" s="332" t="s">
        <v>796</v>
      </c>
      <c r="H14" s="331" t="s">
        <v>797</v>
      </c>
      <c r="I14" s="331"/>
      <c r="J14" s="332"/>
      <c r="K14" s="332" t="s">
        <v>798</v>
      </c>
      <c r="L14" s="332" t="s">
        <v>799</v>
      </c>
      <c r="M14" s="332"/>
      <c r="N14" s="332" t="s">
        <v>800</v>
      </c>
    </row>
    <row r="15" spans="1:14" ht="15" customHeight="1">
      <c r="A15" s="331">
        <v>1230</v>
      </c>
      <c r="B15" s="332" t="s">
        <v>479</v>
      </c>
      <c r="C15" s="331" t="s">
        <v>704</v>
      </c>
      <c r="D15" s="332" t="s">
        <v>146</v>
      </c>
      <c r="E15" s="331" t="s">
        <v>801</v>
      </c>
      <c r="F15" s="332" t="s">
        <v>343</v>
      </c>
      <c r="G15" s="332" t="s">
        <v>802</v>
      </c>
      <c r="H15" s="331" t="s">
        <v>803</v>
      </c>
      <c r="I15" s="331"/>
      <c r="J15" s="332" t="s">
        <v>804</v>
      </c>
      <c r="K15" s="332" t="s">
        <v>805</v>
      </c>
      <c r="L15" s="332" t="s">
        <v>806</v>
      </c>
      <c r="M15" s="332" t="s">
        <v>807</v>
      </c>
      <c r="N15" s="332" t="s">
        <v>808</v>
      </c>
    </row>
    <row r="16" spans="1:14" ht="15" customHeight="1">
      <c r="A16" s="331">
        <v>1235</v>
      </c>
      <c r="B16" s="337" t="s">
        <v>1424</v>
      </c>
      <c r="C16" s="331" t="s">
        <v>704</v>
      </c>
      <c r="D16" s="332" t="s">
        <v>146</v>
      </c>
      <c r="E16" s="331" t="s">
        <v>809</v>
      </c>
      <c r="F16" s="332" t="s">
        <v>353</v>
      </c>
      <c r="G16" s="332" t="s">
        <v>810</v>
      </c>
      <c r="H16" s="331" t="s">
        <v>780</v>
      </c>
      <c r="I16" s="331"/>
      <c r="J16" s="332" t="s">
        <v>811</v>
      </c>
      <c r="K16" s="332" t="s">
        <v>812</v>
      </c>
      <c r="L16" s="332" t="s">
        <v>813</v>
      </c>
      <c r="M16" s="332" t="s">
        <v>814</v>
      </c>
      <c r="N16" s="332" t="s">
        <v>815</v>
      </c>
    </row>
    <row r="17" spans="1:14" ht="15" customHeight="1">
      <c r="A17" s="331">
        <v>1250</v>
      </c>
      <c r="B17" s="332" t="s">
        <v>480</v>
      </c>
      <c r="C17" s="331" t="s">
        <v>704</v>
      </c>
      <c r="D17" s="332" t="s">
        <v>146</v>
      </c>
      <c r="E17" s="331" t="s">
        <v>816</v>
      </c>
      <c r="F17" s="332" t="s">
        <v>338</v>
      </c>
      <c r="G17" s="332" t="s">
        <v>817</v>
      </c>
      <c r="H17" s="331" t="s">
        <v>818</v>
      </c>
      <c r="I17" s="331" t="s">
        <v>819</v>
      </c>
      <c r="J17" s="332"/>
      <c r="K17" s="332" t="s">
        <v>820</v>
      </c>
      <c r="L17" s="332" t="s">
        <v>821</v>
      </c>
      <c r="M17" s="332" t="s">
        <v>822</v>
      </c>
      <c r="N17" s="332" t="s">
        <v>823</v>
      </c>
    </row>
    <row r="18" spans="1:14" ht="15" customHeight="1">
      <c r="A18" s="331">
        <v>1256</v>
      </c>
      <c r="B18" s="332" t="s">
        <v>481</v>
      </c>
      <c r="C18" s="331" t="s">
        <v>704</v>
      </c>
      <c r="D18" s="332" t="s">
        <v>146</v>
      </c>
      <c r="E18" s="331" t="s">
        <v>824</v>
      </c>
      <c r="F18" s="332" t="s">
        <v>367</v>
      </c>
      <c r="G18" s="332" t="s">
        <v>825</v>
      </c>
      <c r="H18" s="331" t="s">
        <v>826</v>
      </c>
      <c r="I18" s="331" t="s">
        <v>827</v>
      </c>
      <c r="J18" s="332" t="s">
        <v>828</v>
      </c>
      <c r="K18" s="332" t="s">
        <v>829</v>
      </c>
      <c r="L18" s="332" t="s">
        <v>830</v>
      </c>
      <c r="M18" s="332" t="s">
        <v>831</v>
      </c>
      <c r="N18" s="332" t="s">
        <v>832</v>
      </c>
    </row>
    <row r="19" spans="1:14" ht="15" customHeight="1">
      <c r="A19" s="331">
        <v>1260</v>
      </c>
      <c r="B19" s="337" t="s">
        <v>1426</v>
      </c>
      <c r="C19" s="331" t="s">
        <v>704</v>
      </c>
      <c r="D19" s="332" t="s">
        <v>146</v>
      </c>
      <c r="E19" s="331" t="s">
        <v>833</v>
      </c>
      <c r="F19" s="332" t="s">
        <v>378</v>
      </c>
      <c r="G19" s="332" t="s">
        <v>834</v>
      </c>
      <c r="H19" s="331" t="s">
        <v>835</v>
      </c>
      <c r="I19" s="331"/>
      <c r="J19" s="332" t="s">
        <v>836</v>
      </c>
      <c r="K19" s="332" t="s">
        <v>837</v>
      </c>
      <c r="L19" s="332" t="s">
        <v>838</v>
      </c>
      <c r="M19" s="332"/>
      <c r="N19" s="332" t="s">
        <v>839</v>
      </c>
    </row>
    <row r="20" spans="1:14" ht="15" customHeight="1">
      <c r="A20" s="331">
        <v>1290</v>
      </c>
      <c r="B20" s="332" t="s">
        <v>840</v>
      </c>
      <c r="C20" s="331" t="s">
        <v>841</v>
      </c>
      <c r="D20" s="332" t="s">
        <v>146</v>
      </c>
      <c r="E20" s="331" t="s">
        <v>842</v>
      </c>
      <c r="F20" s="332" t="s">
        <v>160</v>
      </c>
      <c r="G20" s="332" t="s">
        <v>843</v>
      </c>
      <c r="H20" s="331" t="s">
        <v>844</v>
      </c>
      <c r="I20" s="331"/>
      <c r="J20" s="332" t="s">
        <v>845</v>
      </c>
      <c r="K20" s="332" t="s">
        <v>846</v>
      </c>
      <c r="L20" s="332" t="s">
        <v>847</v>
      </c>
      <c r="M20" s="332" t="s">
        <v>848</v>
      </c>
      <c r="N20" s="332" t="s">
        <v>849</v>
      </c>
    </row>
    <row r="21" spans="1:14" ht="15" customHeight="1">
      <c r="A21" s="331">
        <v>1295</v>
      </c>
      <c r="B21" s="332" t="s">
        <v>482</v>
      </c>
      <c r="C21" s="331" t="s">
        <v>704</v>
      </c>
      <c r="D21" s="332" t="s">
        <v>146</v>
      </c>
      <c r="E21" s="331" t="s">
        <v>850</v>
      </c>
      <c r="F21" s="332" t="s">
        <v>414</v>
      </c>
      <c r="G21" s="332" t="s">
        <v>851</v>
      </c>
      <c r="H21" s="331" t="s">
        <v>723</v>
      </c>
      <c r="I21" s="331"/>
      <c r="J21" s="332" t="s">
        <v>852</v>
      </c>
      <c r="K21" s="332" t="s">
        <v>853</v>
      </c>
      <c r="L21" s="332" t="s">
        <v>854</v>
      </c>
      <c r="M21" s="332" t="s">
        <v>855</v>
      </c>
      <c r="N21" s="332" t="s">
        <v>856</v>
      </c>
    </row>
    <row r="22" spans="1:14" ht="15" customHeight="1">
      <c r="A22" s="331">
        <v>1300</v>
      </c>
      <c r="B22" s="332" t="s">
        <v>483</v>
      </c>
      <c r="C22" s="331" t="s">
        <v>704</v>
      </c>
      <c r="D22" s="332" t="s">
        <v>146</v>
      </c>
      <c r="E22" s="331" t="s">
        <v>857</v>
      </c>
      <c r="F22" s="332" t="s">
        <v>421</v>
      </c>
      <c r="G22" s="332" t="s">
        <v>858</v>
      </c>
      <c r="H22" s="331" t="s">
        <v>763</v>
      </c>
      <c r="I22" s="331"/>
      <c r="J22" s="332" t="s">
        <v>859</v>
      </c>
      <c r="K22" s="332" t="s">
        <v>860</v>
      </c>
      <c r="L22" s="332" t="s">
        <v>861</v>
      </c>
      <c r="M22" s="332" t="s">
        <v>862</v>
      </c>
      <c r="N22" s="332" t="s">
        <v>863</v>
      </c>
    </row>
    <row r="23" spans="1:14" ht="15" customHeight="1">
      <c r="A23" s="331">
        <v>1310</v>
      </c>
      <c r="B23" s="332" t="s">
        <v>484</v>
      </c>
      <c r="C23" s="331" t="s">
        <v>704</v>
      </c>
      <c r="D23" s="332" t="s">
        <v>146</v>
      </c>
      <c r="E23" s="331" t="s">
        <v>864</v>
      </c>
      <c r="F23" s="332" t="s">
        <v>203</v>
      </c>
      <c r="G23" s="332" t="s">
        <v>865</v>
      </c>
      <c r="H23" s="331" t="s">
        <v>747</v>
      </c>
      <c r="I23" s="331"/>
      <c r="J23" s="332" t="s">
        <v>866</v>
      </c>
      <c r="K23" s="332" t="s">
        <v>867</v>
      </c>
      <c r="L23" s="332" t="s">
        <v>868</v>
      </c>
      <c r="M23" s="332" t="s">
        <v>869</v>
      </c>
      <c r="N23" s="332" t="s">
        <v>870</v>
      </c>
    </row>
    <row r="24" spans="1:14" ht="15" customHeight="1">
      <c r="A24" s="331">
        <v>1320</v>
      </c>
      <c r="B24" s="337" t="s">
        <v>1426</v>
      </c>
      <c r="C24" s="331" t="s">
        <v>704</v>
      </c>
      <c r="D24" s="332" t="s">
        <v>146</v>
      </c>
      <c r="E24" s="331" t="s">
        <v>871</v>
      </c>
      <c r="F24" s="332" t="s">
        <v>442</v>
      </c>
      <c r="G24" s="332" t="s">
        <v>872</v>
      </c>
      <c r="H24" s="331" t="s">
        <v>763</v>
      </c>
      <c r="I24" s="331"/>
      <c r="J24" s="332" t="s">
        <v>873</v>
      </c>
      <c r="K24" s="332" t="s">
        <v>874</v>
      </c>
      <c r="L24" s="332" t="s">
        <v>875</v>
      </c>
      <c r="M24" s="332" t="s">
        <v>876</v>
      </c>
      <c r="N24" s="332" t="s">
        <v>877</v>
      </c>
    </row>
    <row r="25" spans="1:14" ht="15" customHeight="1">
      <c r="A25" s="331">
        <v>2228</v>
      </c>
      <c r="B25" s="332" t="s">
        <v>485</v>
      </c>
      <c r="C25" s="331" t="s">
        <v>841</v>
      </c>
      <c r="D25" s="332" t="s">
        <v>142</v>
      </c>
      <c r="E25" s="331" t="s">
        <v>878</v>
      </c>
      <c r="F25" s="332" t="s">
        <v>164</v>
      </c>
      <c r="G25" s="332" t="s">
        <v>879</v>
      </c>
      <c r="H25" s="331" t="s">
        <v>880</v>
      </c>
      <c r="I25" s="331"/>
      <c r="J25" s="332" t="s">
        <v>881</v>
      </c>
      <c r="K25" s="332" t="s">
        <v>882</v>
      </c>
      <c r="L25" s="332" t="s">
        <v>883</v>
      </c>
      <c r="M25" s="332" t="s">
        <v>884</v>
      </c>
      <c r="N25" s="332" t="s">
        <v>885</v>
      </c>
    </row>
    <row r="26" spans="1:14" ht="15" customHeight="1">
      <c r="A26" s="331">
        <v>2250</v>
      </c>
      <c r="B26" s="332" t="s">
        <v>486</v>
      </c>
      <c r="C26" s="331" t="s">
        <v>704</v>
      </c>
      <c r="D26" s="332" t="s">
        <v>142</v>
      </c>
      <c r="E26" s="331" t="s">
        <v>886</v>
      </c>
      <c r="F26" s="332" t="s">
        <v>219</v>
      </c>
      <c r="G26" s="332" t="s">
        <v>887</v>
      </c>
      <c r="H26" s="331" t="s">
        <v>888</v>
      </c>
      <c r="I26" s="331"/>
      <c r="J26" s="332" t="s">
        <v>889</v>
      </c>
      <c r="K26" s="332" t="s">
        <v>890</v>
      </c>
      <c r="L26" s="332" t="s">
        <v>891</v>
      </c>
      <c r="M26" s="332" t="s">
        <v>892</v>
      </c>
      <c r="N26" s="332" t="s">
        <v>893</v>
      </c>
    </row>
    <row r="27" spans="1:14" ht="15" customHeight="1">
      <c r="A27" s="331">
        <v>2290</v>
      </c>
      <c r="B27" s="332" t="s">
        <v>487</v>
      </c>
      <c r="C27" s="331" t="s">
        <v>841</v>
      </c>
      <c r="D27" s="332" t="s">
        <v>142</v>
      </c>
      <c r="E27" s="331" t="s">
        <v>894</v>
      </c>
      <c r="F27" s="332" t="s">
        <v>388</v>
      </c>
      <c r="G27" s="332" t="s">
        <v>895</v>
      </c>
      <c r="H27" s="331" t="s">
        <v>896</v>
      </c>
      <c r="I27" s="331" t="s">
        <v>25</v>
      </c>
      <c r="J27" s="332" t="s">
        <v>897</v>
      </c>
      <c r="K27" s="332" t="s">
        <v>898</v>
      </c>
      <c r="L27" s="332" t="s">
        <v>899</v>
      </c>
      <c r="M27" s="332" t="s">
        <v>900</v>
      </c>
      <c r="N27" s="332" t="s">
        <v>901</v>
      </c>
    </row>
    <row r="28" spans="1:14" ht="15" customHeight="1">
      <c r="A28" s="331">
        <v>2350</v>
      </c>
      <c r="B28" s="332" t="s">
        <v>488</v>
      </c>
      <c r="C28" s="331" t="s">
        <v>841</v>
      </c>
      <c r="D28" s="332" t="s">
        <v>142</v>
      </c>
      <c r="E28" s="331" t="s">
        <v>902</v>
      </c>
      <c r="F28" s="332" t="s">
        <v>244</v>
      </c>
      <c r="G28" s="332" t="s">
        <v>903</v>
      </c>
      <c r="H28" s="331" t="s">
        <v>904</v>
      </c>
      <c r="I28" s="331" t="s">
        <v>905</v>
      </c>
      <c r="J28" s="332" t="s">
        <v>906</v>
      </c>
      <c r="K28" s="332" t="s">
        <v>907</v>
      </c>
      <c r="L28" s="332" t="s">
        <v>908</v>
      </c>
      <c r="M28" s="332" t="s">
        <v>909</v>
      </c>
      <c r="N28" s="332" t="s">
        <v>910</v>
      </c>
    </row>
    <row r="29" spans="1:14" ht="15" customHeight="1">
      <c r="A29" s="331">
        <v>2351</v>
      </c>
      <c r="B29" s="332" t="s">
        <v>489</v>
      </c>
      <c r="C29" s="331" t="s">
        <v>704</v>
      </c>
      <c r="D29" s="332" t="s">
        <v>142</v>
      </c>
      <c r="E29" s="331" t="s">
        <v>911</v>
      </c>
      <c r="F29" s="332" t="s">
        <v>253</v>
      </c>
      <c r="G29" s="332" t="s">
        <v>912</v>
      </c>
      <c r="H29" s="331" t="s">
        <v>739</v>
      </c>
      <c r="I29" s="331"/>
      <c r="J29" s="332" t="s">
        <v>913</v>
      </c>
      <c r="K29" s="332" t="s">
        <v>914</v>
      </c>
      <c r="L29" s="332" t="s">
        <v>915</v>
      </c>
      <c r="M29" s="332" t="s">
        <v>916</v>
      </c>
      <c r="N29" s="332" t="s">
        <v>917</v>
      </c>
    </row>
    <row r="30" spans="1:14" ht="15" customHeight="1">
      <c r="A30" s="331">
        <v>2360</v>
      </c>
      <c r="B30" s="332" t="s">
        <v>490</v>
      </c>
      <c r="C30" s="331" t="s">
        <v>841</v>
      </c>
      <c r="D30" s="332" t="s">
        <v>142</v>
      </c>
      <c r="E30" s="331" t="s">
        <v>911</v>
      </c>
      <c r="F30" s="332" t="s">
        <v>253</v>
      </c>
      <c r="G30" s="332" t="s">
        <v>918</v>
      </c>
      <c r="H30" s="331" t="s">
        <v>919</v>
      </c>
      <c r="I30" s="331"/>
      <c r="J30" s="332" t="s">
        <v>920</v>
      </c>
      <c r="K30" s="332" t="s">
        <v>921</v>
      </c>
      <c r="L30" s="332" t="s">
        <v>922</v>
      </c>
      <c r="M30" s="332" t="s">
        <v>923</v>
      </c>
      <c r="N30" s="332" t="s">
        <v>924</v>
      </c>
    </row>
    <row r="31" spans="1:14" ht="15" customHeight="1">
      <c r="A31" s="331">
        <v>2420</v>
      </c>
      <c r="B31" s="332" t="s">
        <v>925</v>
      </c>
      <c r="C31" s="331" t="s">
        <v>704</v>
      </c>
      <c r="D31" s="332" t="s">
        <v>142</v>
      </c>
      <c r="E31" s="331" t="s">
        <v>926</v>
      </c>
      <c r="F31" s="332" t="s">
        <v>143</v>
      </c>
      <c r="G31" s="332" t="s">
        <v>927</v>
      </c>
      <c r="H31" s="331" t="s">
        <v>928</v>
      </c>
      <c r="I31" s="331"/>
      <c r="J31" s="332" t="s">
        <v>929</v>
      </c>
      <c r="K31" s="332" t="s">
        <v>930</v>
      </c>
      <c r="L31" s="332" t="s">
        <v>931</v>
      </c>
      <c r="M31" s="332" t="s">
        <v>932</v>
      </c>
      <c r="N31" s="332" t="s">
        <v>933</v>
      </c>
    </row>
    <row r="32" spans="1:14" ht="15" customHeight="1">
      <c r="A32" s="331">
        <v>2455</v>
      </c>
      <c r="B32" s="337" t="s">
        <v>934</v>
      </c>
      <c r="C32" s="331" t="s">
        <v>704</v>
      </c>
      <c r="D32" s="332" t="s">
        <v>142</v>
      </c>
      <c r="E32" s="331" t="s">
        <v>935</v>
      </c>
      <c r="F32" s="332" t="s">
        <v>400</v>
      </c>
      <c r="G32" s="332" t="s">
        <v>936</v>
      </c>
      <c r="H32" s="331" t="s">
        <v>937</v>
      </c>
      <c r="I32" s="331"/>
      <c r="J32" s="332" t="s">
        <v>938</v>
      </c>
      <c r="K32" s="332" t="s">
        <v>939</v>
      </c>
      <c r="L32" s="332" t="s">
        <v>940</v>
      </c>
      <c r="M32" s="332" t="s">
        <v>941</v>
      </c>
      <c r="N32" s="332" t="s">
        <v>942</v>
      </c>
    </row>
    <row r="33" spans="1:14" ht="15" customHeight="1">
      <c r="A33" s="331">
        <v>2600</v>
      </c>
      <c r="B33" s="332" t="s">
        <v>491</v>
      </c>
      <c r="C33" s="331" t="s">
        <v>704</v>
      </c>
      <c r="D33" s="332" t="s">
        <v>142</v>
      </c>
      <c r="E33" s="331" t="s">
        <v>943</v>
      </c>
      <c r="F33" s="332" t="s">
        <v>397</v>
      </c>
      <c r="G33" s="332" t="s">
        <v>944</v>
      </c>
      <c r="H33" s="331" t="s">
        <v>945</v>
      </c>
      <c r="I33" s="331"/>
      <c r="J33" s="332" t="s">
        <v>946</v>
      </c>
      <c r="K33" s="332" t="s">
        <v>947</v>
      </c>
      <c r="L33" s="332" t="s">
        <v>948</v>
      </c>
      <c r="M33" s="332" t="s">
        <v>949</v>
      </c>
      <c r="N33" s="332" t="s">
        <v>950</v>
      </c>
    </row>
    <row r="34" spans="1:14" ht="15" customHeight="1">
      <c r="A34" s="331">
        <v>2630</v>
      </c>
      <c r="B34" s="332" t="s">
        <v>492</v>
      </c>
      <c r="C34" s="331" t="s">
        <v>704</v>
      </c>
      <c r="D34" s="332" t="s">
        <v>142</v>
      </c>
      <c r="E34" s="331" t="s">
        <v>951</v>
      </c>
      <c r="F34" s="332" t="s">
        <v>403</v>
      </c>
      <c r="G34" s="332" t="s">
        <v>952</v>
      </c>
      <c r="H34" s="331" t="s">
        <v>953</v>
      </c>
      <c r="I34" s="331"/>
      <c r="J34" s="332" t="s">
        <v>954</v>
      </c>
      <c r="K34" s="332" t="s">
        <v>955</v>
      </c>
      <c r="L34" s="332" t="s">
        <v>956</v>
      </c>
      <c r="M34" s="332" t="s">
        <v>957</v>
      </c>
      <c r="N34" s="332" t="s">
        <v>958</v>
      </c>
    </row>
    <row r="35" spans="1:14" ht="15" customHeight="1">
      <c r="A35" s="331">
        <v>3060</v>
      </c>
      <c r="B35" s="332" t="s">
        <v>493</v>
      </c>
      <c r="C35" s="331" t="s">
        <v>704</v>
      </c>
      <c r="D35" s="332" t="s">
        <v>153</v>
      </c>
      <c r="E35" s="331" t="s">
        <v>959</v>
      </c>
      <c r="F35" s="332" t="s">
        <v>189</v>
      </c>
      <c r="G35" s="332" t="s">
        <v>960</v>
      </c>
      <c r="H35" s="331" t="s">
        <v>961</v>
      </c>
      <c r="I35" s="331" t="s">
        <v>763</v>
      </c>
      <c r="J35" s="332" t="s">
        <v>962</v>
      </c>
      <c r="K35" s="332" t="s">
        <v>963</v>
      </c>
      <c r="L35" s="332" t="s">
        <v>964</v>
      </c>
      <c r="M35" s="332" t="s">
        <v>965</v>
      </c>
      <c r="N35" s="332" t="s">
        <v>966</v>
      </c>
    </row>
    <row r="36" spans="1:14" ht="15" customHeight="1">
      <c r="A36" s="331">
        <v>3070</v>
      </c>
      <c r="B36" s="332" t="s">
        <v>494</v>
      </c>
      <c r="C36" s="331" t="s">
        <v>704</v>
      </c>
      <c r="D36" s="332" t="s">
        <v>153</v>
      </c>
      <c r="E36" s="331" t="s">
        <v>967</v>
      </c>
      <c r="F36" s="332" t="s">
        <v>171</v>
      </c>
      <c r="G36" s="332" t="s">
        <v>968</v>
      </c>
      <c r="H36" s="331" t="s">
        <v>763</v>
      </c>
      <c r="I36" s="331" t="s">
        <v>969</v>
      </c>
      <c r="J36" s="332" t="s">
        <v>970</v>
      </c>
      <c r="K36" s="332" t="s">
        <v>971</v>
      </c>
      <c r="L36" s="332" t="s">
        <v>972</v>
      </c>
      <c r="M36" s="332" t="s">
        <v>973</v>
      </c>
      <c r="N36" s="332" t="s">
        <v>974</v>
      </c>
    </row>
    <row r="37" spans="1:14" ht="15" customHeight="1">
      <c r="A37" s="331">
        <v>3100</v>
      </c>
      <c r="B37" s="332" t="s">
        <v>495</v>
      </c>
      <c r="C37" s="331" t="s">
        <v>841</v>
      </c>
      <c r="D37" s="332" t="s">
        <v>153</v>
      </c>
      <c r="E37" s="331" t="s">
        <v>975</v>
      </c>
      <c r="F37" s="332" t="s">
        <v>171</v>
      </c>
      <c r="G37" s="332" t="s">
        <v>976</v>
      </c>
      <c r="H37" s="331" t="s">
        <v>977</v>
      </c>
      <c r="I37" s="331" t="s">
        <v>905</v>
      </c>
      <c r="J37" s="332" t="s">
        <v>978</v>
      </c>
      <c r="K37" s="332" t="s">
        <v>979</v>
      </c>
      <c r="L37" s="332" t="s">
        <v>980</v>
      </c>
      <c r="M37" s="332" t="s">
        <v>981</v>
      </c>
      <c r="N37" s="332" t="s">
        <v>982</v>
      </c>
    </row>
    <row r="38" spans="1:14" ht="15" customHeight="1">
      <c r="A38" s="331">
        <v>3120</v>
      </c>
      <c r="B38" s="332" t="s">
        <v>496</v>
      </c>
      <c r="C38" s="331" t="s">
        <v>841</v>
      </c>
      <c r="D38" s="332" t="s">
        <v>153</v>
      </c>
      <c r="E38" s="331" t="s">
        <v>983</v>
      </c>
      <c r="F38" s="332" t="s">
        <v>204</v>
      </c>
      <c r="G38" s="332" t="s">
        <v>984</v>
      </c>
      <c r="H38" s="331" t="s">
        <v>985</v>
      </c>
      <c r="I38" s="331"/>
      <c r="J38" s="332" t="s">
        <v>986</v>
      </c>
      <c r="K38" s="332" t="s">
        <v>987</v>
      </c>
      <c r="L38" s="332" t="s">
        <v>988</v>
      </c>
      <c r="M38" s="332" t="s">
        <v>989</v>
      </c>
      <c r="N38" s="332" t="s">
        <v>990</v>
      </c>
    </row>
    <row r="39" spans="1:14" ht="15" customHeight="1">
      <c r="A39" s="331">
        <v>3140</v>
      </c>
      <c r="B39" s="332" t="s">
        <v>497</v>
      </c>
      <c r="C39" s="331" t="s">
        <v>704</v>
      </c>
      <c r="D39" s="332" t="s">
        <v>153</v>
      </c>
      <c r="E39" s="331" t="s">
        <v>991</v>
      </c>
      <c r="F39" s="332" t="s">
        <v>248</v>
      </c>
      <c r="G39" s="332" t="s">
        <v>992</v>
      </c>
      <c r="H39" s="331" t="s">
        <v>993</v>
      </c>
      <c r="I39" s="331"/>
      <c r="J39" s="332" t="s">
        <v>994</v>
      </c>
      <c r="K39" s="332" t="s">
        <v>995</v>
      </c>
      <c r="L39" s="332" t="s">
        <v>996</v>
      </c>
      <c r="M39" s="332"/>
      <c r="N39" s="332" t="s">
        <v>997</v>
      </c>
    </row>
    <row r="40" spans="1:14" ht="15" customHeight="1">
      <c r="A40" s="331">
        <v>3150</v>
      </c>
      <c r="B40" s="332" t="s">
        <v>498</v>
      </c>
      <c r="C40" s="331" t="s">
        <v>704</v>
      </c>
      <c r="D40" s="332" t="s">
        <v>153</v>
      </c>
      <c r="E40" s="331" t="s">
        <v>998</v>
      </c>
      <c r="F40" s="332" t="s">
        <v>290</v>
      </c>
      <c r="G40" s="332" t="s">
        <v>999</v>
      </c>
      <c r="H40" s="331" t="s">
        <v>905</v>
      </c>
      <c r="I40" s="331" t="s">
        <v>818</v>
      </c>
      <c r="J40" s="332" t="s">
        <v>1000</v>
      </c>
      <c r="K40" s="332" t="s">
        <v>1001</v>
      </c>
      <c r="L40" s="332" t="s">
        <v>1002</v>
      </c>
      <c r="M40" s="332" t="s">
        <v>1003</v>
      </c>
      <c r="N40" s="332" t="s">
        <v>1004</v>
      </c>
    </row>
    <row r="41" spans="1:14" ht="15" customHeight="1">
      <c r="A41" s="331">
        <v>3200</v>
      </c>
      <c r="B41" s="332" t="s">
        <v>499</v>
      </c>
      <c r="C41" s="331" t="s">
        <v>841</v>
      </c>
      <c r="D41" s="332" t="s">
        <v>153</v>
      </c>
      <c r="E41" s="331" t="s">
        <v>1005</v>
      </c>
      <c r="F41" s="332" t="s">
        <v>262</v>
      </c>
      <c r="G41" s="332" t="s">
        <v>1006</v>
      </c>
      <c r="H41" s="331" t="s">
        <v>1007</v>
      </c>
      <c r="I41" s="331"/>
      <c r="J41" s="332" t="s">
        <v>1008</v>
      </c>
      <c r="K41" s="332" t="s">
        <v>1009</v>
      </c>
      <c r="L41" s="332" t="s">
        <v>1010</v>
      </c>
      <c r="M41" s="332" t="s">
        <v>1011</v>
      </c>
      <c r="N41" s="332" t="s">
        <v>1012</v>
      </c>
    </row>
    <row r="42" spans="1:14" ht="15" customHeight="1">
      <c r="A42" s="331">
        <v>3210</v>
      </c>
      <c r="B42" s="332" t="s">
        <v>500</v>
      </c>
      <c r="C42" s="331" t="s">
        <v>704</v>
      </c>
      <c r="D42" s="332" t="s">
        <v>153</v>
      </c>
      <c r="E42" s="331" t="s">
        <v>1013</v>
      </c>
      <c r="F42" s="332" t="s">
        <v>278</v>
      </c>
      <c r="G42" s="332" t="s">
        <v>1014</v>
      </c>
      <c r="H42" s="331" t="s">
        <v>1015</v>
      </c>
      <c r="I42" s="331" t="s">
        <v>905</v>
      </c>
      <c r="J42" s="332" t="s">
        <v>1016</v>
      </c>
      <c r="K42" s="332" t="s">
        <v>1017</v>
      </c>
      <c r="L42" s="332" t="s">
        <v>1018</v>
      </c>
      <c r="M42" s="332" t="s">
        <v>1019</v>
      </c>
      <c r="N42" s="332" t="s">
        <v>1020</v>
      </c>
    </row>
    <row r="43" spans="1:14" ht="15" customHeight="1">
      <c r="A43" s="331">
        <v>3220</v>
      </c>
      <c r="B43" s="337" t="s">
        <v>1507</v>
      </c>
      <c r="C43" s="331" t="s">
        <v>704</v>
      </c>
      <c r="D43" s="332" t="s">
        <v>153</v>
      </c>
      <c r="E43" s="331" t="s">
        <v>1021</v>
      </c>
      <c r="F43" s="332" t="s">
        <v>279</v>
      </c>
      <c r="G43" s="332" t="s">
        <v>1022</v>
      </c>
      <c r="H43" s="331" t="s">
        <v>1023</v>
      </c>
      <c r="I43" s="331"/>
      <c r="J43" s="332" t="s">
        <v>1024</v>
      </c>
      <c r="K43" s="332" t="s">
        <v>1025</v>
      </c>
      <c r="L43" s="332" t="s">
        <v>1026</v>
      </c>
      <c r="M43" s="332"/>
      <c r="N43" s="332" t="s">
        <v>1027</v>
      </c>
    </row>
    <row r="44" spans="1:14" ht="15" customHeight="1">
      <c r="A44" s="331">
        <v>3230</v>
      </c>
      <c r="B44" s="332" t="s">
        <v>1028</v>
      </c>
      <c r="C44" s="331" t="s">
        <v>841</v>
      </c>
      <c r="D44" s="332" t="s">
        <v>153</v>
      </c>
      <c r="E44" s="331" t="s">
        <v>1029</v>
      </c>
      <c r="F44" s="332" t="s">
        <v>156</v>
      </c>
      <c r="G44" s="332" t="s">
        <v>746</v>
      </c>
      <c r="H44" s="331" t="s">
        <v>1030</v>
      </c>
      <c r="I44" s="331"/>
      <c r="J44" s="332" t="s">
        <v>1031</v>
      </c>
      <c r="K44" s="332" t="s">
        <v>1032</v>
      </c>
      <c r="L44" s="332" t="s">
        <v>1033</v>
      </c>
      <c r="M44" s="332" t="s">
        <v>1034</v>
      </c>
      <c r="N44" s="332" t="s">
        <v>1035</v>
      </c>
    </row>
    <row r="45" spans="1:14" ht="15" customHeight="1">
      <c r="A45" s="331">
        <v>3240</v>
      </c>
      <c r="B45" s="332" t="s">
        <v>501</v>
      </c>
      <c r="C45" s="331" t="s">
        <v>704</v>
      </c>
      <c r="D45" s="332" t="s">
        <v>153</v>
      </c>
      <c r="E45" s="331" t="s">
        <v>1036</v>
      </c>
      <c r="F45" s="332" t="s">
        <v>300</v>
      </c>
      <c r="G45" s="332" t="s">
        <v>1037</v>
      </c>
      <c r="H45" s="331" t="s">
        <v>772</v>
      </c>
      <c r="I45" s="331"/>
      <c r="J45" s="332" t="s">
        <v>1038</v>
      </c>
      <c r="K45" s="332" t="s">
        <v>1039</v>
      </c>
      <c r="L45" s="332" t="s">
        <v>1040</v>
      </c>
      <c r="M45" s="332" t="s">
        <v>1041</v>
      </c>
      <c r="N45" s="332" t="s">
        <v>1042</v>
      </c>
    </row>
    <row r="46" spans="1:14" ht="15" customHeight="1">
      <c r="A46" s="331">
        <v>3250</v>
      </c>
      <c r="B46" s="332" t="s">
        <v>502</v>
      </c>
      <c r="C46" s="331" t="s">
        <v>704</v>
      </c>
      <c r="D46" s="332" t="s">
        <v>153</v>
      </c>
      <c r="E46" s="331" t="s">
        <v>1043</v>
      </c>
      <c r="F46" s="332" t="s">
        <v>335</v>
      </c>
      <c r="G46" s="332" t="s">
        <v>1044</v>
      </c>
      <c r="H46" s="331" t="s">
        <v>1045</v>
      </c>
      <c r="I46" s="331" t="s">
        <v>1046</v>
      </c>
      <c r="J46" s="332" t="s">
        <v>1047</v>
      </c>
      <c r="K46" s="332" t="s">
        <v>1048</v>
      </c>
      <c r="L46" s="332" t="s">
        <v>875</v>
      </c>
      <c r="M46" s="332"/>
      <c r="N46" s="332" t="s">
        <v>1049</v>
      </c>
    </row>
    <row r="47" spans="1:14" ht="15" customHeight="1">
      <c r="A47" s="331">
        <v>3280</v>
      </c>
      <c r="B47" s="332" t="s">
        <v>1050</v>
      </c>
      <c r="C47" s="331" t="s">
        <v>704</v>
      </c>
      <c r="D47" s="332" t="s">
        <v>153</v>
      </c>
      <c r="E47" s="331" t="s">
        <v>1043</v>
      </c>
      <c r="F47" s="332" t="s">
        <v>335</v>
      </c>
      <c r="G47" s="332" t="s">
        <v>1051</v>
      </c>
      <c r="H47" s="331" t="s">
        <v>1052</v>
      </c>
      <c r="I47" s="331"/>
      <c r="J47" s="332" t="s">
        <v>1053</v>
      </c>
      <c r="K47" s="332" t="s">
        <v>1054</v>
      </c>
      <c r="L47" s="332" t="s">
        <v>1055</v>
      </c>
      <c r="M47" s="332" t="s">
        <v>1056</v>
      </c>
      <c r="N47" s="332" t="s">
        <v>1057</v>
      </c>
    </row>
    <row r="48" spans="1:14" ht="15" customHeight="1">
      <c r="A48" s="331">
        <v>3315</v>
      </c>
      <c r="B48" s="332" t="s">
        <v>503</v>
      </c>
      <c r="C48" s="331" t="s">
        <v>704</v>
      </c>
      <c r="D48" s="332" t="s">
        <v>153</v>
      </c>
      <c r="E48" s="331" t="s">
        <v>983</v>
      </c>
      <c r="F48" s="332" t="s">
        <v>204</v>
      </c>
      <c r="G48" s="332" t="s">
        <v>1058</v>
      </c>
      <c r="H48" s="331" t="s">
        <v>1059</v>
      </c>
      <c r="I48" s="331"/>
      <c r="J48" s="332" t="s">
        <v>1060</v>
      </c>
      <c r="K48" s="332" t="s">
        <v>1061</v>
      </c>
      <c r="L48" s="332" t="s">
        <v>1062</v>
      </c>
      <c r="M48" s="332" t="s">
        <v>1063</v>
      </c>
      <c r="N48" s="332" t="s">
        <v>1064</v>
      </c>
    </row>
    <row r="49" spans="1:14" ht="15" customHeight="1">
      <c r="A49" s="331">
        <v>3320</v>
      </c>
      <c r="B49" s="332" t="s">
        <v>504</v>
      </c>
      <c r="C49" s="331" t="s">
        <v>704</v>
      </c>
      <c r="D49" s="332" t="s">
        <v>153</v>
      </c>
      <c r="E49" s="331" t="s">
        <v>983</v>
      </c>
      <c r="F49" s="332" t="s">
        <v>204</v>
      </c>
      <c r="G49" s="332" t="s">
        <v>1065</v>
      </c>
      <c r="H49" s="331" t="s">
        <v>1066</v>
      </c>
      <c r="I49" s="331"/>
      <c r="J49" s="332" t="s">
        <v>1067</v>
      </c>
      <c r="K49" s="332" t="s">
        <v>1068</v>
      </c>
      <c r="L49" s="332" t="s">
        <v>1069</v>
      </c>
      <c r="M49" s="332" t="s">
        <v>1070</v>
      </c>
      <c r="N49" s="332" t="s">
        <v>1071</v>
      </c>
    </row>
    <row r="50" spans="1:14" ht="15" customHeight="1">
      <c r="A50" s="331">
        <v>3330</v>
      </c>
      <c r="B50" s="332" t="s">
        <v>505</v>
      </c>
      <c r="C50" s="331" t="s">
        <v>841</v>
      </c>
      <c r="D50" s="332" t="s">
        <v>153</v>
      </c>
      <c r="E50" s="331" t="s">
        <v>1072</v>
      </c>
      <c r="F50" s="332" t="s">
        <v>268</v>
      </c>
      <c r="G50" s="332" t="s">
        <v>1073</v>
      </c>
      <c r="H50" s="331" t="s">
        <v>1074</v>
      </c>
      <c r="I50" s="331"/>
      <c r="J50" s="332" t="s">
        <v>1075</v>
      </c>
      <c r="K50" s="332" t="s">
        <v>1076</v>
      </c>
      <c r="L50" s="332" t="s">
        <v>1077</v>
      </c>
      <c r="M50" s="332" t="s">
        <v>1078</v>
      </c>
      <c r="N50" s="332" t="s">
        <v>1079</v>
      </c>
    </row>
    <row r="51" spans="1:14" ht="15" customHeight="1">
      <c r="A51" s="331">
        <v>3380</v>
      </c>
      <c r="B51" s="332" t="s">
        <v>506</v>
      </c>
      <c r="C51" s="331" t="s">
        <v>704</v>
      </c>
      <c r="D51" s="332" t="s">
        <v>153</v>
      </c>
      <c r="E51" s="331" t="s">
        <v>1080</v>
      </c>
      <c r="F51" s="332" t="s">
        <v>158</v>
      </c>
      <c r="G51" s="332" t="s">
        <v>1081</v>
      </c>
      <c r="H51" s="331" t="s">
        <v>1082</v>
      </c>
      <c r="I51" s="331"/>
      <c r="J51" s="332" t="s">
        <v>1083</v>
      </c>
      <c r="K51" s="332" t="s">
        <v>1084</v>
      </c>
      <c r="L51" s="332" t="s">
        <v>1085</v>
      </c>
      <c r="M51" s="332" t="s">
        <v>1086</v>
      </c>
      <c r="N51" s="332" t="s">
        <v>1087</v>
      </c>
    </row>
    <row r="52" spans="1:14" ht="15" customHeight="1">
      <c r="A52" s="331">
        <v>3390</v>
      </c>
      <c r="B52" s="332" t="s">
        <v>507</v>
      </c>
      <c r="C52" s="331" t="s">
        <v>841</v>
      </c>
      <c r="D52" s="332" t="s">
        <v>153</v>
      </c>
      <c r="E52" s="331" t="s">
        <v>1088</v>
      </c>
      <c r="F52" s="332" t="s">
        <v>154</v>
      </c>
      <c r="G52" s="332" t="s">
        <v>1089</v>
      </c>
      <c r="H52" s="331" t="s">
        <v>763</v>
      </c>
      <c r="I52" s="331"/>
      <c r="J52" s="332" t="s">
        <v>1090</v>
      </c>
      <c r="K52" s="332" t="s">
        <v>1091</v>
      </c>
      <c r="L52" s="332" t="s">
        <v>1092</v>
      </c>
      <c r="M52" s="332" t="s">
        <v>1093</v>
      </c>
      <c r="N52" s="332" t="s">
        <v>1094</v>
      </c>
    </row>
    <row r="53" spans="1:14" ht="15" customHeight="1">
      <c r="A53" s="331">
        <v>3410</v>
      </c>
      <c r="B53" s="332" t="s">
        <v>508</v>
      </c>
      <c r="C53" s="331" t="s">
        <v>704</v>
      </c>
      <c r="D53" s="332" t="s">
        <v>153</v>
      </c>
      <c r="E53" s="331" t="s">
        <v>1095</v>
      </c>
      <c r="F53" s="332" t="s">
        <v>410</v>
      </c>
      <c r="G53" s="332" t="s">
        <v>1096</v>
      </c>
      <c r="H53" s="331" t="s">
        <v>905</v>
      </c>
      <c r="I53" s="331"/>
      <c r="J53" s="332" t="s">
        <v>1097</v>
      </c>
      <c r="K53" s="332" t="s">
        <v>1098</v>
      </c>
      <c r="L53" s="332" t="s">
        <v>1099</v>
      </c>
      <c r="M53" s="332" t="s">
        <v>1100</v>
      </c>
      <c r="N53" s="332" t="s">
        <v>1101</v>
      </c>
    </row>
    <row r="54" spans="1:14" ht="15" customHeight="1">
      <c r="A54" s="331">
        <v>3421</v>
      </c>
      <c r="B54" s="332" t="s">
        <v>509</v>
      </c>
      <c r="C54" s="331" t="s">
        <v>704</v>
      </c>
      <c r="D54" s="332" t="s">
        <v>153</v>
      </c>
      <c r="E54" s="331" t="s">
        <v>1102</v>
      </c>
      <c r="F54" s="332" t="s">
        <v>413</v>
      </c>
      <c r="G54" s="332" t="s">
        <v>746</v>
      </c>
      <c r="H54" s="331" t="s">
        <v>1103</v>
      </c>
      <c r="I54" s="331"/>
      <c r="J54" s="332" t="s">
        <v>1104</v>
      </c>
      <c r="K54" s="332" t="s">
        <v>1105</v>
      </c>
      <c r="L54" s="332" t="s">
        <v>1106</v>
      </c>
      <c r="M54" s="332" t="s">
        <v>1107</v>
      </c>
      <c r="N54" s="332" t="s">
        <v>1108</v>
      </c>
    </row>
    <row r="55" spans="1:14" ht="15" customHeight="1">
      <c r="A55" s="331">
        <v>3431</v>
      </c>
      <c r="B55" s="332" t="s">
        <v>510</v>
      </c>
      <c r="C55" s="331" t="s">
        <v>704</v>
      </c>
      <c r="D55" s="332" t="s">
        <v>153</v>
      </c>
      <c r="E55" s="331" t="s">
        <v>1109</v>
      </c>
      <c r="F55" s="332" t="s">
        <v>416</v>
      </c>
      <c r="G55" s="332" t="s">
        <v>1110</v>
      </c>
      <c r="H55" s="331" t="s">
        <v>1111</v>
      </c>
      <c r="I55" s="331"/>
      <c r="J55" s="332" t="s">
        <v>1112</v>
      </c>
      <c r="K55" s="332" t="s">
        <v>1113</v>
      </c>
      <c r="L55" s="332" t="s">
        <v>1114</v>
      </c>
      <c r="M55" s="332" t="s">
        <v>1115</v>
      </c>
      <c r="N55" s="332" t="s">
        <v>1116</v>
      </c>
    </row>
    <row r="56" spans="1:14" ht="15" customHeight="1">
      <c r="A56" s="331">
        <v>3440</v>
      </c>
      <c r="B56" s="332" t="s">
        <v>1117</v>
      </c>
      <c r="C56" s="331" t="s">
        <v>704</v>
      </c>
      <c r="D56" s="332" t="s">
        <v>153</v>
      </c>
      <c r="E56" s="331" t="s">
        <v>1118</v>
      </c>
      <c r="F56" s="332" t="s">
        <v>441</v>
      </c>
      <c r="G56" s="332" t="s">
        <v>1119</v>
      </c>
      <c r="H56" s="331" t="s">
        <v>1120</v>
      </c>
      <c r="I56" s="331"/>
      <c r="J56" s="332" t="s">
        <v>1121</v>
      </c>
      <c r="K56" s="332" t="s">
        <v>1122</v>
      </c>
      <c r="L56" s="332" t="s">
        <v>1123</v>
      </c>
      <c r="M56" s="332" t="s">
        <v>1124</v>
      </c>
      <c r="N56" s="332" t="s">
        <v>1125</v>
      </c>
    </row>
    <row r="57" spans="1:14" ht="15" customHeight="1">
      <c r="A57" s="331">
        <v>4015</v>
      </c>
      <c r="B57" s="332" t="s">
        <v>511</v>
      </c>
      <c r="C57" s="331" t="s">
        <v>704</v>
      </c>
      <c r="D57" s="332" t="s">
        <v>137</v>
      </c>
      <c r="E57" s="331" t="s">
        <v>1126</v>
      </c>
      <c r="F57" s="332" t="s">
        <v>214</v>
      </c>
      <c r="G57" s="332" t="s">
        <v>1127</v>
      </c>
      <c r="H57" s="331" t="s">
        <v>1128</v>
      </c>
      <c r="I57" s="331"/>
      <c r="J57" s="332" t="s">
        <v>1129</v>
      </c>
      <c r="K57" s="332" t="s">
        <v>1130</v>
      </c>
      <c r="L57" s="332" t="s">
        <v>1131</v>
      </c>
      <c r="M57" s="332" t="s">
        <v>1132</v>
      </c>
      <c r="N57" s="332" t="s">
        <v>1133</v>
      </c>
    </row>
    <row r="58" spans="1:14" ht="15" customHeight="1">
      <c r="A58" s="331">
        <v>4040</v>
      </c>
      <c r="B58" s="332" t="s">
        <v>512</v>
      </c>
      <c r="C58" s="331" t="s">
        <v>704</v>
      </c>
      <c r="D58" s="332" t="s">
        <v>137</v>
      </c>
      <c r="E58" s="331" t="s">
        <v>1134</v>
      </c>
      <c r="F58" s="332" t="s">
        <v>186</v>
      </c>
      <c r="G58" s="332" t="s">
        <v>1135</v>
      </c>
      <c r="H58" s="331" t="s">
        <v>1136</v>
      </c>
      <c r="I58" s="331"/>
      <c r="J58" s="332" t="s">
        <v>1137</v>
      </c>
      <c r="K58" s="332" t="s">
        <v>1138</v>
      </c>
      <c r="L58" s="332" t="s">
        <v>1139</v>
      </c>
      <c r="M58" s="332" t="s">
        <v>1140</v>
      </c>
      <c r="N58" s="332" t="s">
        <v>1141</v>
      </c>
    </row>
    <row r="59" spans="1:14" ht="15" customHeight="1">
      <c r="A59" s="331">
        <v>4070</v>
      </c>
      <c r="B59" s="332" t="s">
        <v>1142</v>
      </c>
      <c r="C59" s="331" t="s">
        <v>704</v>
      </c>
      <c r="D59" s="332" t="s">
        <v>137</v>
      </c>
      <c r="E59" s="331" t="s">
        <v>1143</v>
      </c>
      <c r="F59" s="332" t="s">
        <v>181</v>
      </c>
      <c r="G59" s="332" t="s">
        <v>1144</v>
      </c>
      <c r="H59" s="331" t="s">
        <v>763</v>
      </c>
      <c r="I59" s="331"/>
      <c r="J59" s="332" t="s">
        <v>1145</v>
      </c>
      <c r="K59" s="332" t="s">
        <v>1146</v>
      </c>
      <c r="L59" s="332" t="s">
        <v>1147</v>
      </c>
      <c r="M59" s="332" t="s">
        <v>1148</v>
      </c>
      <c r="N59" s="332" t="s">
        <v>1149</v>
      </c>
    </row>
    <row r="60" spans="1:14" ht="15" customHeight="1">
      <c r="A60" s="331">
        <v>4080</v>
      </c>
      <c r="B60" s="337" t="s">
        <v>1425</v>
      </c>
      <c r="C60" s="331" t="s">
        <v>704</v>
      </c>
      <c r="D60" s="332" t="s">
        <v>137</v>
      </c>
      <c r="E60" s="331" t="s">
        <v>1150</v>
      </c>
      <c r="F60" s="332" t="s">
        <v>213</v>
      </c>
      <c r="G60" s="332" t="s">
        <v>1151</v>
      </c>
      <c r="H60" s="331" t="s">
        <v>888</v>
      </c>
      <c r="I60" s="331"/>
      <c r="J60" s="332" t="s">
        <v>1152</v>
      </c>
      <c r="K60" s="332" t="s">
        <v>1153</v>
      </c>
      <c r="L60" s="332" t="s">
        <v>1154</v>
      </c>
      <c r="M60" s="332" t="s">
        <v>1155</v>
      </c>
      <c r="N60" s="332" t="s">
        <v>1156</v>
      </c>
    </row>
    <row r="61" spans="1:14" ht="15" customHeight="1">
      <c r="A61" s="331">
        <v>4090</v>
      </c>
      <c r="B61" s="332" t="s">
        <v>513</v>
      </c>
      <c r="C61" s="331" t="s">
        <v>704</v>
      </c>
      <c r="D61" s="332" t="s">
        <v>137</v>
      </c>
      <c r="E61" s="331" t="s">
        <v>1157</v>
      </c>
      <c r="F61" s="332" t="s">
        <v>166</v>
      </c>
      <c r="G61" s="332" t="s">
        <v>1151</v>
      </c>
      <c r="H61" s="331" t="s">
        <v>1158</v>
      </c>
      <c r="I61" s="331"/>
      <c r="J61" s="332" t="s">
        <v>1159</v>
      </c>
      <c r="K61" s="332" t="s">
        <v>1160</v>
      </c>
      <c r="L61" s="332" t="s">
        <v>1161</v>
      </c>
      <c r="M61" s="332" t="s">
        <v>1162</v>
      </c>
      <c r="N61" s="332" t="s">
        <v>1163</v>
      </c>
    </row>
    <row r="62" spans="1:14" ht="15" customHeight="1">
      <c r="A62" s="331">
        <v>4140</v>
      </c>
      <c r="B62" s="332" t="s">
        <v>514</v>
      </c>
      <c r="C62" s="331" t="s">
        <v>704</v>
      </c>
      <c r="D62" s="332" t="s">
        <v>137</v>
      </c>
      <c r="E62" s="331" t="s">
        <v>1164</v>
      </c>
      <c r="F62" s="332" t="s">
        <v>139</v>
      </c>
      <c r="G62" s="332" t="s">
        <v>1165</v>
      </c>
      <c r="H62" s="331" t="s">
        <v>1166</v>
      </c>
      <c r="I62" s="331"/>
      <c r="J62" s="332" t="s">
        <v>1167</v>
      </c>
      <c r="K62" s="332" t="s">
        <v>1168</v>
      </c>
      <c r="L62" s="332" t="s">
        <v>1169</v>
      </c>
      <c r="M62" s="332" t="s">
        <v>1170</v>
      </c>
      <c r="N62" s="332" t="s">
        <v>1171</v>
      </c>
    </row>
    <row r="63" spans="1:14" ht="15" customHeight="1">
      <c r="A63" s="331">
        <v>4150</v>
      </c>
      <c r="B63" s="332" t="s">
        <v>1172</v>
      </c>
      <c r="C63" s="331" t="s">
        <v>704</v>
      </c>
      <c r="D63" s="332" t="s">
        <v>137</v>
      </c>
      <c r="E63" s="331" t="s">
        <v>1164</v>
      </c>
      <c r="F63" s="332" t="s">
        <v>139</v>
      </c>
      <c r="G63" s="332" t="s">
        <v>1173</v>
      </c>
      <c r="H63" s="331" t="s">
        <v>1174</v>
      </c>
      <c r="I63" s="331"/>
      <c r="J63" s="332" t="s">
        <v>1175</v>
      </c>
      <c r="K63" s="332" t="s">
        <v>1176</v>
      </c>
      <c r="L63" s="332" t="s">
        <v>1177</v>
      </c>
      <c r="M63" s="332" t="s">
        <v>1178</v>
      </c>
      <c r="N63" s="332" t="s">
        <v>1179</v>
      </c>
    </row>
    <row r="64" spans="1:14" ht="15" customHeight="1">
      <c r="A64" s="331">
        <v>4160</v>
      </c>
      <c r="B64" s="332" t="s">
        <v>515</v>
      </c>
      <c r="C64" s="331" t="s">
        <v>704</v>
      </c>
      <c r="D64" s="332" t="s">
        <v>137</v>
      </c>
      <c r="E64" s="331" t="s">
        <v>1164</v>
      </c>
      <c r="F64" s="332" t="s">
        <v>139</v>
      </c>
      <c r="G64" s="332" t="s">
        <v>1180</v>
      </c>
      <c r="H64" s="331" t="s">
        <v>1181</v>
      </c>
      <c r="I64" s="331"/>
      <c r="J64" s="332" t="s">
        <v>1182</v>
      </c>
      <c r="K64" s="332" t="s">
        <v>1183</v>
      </c>
      <c r="L64" s="332" t="s">
        <v>1184</v>
      </c>
      <c r="M64" s="332" t="s">
        <v>1185</v>
      </c>
      <c r="N64" s="332" t="s">
        <v>1186</v>
      </c>
    </row>
    <row r="65" spans="1:14" ht="15" customHeight="1">
      <c r="A65" s="331">
        <v>4190</v>
      </c>
      <c r="B65" s="332" t="s">
        <v>516</v>
      </c>
      <c r="C65" s="331" t="s">
        <v>704</v>
      </c>
      <c r="D65" s="332" t="s">
        <v>137</v>
      </c>
      <c r="E65" s="331" t="s">
        <v>1187</v>
      </c>
      <c r="F65" s="332" t="s">
        <v>246</v>
      </c>
      <c r="G65" s="332" t="s">
        <v>1188</v>
      </c>
      <c r="H65" s="331" t="s">
        <v>905</v>
      </c>
      <c r="I65" s="331"/>
      <c r="J65" s="332" t="s">
        <v>1189</v>
      </c>
      <c r="K65" s="332" t="s">
        <v>1190</v>
      </c>
      <c r="L65" s="332" t="s">
        <v>1191</v>
      </c>
      <c r="M65" s="332" t="s">
        <v>1192</v>
      </c>
      <c r="N65" s="332" t="s">
        <v>1193</v>
      </c>
    </row>
    <row r="66" spans="1:14" ht="15" customHeight="1">
      <c r="A66" s="331">
        <v>4200</v>
      </c>
      <c r="B66" s="332" t="s">
        <v>517</v>
      </c>
      <c r="C66" s="331" t="s">
        <v>841</v>
      </c>
      <c r="D66" s="332" t="s">
        <v>137</v>
      </c>
      <c r="E66" s="331" t="s">
        <v>1194</v>
      </c>
      <c r="F66" s="332" t="s">
        <v>138</v>
      </c>
      <c r="G66" s="332" t="s">
        <v>1195</v>
      </c>
      <c r="H66" s="331" t="s">
        <v>1174</v>
      </c>
      <c r="I66" s="331"/>
      <c r="J66" s="332" t="s">
        <v>1196</v>
      </c>
      <c r="K66" s="332" t="s">
        <v>1197</v>
      </c>
      <c r="L66" s="332" t="s">
        <v>1198</v>
      </c>
      <c r="M66" s="332" t="s">
        <v>1199</v>
      </c>
      <c r="N66" s="332" t="s">
        <v>1200</v>
      </c>
    </row>
    <row r="67" spans="1:14" ht="15" customHeight="1">
      <c r="A67" s="331">
        <v>4220</v>
      </c>
      <c r="B67" s="332" t="s">
        <v>518</v>
      </c>
      <c r="C67" s="331" t="s">
        <v>704</v>
      </c>
      <c r="D67" s="332" t="s">
        <v>137</v>
      </c>
      <c r="E67" s="331" t="s">
        <v>1201</v>
      </c>
      <c r="F67" s="332" t="s">
        <v>321</v>
      </c>
      <c r="G67" s="332" t="s">
        <v>1202</v>
      </c>
      <c r="H67" s="331" t="s">
        <v>715</v>
      </c>
      <c r="I67" s="331"/>
      <c r="J67" s="332" t="s">
        <v>1203</v>
      </c>
      <c r="K67" s="332" t="s">
        <v>1204</v>
      </c>
      <c r="L67" s="332" t="s">
        <v>1205</v>
      </c>
      <c r="M67" s="332" t="s">
        <v>1206</v>
      </c>
      <c r="N67" s="332" t="s">
        <v>1207</v>
      </c>
    </row>
    <row r="68" spans="1:14" ht="15" customHeight="1">
      <c r="A68" s="331">
        <v>4230</v>
      </c>
      <c r="B68" s="337" t="s">
        <v>1425</v>
      </c>
      <c r="C68" s="331" t="s">
        <v>704</v>
      </c>
      <c r="D68" s="332" t="s">
        <v>137</v>
      </c>
      <c r="E68" s="331" t="s">
        <v>1208</v>
      </c>
      <c r="F68" s="332" t="s">
        <v>337</v>
      </c>
      <c r="G68" s="332" t="s">
        <v>1209</v>
      </c>
      <c r="H68" s="331" t="s">
        <v>1210</v>
      </c>
      <c r="I68" s="331"/>
      <c r="J68" s="332" t="s">
        <v>1211</v>
      </c>
      <c r="K68" s="332" t="s">
        <v>1212</v>
      </c>
      <c r="L68" s="332" t="s">
        <v>1213</v>
      </c>
      <c r="M68" s="332" t="s">
        <v>1214</v>
      </c>
      <c r="N68" s="332" t="s">
        <v>1215</v>
      </c>
    </row>
    <row r="69" spans="1:14" ht="15" customHeight="1">
      <c r="A69" s="331">
        <v>4240</v>
      </c>
      <c r="B69" s="332" t="s">
        <v>519</v>
      </c>
      <c r="C69" s="331" t="s">
        <v>704</v>
      </c>
      <c r="D69" s="332" t="s">
        <v>137</v>
      </c>
      <c r="E69" s="331" t="s">
        <v>1216</v>
      </c>
      <c r="F69" s="332" t="s">
        <v>352</v>
      </c>
      <c r="G69" s="332" t="s">
        <v>1217</v>
      </c>
      <c r="H69" s="331" t="s">
        <v>905</v>
      </c>
      <c r="I69" s="331"/>
      <c r="J69" s="332" t="s">
        <v>1218</v>
      </c>
      <c r="K69" s="332" t="s">
        <v>1219</v>
      </c>
      <c r="L69" s="332" t="s">
        <v>1220</v>
      </c>
      <c r="M69" s="332" t="s">
        <v>1221</v>
      </c>
      <c r="N69" s="332" t="s">
        <v>1222</v>
      </c>
    </row>
    <row r="70" spans="1:14" ht="15" customHeight="1">
      <c r="A70" s="331">
        <v>4260</v>
      </c>
      <c r="B70" s="332" t="s">
        <v>520</v>
      </c>
      <c r="C70" s="331" t="s">
        <v>704</v>
      </c>
      <c r="D70" s="332" t="s">
        <v>137</v>
      </c>
      <c r="E70" s="331" t="s">
        <v>1223</v>
      </c>
      <c r="F70" s="332" t="s">
        <v>182</v>
      </c>
      <c r="G70" s="332" t="s">
        <v>1224</v>
      </c>
      <c r="H70" s="331" t="s">
        <v>1225</v>
      </c>
      <c r="I70" s="331"/>
      <c r="J70" s="332" t="s">
        <v>1226</v>
      </c>
      <c r="K70" s="332" t="s">
        <v>1227</v>
      </c>
      <c r="L70" s="332" t="s">
        <v>1228</v>
      </c>
      <c r="M70" s="332" t="s">
        <v>1229</v>
      </c>
      <c r="N70" s="332" t="s">
        <v>1230</v>
      </c>
    </row>
    <row r="71" spans="1:14" ht="15" customHeight="1">
      <c r="A71" s="331">
        <v>4270</v>
      </c>
      <c r="B71" s="332" t="s">
        <v>521</v>
      </c>
      <c r="C71" s="331" t="s">
        <v>841</v>
      </c>
      <c r="D71" s="332" t="s">
        <v>137</v>
      </c>
      <c r="E71" s="331" t="s">
        <v>1231</v>
      </c>
      <c r="F71" s="332" t="s">
        <v>200</v>
      </c>
      <c r="G71" s="332" t="s">
        <v>1232</v>
      </c>
      <c r="H71" s="331" t="s">
        <v>919</v>
      </c>
      <c r="I71" s="331"/>
      <c r="J71" s="332" t="s">
        <v>1233</v>
      </c>
      <c r="K71" s="332" t="s">
        <v>1234</v>
      </c>
      <c r="L71" s="332" t="s">
        <v>1235</v>
      </c>
      <c r="M71" s="332" t="s">
        <v>1236</v>
      </c>
      <c r="N71" s="332" t="s">
        <v>1237</v>
      </c>
    </row>
    <row r="72" spans="1:14" ht="15" customHeight="1">
      <c r="A72" s="331">
        <v>4280</v>
      </c>
      <c r="B72" s="332" t="s">
        <v>522</v>
      </c>
      <c r="C72" s="331" t="s">
        <v>704</v>
      </c>
      <c r="D72" s="332" t="s">
        <v>137</v>
      </c>
      <c r="E72" s="331" t="s">
        <v>1238</v>
      </c>
      <c r="F72" s="332" t="s">
        <v>373</v>
      </c>
      <c r="G72" s="332" t="s">
        <v>1239</v>
      </c>
      <c r="H72" s="331" t="s">
        <v>1136</v>
      </c>
      <c r="I72" s="331" t="s">
        <v>905</v>
      </c>
      <c r="J72" s="332" t="s">
        <v>1240</v>
      </c>
      <c r="K72" s="332" t="s">
        <v>1241</v>
      </c>
      <c r="L72" s="332" t="s">
        <v>1242</v>
      </c>
      <c r="M72" s="332"/>
      <c r="N72" s="332" t="s">
        <v>1243</v>
      </c>
    </row>
    <row r="73" spans="1:14" ht="15" customHeight="1">
      <c r="A73" s="331">
        <v>4290</v>
      </c>
      <c r="B73" s="332" t="s">
        <v>523</v>
      </c>
      <c r="C73" s="331" t="s">
        <v>704</v>
      </c>
      <c r="D73" s="332" t="s">
        <v>137</v>
      </c>
      <c r="E73" s="331" t="s">
        <v>1143</v>
      </c>
      <c r="F73" s="332" t="s">
        <v>181</v>
      </c>
      <c r="G73" s="332" t="s">
        <v>1244</v>
      </c>
      <c r="H73" s="331" t="s">
        <v>763</v>
      </c>
      <c r="I73" s="331" t="s">
        <v>1023</v>
      </c>
      <c r="J73" s="332" t="s">
        <v>1245</v>
      </c>
      <c r="K73" s="332" t="s">
        <v>1246</v>
      </c>
      <c r="L73" s="332" t="s">
        <v>1247</v>
      </c>
      <c r="M73" s="332" t="s">
        <v>1248</v>
      </c>
      <c r="N73" s="332" t="s">
        <v>1249</v>
      </c>
    </row>
    <row r="74" spans="1:14" ht="15" customHeight="1">
      <c r="A74" s="331">
        <v>4300</v>
      </c>
      <c r="B74" s="337" t="s">
        <v>1427</v>
      </c>
      <c r="C74" s="331" t="s">
        <v>704</v>
      </c>
      <c r="D74" s="332" t="s">
        <v>137</v>
      </c>
      <c r="E74" s="331" t="s">
        <v>1250</v>
      </c>
      <c r="F74" s="332" t="s">
        <v>383</v>
      </c>
      <c r="G74" s="332" t="s">
        <v>1251</v>
      </c>
      <c r="H74" s="331" t="s">
        <v>780</v>
      </c>
      <c r="I74" s="331"/>
      <c r="J74" s="332" t="s">
        <v>1252</v>
      </c>
      <c r="K74" s="332" t="s">
        <v>1253</v>
      </c>
      <c r="L74" s="332" t="s">
        <v>1254</v>
      </c>
      <c r="M74" s="332" t="s">
        <v>1255</v>
      </c>
      <c r="N74" s="332" t="s">
        <v>1256</v>
      </c>
    </row>
    <row r="75" spans="1:14" ht="15" customHeight="1">
      <c r="A75" s="331">
        <v>4310</v>
      </c>
      <c r="B75" s="332" t="s">
        <v>524</v>
      </c>
      <c r="C75" s="331" t="s">
        <v>704</v>
      </c>
      <c r="D75" s="332" t="s">
        <v>137</v>
      </c>
      <c r="E75" s="331" t="s">
        <v>1257</v>
      </c>
      <c r="F75" s="332" t="s">
        <v>185</v>
      </c>
      <c r="G75" s="332" t="s">
        <v>1258</v>
      </c>
      <c r="H75" s="331" t="s">
        <v>1259</v>
      </c>
      <c r="I75" s="331"/>
      <c r="J75" s="332" t="s">
        <v>1260</v>
      </c>
      <c r="K75" s="332" t="s">
        <v>1261</v>
      </c>
      <c r="L75" s="332" t="s">
        <v>1262</v>
      </c>
      <c r="M75" s="332" t="s">
        <v>1263</v>
      </c>
      <c r="N75" s="332" t="s">
        <v>1264</v>
      </c>
    </row>
    <row r="76" spans="1:14" ht="15" customHeight="1">
      <c r="A76" s="331">
        <v>4320</v>
      </c>
      <c r="B76" s="337" t="s">
        <v>1427</v>
      </c>
      <c r="C76" s="331" t="s">
        <v>704</v>
      </c>
      <c r="D76" s="332" t="s">
        <v>137</v>
      </c>
      <c r="E76" s="331" t="s">
        <v>1265</v>
      </c>
      <c r="F76" s="332" t="s">
        <v>395</v>
      </c>
      <c r="G76" s="332" t="s">
        <v>1266</v>
      </c>
      <c r="H76" s="331" t="s">
        <v>905</v>
      </c>
      <c r="I76" s="331"/>
      <c r="J76" s="332" t="s">
        <v>1267</v>
      </c>
      <c r="K76" s="332" t="s">
        <v>1268</v>
      </c>
      <c r="L76" s="332" t="s">
        <v>1269</v>
      </c>
      <c r="M76" s="332" t="s">
        <v>1255</v>
      </c>
      <c r="N76" s="332" t="s">
        <v>1270</v>
      </c>
    </row>
    <row r="77" spans="1:14" ht="15" customHeight="1">
      <c r="A77" s="331">
        <v>4340</v>
      </c>
      <c r="B77" s="332" t="s">
        <v>525</v>
      </c>
      <c r="C77" s="331" t="s">
        <v>704</v>
      </c>
      <c r="D77" s="332" t="s">
        <v>137</v>
      </c>
      <c r="E77" s="331" t="s">
        <v>1271</v>
      </c>
      <c r="F77" s="332" t="s">
        <v>415</v>
      </c>
      <c r="G77" s="332" t="s">
        <v>1272</v>
      </c>
      <c r="H77" s="331" t="s">
        <v>1273</v>
      </c>
      <c r="I77" s="331" t="s">
        <v>1274</v>
      </c>
      <c r="J77" s="332" t="s">
        <v>1275</v>
      </c>
      <c r="K77" s="332" t="s">
        <v>1276</v>
      </c>
      <c r="L77" s="332" t="s">
        <v>1277</v>
      </c>
      <c r="M77" s="332" t="s">
        <v>1278</v>
      </c>
      <c r="N77" s="332" t="s">
        <v>1279</v>
      </c>
    </row>
    <row r="78" spans="1:14" ht="15" customHeight="1">
      <c r="A78" s="331">
        <v>4350</v>
      </c>
      <c r="B78" s="332" t="s">
        <v>526</v>
      </c>
      <c r="C78" s="331" t="s">
        <v>704</v>
      </c>
      <c r="D78" s="332" t="s">
        <v>137</v>
      </c>
      <c r="E78" s="331" t="s">
        <v>1280</v>
      </c>
      <c r="F78" s="332" t="s">
        <v>429</v>
      </c>
      <c r="G78" s="332" t="s">
        <v>1281</v>
      </c>
      <c r="H78" s="331" t="s">
        <v>1282</v>
      </c>
      <c r="I78" s="331" t="s">
        <v>1283</v>
      </c>
      <c r="J78" s="332" t="s">
        <v>1284</v>
      </c>
      <c r="K78" s="332" t="s">
        <v>1285</v>
      </c>
      <c r="L78" s="332" t="s">
        <v>1286</v>
      </c>
      <c r="M78" s="332" t="s">
        <v>1287</v>
      </c>
      <c r="N78" s="332" t="s">
        <v>1288</v>
      </c>
    </row>
    <row r="79" spans="1:14" ht="15" customHeight="1">
      <c r="A79" s="331">
        <v>4360</v>
      </c>
      <c r="B79" s="332" t="s">
        <v>1289</v>
      </c>
      <c r="C79" s="331" t="s">
        <v>841</v>
      </c>
      <c r="D79" s="332" t="s">
        <v>137</v>
      </c>
      <c r="E79" s="331" t="s">
        <v>1290</v>
      </c>
      <c r="F79" s="332" t="s">
        <v>430</v>
      </c>
      <c r="G79" s="332" t="s">
        <v>1291</v>
      </c>
      <c r="H79" s="331" t="s">
        <v>1292</v>
      </c>
      <c r="I79" s="331"/>
      <c r="J79" s="332" t="s">
        <v>1293</v>
      </c>
      <c r="K79" s="332" t="s">
        <v>1294</v>
      </c>
      <c r="L79" s="332" t="s">
        <v>1295</v>
      </c>
      <c r="M79" s="332" t="s">
        <v>1296</v>
      </c>
      <c r="N79" s="332" t="s">
        <v>1297</v>
      </c>
    </row>
    <row r="80" spans="1:14" ht="15" customHeight="1">
      <c r="A80" s="331">
        <v>5050</v>
      </c>
      <c r="B80" s="332" t="s">
        <v>584</v>
      </c>
      <c r="C80" s="331"/>
      <c r="D80" s="332"/>
      <c r="E80" s="331"/>
      <c r="F80" s="332"/>
      <c r="G80" s="332"/>
      <c r="H80" s="331"/>
      <c r="I80" s="331"/>
      <c r="J80" s="332"/>
      <c r="K80" s="332"/>
      <c r="L80" s="332"/>
      <c r="M80" s="332"/>
      <c r="N80" s="332"/>
    </row>
    <row r="81" spans="1:14" ht="15" customHeight="1">
      <c r="A81" s="331">
        <v>7000</v>
      </c>
      <c r="B81" s="332" t="s">
        <v>527</v>
      </c>
      <c r="C81" s="331" t="s">
        <v>704</v>
      </c>
      <c r="D81" s="332" t="s">
        <v>150</v>
      </c>
      <c r="E81" s="331" t="s">
        <v>1298</v>
      </c>
      <c r="F81" s="332" t="s">
        <v>178</v>
      </c>
      <c r="G81" s="332" t="s">
        <v>1299</v>
      </c>
      <c r="H81" s="331" t="s">
        <v>1300</v>
      </c>
      <c r="I81" s="331"/>
      <c r="J81" s="332" t="s">
        <v>1301</v>
      </c>
      <c r="K81" s="332" t="s">
        <v>1302</v>
      </c>
      <c r="L81" s="332" t="s">
        <v>1303</v>
      </c>
      <c r="M81" s="332" t="s">
        <v>1304</v>
      </c>
      <c r="N81" s="332" t="s">
        <v>1305</v>
      </c>
    </row>
    <row r="82" spans="1:14" ht="15" customHeight="1">
      <c r="A82" s="331">
        <v>7015</v>
      </c>
      <c r="B82" s="332" t="s">
        <v>528</v>
      </c>
      <c r="C82" s="331" t="s">
        <v>704</v>
      </c>
      <c r="D82" s="332" t="s">
        <v>150</v>
      </c>
      <c r="E82" s="331" t="s">
        <v>1306</v>
      </c>
      <c r="F82" s="332" t="s">
        <v>328</v>
      </c>
      <c r="G82" s="332" t="s">
        <v>1307</v>
      </c>
      <c r="H82" s="331" t="s">
        <v>1308</v>
      </c>
      <c r="I82" s="331"/>
      <c r="J82" s="332" t="s">
        <v>1309</v>
      </c>
      <c r="K82" s="332" t="s">
        <v>1310</v>
      </c>
      <c r="L82" s="332" t="s">
        <v>1311</v>
      </c>
      <c r="M82" s="332" t="s">
        <v>1312</v>
      </c>
      <c r="N82" s="332" t="s">
        <v>1313</v>
      </c>
    </row>
    <row r="83" spans="1:14" ht="15" customHeight="1">
      <c r="A83" s="331">
        <v>7030</v>
      </c>
      <c r="B83" s="332" t="s">
        <v>529</v>
      </c>
      <c r="C83" s="331" t="s">
        <v>704</v>
      </c>
      <c r="D83" s="332" t="s">
        <v>150</v>
      </c>
      <c r="E83" s="331" t="s">
        <v>1314</v>
      </c>
      <c r="F83" s="332" t="s">
        <v>233</v>
      </c>
      <c r="G83" s="332" t="s">
        <v>1315</v>
      </c>
      <c r="H83" s="331" t="s">
        <v>1007</v>
      </c>
      <c r="I83" s="331"/>
      <c r="J83" s="332" t="s">
        <v>1316</v>
      </c>
      <c r="K83" s="332" t="s">
        <v>1317</v>
      </c>
      <c r="L83" s="332" t="s">
        <v>1318</v>
      </c>
      <c r="M83" s="332" t="s">
        <v>1319</v>
      </c>
      <c r="N83" s="332" t="s">
        <v>1320</v>
      </c>
    </row>
    <row r="84" spans="1:14" ht="15" customHeight="1">
      <c r="A84" s="331">
        <v>7050</v>
      </c>
      <c r="B84" s="332" t="s">
        <v>1321</v>
      </c>
      <c r="C84" s="331" t="s">
        <v>704</v>
      </c>
      <c r="D84" s="332" t="s">
        <v>150</v>
      </c>
      <c r="E84" s="331" t="s">
        <v>1322</v>
      </c>
      <c r="F84" s="332" t="s">
        <v>162</v>
      </c>
      <c r="G84" s="332" t="s">
        <v>1323</v>
      </c>
      <c r="H84" s="331" t="s">
        <v>1324</v>
      </c>
      <c r="I84" s="331"/>
      <c r="J84" s="332" t="s">
        <v>1325</v>
      </c>
      <c r="K84" s="332" t="s">
        <v>1326</v>
      </c>
      <c r="L84" s="332" t="s">
        <v>1327</v>
      </c>
      <c r="M84" s="332" t="s">
        <v>1328</v>
      </c>
      <c r="N84" s="332" t="s">
        <v>1329</v>
      </c>
    </row>
    <row r="85" spans="1:14" ht="15" customHeight="1">
      <c r="A85" s="331">
        <v>7055</v>
      </c>
      <c r="B85" s="332" t="s">
        <v>530</v>
      </c>
      <c r="C85" s="331" t="s">
        <v>704</v>
      </c>
      <c r="D85" s="332" t="s">
        <v>150</v>
      </c>
      <c r="E85" s="331" t="s">
        <v>1322</v>
      </c>
      <c r="F85" s="332" t="s">
        <v>162</v>
      </c>
      <c r="G85" s="332" t="s">
        <v>1323</v>
      </c>
      <c r="H85" s="331" t="s">
        <v>1330</v>
      </c>
      <c r="I85" s="331"/>
      <c r="J85" s="332" t="s">
        <v>1331</v>
      </c>
      <c r="K85" s="332" t="s">
        <v>1332</v>
      </c>
      <c r="L85" s="332" t="s">
        <v>1333</v>
      </c>
      <c r="M85" s="332" t="s">
        <v>1334</v>
      </c>
      <c r="N85" s="332" t="s">
        <v>1335</v>
      </c>
    </row>
    <row r="86" spans="1:14" ht="15" customHeight="1">
      <c r="A86" s="331">
        <v>7064</v>
      </c>
      <c r="B86" s="332" t="s">
        <v>531</v>
      </c>
      <c r="C86" s="331" t="s">
        <v>704</v>
      </c>
      <c r="D86" s="332" t="s">
        <v>150</v>
      </c>
      <c r="E86" s="331" t="s">
        <v>1336</v>
      </c>
      <c r="F86" s="332" t="s">
        <v>272</v>
      </c>
      <c r="G86" s="332" t="s">
        <v>1337</v>
      </c>
      <c r="H86" s="331" t="s">
        <v>977</v>
      </c>
      <c r="I86" s="331"/>
      <c r="J86" s="332" t="s">
        <v>1338</v>
      </c>
      <c r="K86" s="332" t="s">
        <v>1339</v>
      </c>
      <c r="L86" s="332" t="s">
        <v>1340</v>
      </c>
      <c r="M86" s="332" t="s">
        <v>1341</v>
      </c>
      <c r="N86" s="332" t="s">
        <v>1342</v>
      </c>
    </row>
    <row r="87" spans="1:14" ht="15" customHeight="1">
      <c r="A87" s="331">
        <v>7070</v>
      </c>
      <c r="B87" s="332" t="s">
        <v>532</v>
      </c>
      <c r="C87" s="331" t="s">
        <v>704</v>
      </c>
      <c r="D87" s="332" t="s">
        <v>150</v>
      </c>
      <c r="E87" s="331" t="s">
        <v>1343</v>
      </c>
      <c r="F87" s="332" t="s">
        <v>190</v>
      </c>
      <c r="G87" s="332" t="s">
        <v>1344</v>
      </c>
      <c r="H87" s="331" t="s">
        <v>1308</v>
      </c>
      <c r="I87" s="331"/>
      <c r="J87" s="332" t="s">
        <v>1345</v>
      </c>
      <c r="K87" s="332" t="s">
        <v>1346</v>
      </c>
      <c r="L87" s="332" t="s">
        <v>1347</v>
      </c>
      <c r="M87" s="332" t="s">
        <v>1348</v>
      </c>
      <c r="N87" s="332" t="s">
        <v>1349</v>
      </c>
    </row>
    <row r="88" spans="1:14" ht="15" customHeight="1">
      <c r="A88" s="331">
        <v>7090</v>
      </c>
      <c r="B88" s="332" t="s">
        <v>533</v>
      </c>
      <c r="C88" s="331" t="s">
        <v>704</v>
      </c>
      <c r="D88" s="332" t="s">
        <v>150</v>
      </c>
      <c r="E88" s="331" t="s">
        <v>1350</v>
      </c>
      <c r="F88" s="332" t="s">
        <v>389</v>
      </c>
      <c r="G88" s="332" t="s">
        <v>1351</v>
      </c>
      <c r="H88" s="331" t="s">
        <v>1324</v>
      </c>
      <c r="I88" s="331"/>
      <c r="J88" s="332" t="s">
        <v>1352</v>
      </c>
      <c r="K88" s="332" t="s">
        <v>1353</v>
      </c>
      <c r="L88" s="332" t="s">
        <v>1354</v>
      </c>
      <c r="M88" s="332" t="s">
        <v>1355</v>
      </c>
      <c r="N88" s="332" t="s">
        <v>1356</v>
      </c>
    </row>
    <row r="89" spans="1:14" ht="15" customHeight="1">
      <c r="A89" s="331">
        <v>7110</v>
      </c>
      <c r="B89" s="332" t="s">
        <v>1357</v>
      </c>
      <c r="C89" s="331" t="s">
        <v>704</v>
      </c>
      <c r="D89" s="332" t="s">
        <v>150</v>
      </c>
      <c r="E89" s="331" t="s">
        <v>1358</v>
      </c>
      <c r="F89" s="332" t="s">
        <v>151</v>
      </c>
      <c r="G89" s="332" t="s">
        <v>1359</v>
      </c>
      <c r="H89" s="331" t="s">
        <v>771</v>
      </c>
      <c r="I89" s="331" t="s">
        <v>905</v>
      </c>
      <c r="J89" s="332" t="s">
        <v>1360</v>
      </c>
      <c r="K89" s="332" t="s">
        <v>1361</v>
      </c>
      <c r="L89" s="332" t="s">
        <v>1362</v>
      </c>
      <c r="M89" s="332" t="s">
        <v>1363</v>
      </c>
      <c r="N89" s="332" t="s">
        <v>1364</v>
      </c>
    </row>
    <row r="90" spans="1:14" ht="15" customHeight="1">
      <c r="A90" s="331">
        <v>9520</v>
      </c>
      <c r="B90" s="332" t="s">
        <v>534</v>
      </c>
      <c r="C90" s="331" t="s">
        <v>1365</v>
      </c>
      <c r="D90" s="332" t="s">
        <v>146</v>
      </c>
      <c r="E90" s="331" t="s">
        <v>824</v>
      </c>
      <c r="F90" s="332" t="s">
        <v>367</v>
      </c>
      <c r="G90" s="332" t="s">
        <v>825</v>
      </c>
      <c r="H90" s="331" t="s">
        <v>826</v>
      </c>
      <c r="I90" s="331" t="s">
        <v>1366</v>
      </c>
      <c r="J90" s="332" t="s">
        <v>1367</v>
      </c>
      <c r="K90" s="332" t="s">
        <v>1368</v>
      </c>
      <c r="L90" s="332" t="s">
        <v>875</v>
      </c>
      <c r="M90" s="332" t="s">
        <v>1369</v>
      </c>
      <c r="N90" s="332" t="s">
        <v>1370</v>
      </c>
    </row>
    <row r="91" spans="1:14" ht="15" customHeight="1">
      <c r="A91" s="331">
        <v>9530</v>
      </c>
      <c r="B91" s="332" t="s">
        <v>535</v>
      </c>
      <c r="C91" s="331" t="s">
        <v>1365</v>
      </c>
      <c r="D91" s="332" t="s">
        <v>146</v>
      </c>
      <c r="E91" s="331" t="s">
        <v>1371</v>
      </c>
      <c r="F91" s="332" t="s">
        <v>146</v>
      </c>
      <c r="G91" s="332" t="s">
        <v>1372</v>
      </c>
      <c r="H91" s="331" t="s">
        <v>1373</v>
      </c>
      <c r="I91" s="331"/>
      <c r="J91" s="332" t="s">
        <v>1374</v>
      </c>
      <c r="K91" s="332" t="s">
        <v>1375</v>
      </c>
      <c r="L91" s="332" t="s">
        <v>1376</v>
      </c>
      <c r="M91" s="332" t="s">
        <v>1377</v>
      </c>
      <c r="N91" s="332" t="s">
        <v>1378</v>
      </c>
    </row>
    <row r="92" spans="1:14" ht="15" customHeight="1">
      <c r="A92" s="331">
        <v>9540</v>
      </c>
      <c r="B92" s="332" t="s">
        <v>1379</v>
      </c>
      <c r="C92" s="331" t="s">
        <v>1365</v>
      </c>
      <c r="D92" s="332" t="s">
        <v>146</v>
      </c>
      <c r="E92" s="331" t="s">
        <v>788</v>
      </c>
      <c r="F92" s="332" t="s">
        <v>179</v>
      </c>
      <c r="G92" s="332" t="s">
        <v>789</v>
      </c>
      <c r="H92" s="331" t="s">
        <v>747</v>
      </c>
      <c r="I92" s="331"/>
      <c r="J92" s="332" t="s">
        <v>1380</v>
      </c>
      <c r="K92" s="332" t="s">
        <v>1381</v>
      </c>
      <c r="L92" s="332" t="s">
        <v>1382</v>
      </c>
      <c r="M92" s="332" t="s">
        <v>1383</v>
      </c>
      <c r="N92" s="332" t="s">
        <v>1384</v>
      </c>
    </row>
    <row r="93" spans="1:14" ht="15" customHeight="1">
      <c r="A93" s="331">
        <v>9560</v>
      </c>
      <c r="B93" s="332" t="s">
        <v>536</v>
      </c>
      <c r="C93" s="331" t="s">
        <v>1365</v>
      </c>
      <c r="D93" s="332" t="s">
        <v>146</v>
      </c>
      <c r="E93" s="331" t="s">
        <v>850</v>
      </c>
      <c r="F93" s="332" t="s">
        <v>414</v>
      </c>
      <c r="G93" s="332" t="s">
        <v>1385</v>
      </c>
      <c r="H93" s="331" t="s">
        <v>905</v>
      </c>
      <c r="I93" s="331"/>
      <c r="J93" s="332" t="s">
        <v>1386</v>
      </c>
      <c r="K93" s="332" t="s">
        <v>1387</v>
      </c>
      <c r="L93" s="332" t="s">
        <v>1388</v>
      </c>
      <c r="M93" s="332" t="s">
        <v>1389</v>
      </c>
      <c r="N93" s="332" t="s">
        <v>1390</v>
      </c>
    </row>
    <row r="94" spans="1:14" ht="15" customHeight="1">
      <c r="A94" s="331">
        <v>9710</v>
      </c>
      <c r="B94" s="332" t="s">
        <v>537</v>
      </c>
      <c r="C94" s="331" t="s">
        <v>1365</v>
      </c>
      <c r="D94" s="332" t="s">
        <v>150</v>
      </c>
      <c r="E94" s="331" t="s">
        <v>1298</v>
      </c>
      <c r="F94" s="332" t="s">
        <v>178</v>
      </c>
      <c r="G94" s="332" t="s">
        <v>1391</v>
      </c>
      <c r="H94" s="331" t="s">
        <v>905</v>
      </c>
      <c r="I94" s="331"/>
      <c r="J94" s="332" t="s">
        <v>1392</v>
      </c>
      <c r="K94" s="332" t="s">
        <v>1393</v>
      </c>
      <c r="L94" s="332" t="s">
        <v>1394</v>
      </c>
      <c r="M94" s="332" t="s">
        <v>1395</v>
      </c>
      <c r="N94" s="332" t="s">
        <v>1396</v>
      </c>
    </row>
    <row r="95" spans="1:14" ht="15" customHeight="1">
      <c r="A95" s="331">
        <v>9760</v>
      </c>
      <c r="B95" s="332" t="s">
        <v>538</v>
      </c>
      <c r="C95" s="331" t="s">
        <v>1365</v>
      </c>
      <c r="D95" s="332" t="s">
        <v>150</v>
      </c>
      <c r="E95" s="331" t="s">
        <v>1397</v>
      </c>
      <c r="F95" s="332" t="s">
        <v>347</v>
      </c>
      <c r="G95" s="332" t="s">
        <v>1398</v>
      </c>
      <c r="H95" s="331" t="s">
        <v>771</v>
      </c>
      <c r="I95" s="331"/>
      <c r="J95" s="332" t="s">
        <v>1399</v>
      </c>
      <c r="K95" s="332" t="s">
        <v>1400</v>
      </c>
      <c r="L95" s="332" t="s">
        <v>1401</v>
      </c>
      <c r="M95" s="332" t="s">
        <v>1402</v>
      </c>
      <c r="N95" s="332" t="s">
        <v>1403</v>
      </c>
    </row>
    <row r="96" spans="1:14" ht="15" customHeight="1">
      <c r="A96" s="331">
        <v>9780</v>
      </c>
      <c r="B96" s="332" t="s">
        <v>539</v>
      </c>
      <c r="C96" s="331" t="s">
        <v>1365</v>
      </c>
      <c r="D96" s="332" t="s">
        <v>150</v>
      </c>
      <c r="E96" s="331" t="s">
        <v>1358</v>
      </c>
      <c r="F96" s="332" t="s">
        <v>151</v>
      </c>
      <c r="G96" s="332" t="s">
        <v>1404</v>
      </c>
      <c r="H96" s="331" t="s">
        <v>905</v>
      </c>
      <c r="I96" s="331" t="s">
        <v>763</v>
      </c>
      <c r="J96" s="332" t="s">
        <v>1405</v>
      </c>
      <c r="K96" s="332" t="s">
        <v>1406</v>
      </c>
      <c r="L96" s="332" t="s">
        <v>1407</v>
      </c>
      <c r="M96" s="332" t="s">
        <v>1408</v>
      </c>
      <c r="N96" s="332" t="s">
        <v>1409</v>
      </c>
    </row>
    <row r="97" spans="1:14" ht="15" customHeight="1">
      <c r="A97" s="331">
        <v>9820</v>
      </c>
      <c r="B97" s="332" t="s">
        <v>540</v>
      </c>
      <c r="C97" s="331" t="s">
        <v>1365</v>
      </c>
      <c r="D97" s="332" t="s">
        <v>137</v>
      </c>
      <c r="E97" s="331" t="s">
        <v>1143</v>
      </c>
      <c r="F97" s="332" t="s">
        <v>181</v>
      </c>
      <c r="G97" s="332" t="s">
        <v>1144</v>
      </c>
      <c r="H97" s="331" t="s">
        <v>1410</v>
      </c>
      <c r="I97" s="331"/>
      <c r="J97" s="332" t="s">
        <v>1411</v>
      </c>
      <c r="K97" s="332" t="s">
        <v>1412</v>
      </c>
      <c r="L97" s="332" t="s">
        <v>1413</v>
      </c>
      <c r="M97" s="332" t="s">
        <v>1414</v>
      </c>
      <c r="N97" s="332" t="s">
        <v>1415</v>
      </c>
    </row>
    <row r="98" spans="1:14" ht="15" customHeight="1">
      <c r="A98" s="331">
        <v>9830</v>
      </c>
      <c r="B98" s="332" t="s">
        <v>541</v>
      </c>
      <c r="C98" s="331" t="s">
        <v>1365</v>
      </c>
      <c r="D98" s="332" t="s">
        <v>137</v>
      </c>
      <c r="E98" s="331" t="s">
        <v>1164</v>
      </c>
      <c r="F98" s="332" t="s">
        <v>139</v>
      </c>
      <c r="G98" s="332" t="s">
        <v>1180</v>
      </c>
      <c r="H98" s="331" t="s">
        <v>1181</v>
      </c>
      <c r="I98" s="331"/>
      <c r="J98" s="332" t="s">
        <v>1416</v>
      </c>
      <c r="K98" s="332" t="s">
        <v>1183</v>
      </c>
      <c r="L98" s="332" t="s">
        <v>1184</v>
      </c>
      <c r="M98" s="332" t="s">
        <v>1417</v>
      </c>
      <c r="N98" s="332" t="s">
        <v>1418</v>
      </c>
    </row>
    <row r="99" spans="1:14" ht="15" customHeight="1">
      <c r="A99" s="331">
        <v>9850</v>
      </c>
      <c r="B99" s="332" t="s">
        <v>542</v>
      </c>
      <c r="C99" s="331" t="s">
        <v>1365</v>
      </c>
      <c r="D99" s="332" t="s">
        <v>137</v>
      </c>
      <c r="E99" s="331" t="s">
        <v>1257</v>
      </c>
      <c r="F99" s="332" t="s">
        <v>185</v>
      </c>
      <c r="G99" s="332" t="s">
        <v>1419</v>
      </c>
      <c r="H99" s="331" t="s">
        <v>771</v>
      </c>
      <c r="I99" s="331"/>
      <c r="J99" s="332" t="s">
        <v>1420</v>
      </c>
      <c r="K99" s="332" t="s">
        <v>1421</v>
      </c>
      <c r="L99" s="332" t="s">
        <v>875</v>
      </c>
      <c r="M99" s="332" t="s">
        <v>1422</v>
      </c>
      <c r="N99" s="332" t="s">
        <v>1423</v>
      </c>
    </row>
  </sheetData>
  <sheetProtection/>
  <printOptions/>
  <pageMargins left="0.7" right="0.7" top="0.75" bottom="0.75" header="0.3" footer="0.3"/>
  <pageSetup horizontalDpi="600" verticalDpi="600" orientation="portrait" paperSize="9" r:id="rId1"/>
  <ignoredErrors>
    <ignoredError sqref="A3:N10 A12:N15 A11 C11:N11 A69:N73 A68 C68:N68 A20:N23 A19 C19:N19 A25:N42 A24 C24:N24 A17:N18 A16 C16:N16 A61:N67 A60 C60:N60 A77:N99 A76 C76:N76 A75:N75 A74 C74:N74 A44:N59 A43 C43:N43" numberStoredAsText="1"/>
  </ignoredErrors>
</worksheet>
</file>

<file path=xl/worksheets/sheet8.xml><?xml version="1.0" encoding="utf-8"?>
<worksheet xmlns="http://schemas.openxmlformats.org/spreadsheetml/2006/main" xmlns:r="http://schemas.openxmlformats.org/officeDocument/2006/relationships">
  <dimension ref="A1:E311"/>
  <sheetViews>
    <sheetView zoomScalePageLayoutView="0" workbookViewId="0" topLeftCell="A1">
      <selection activeCell="A2" sqref="A2"/>
    </sheetView>
  </sheetViews>
  <sheetFormatPr defaultColWidth="9.140625" defaultRowHeight="15"/>
  <cols>
    <col min="1" max="1" width="19.7109375" style="0" customWidth="1"/>
    <col min="2" max="2" width="18.421875" style="0" bestFit="1" customWidth="1"/>
    <col min="3" max="3" width="25.8515625" style="0" customWidth="1"/>
    <col min="4" max="4" width="39.00390625" style="0" bestFit="1" customWidth="1"/>
    <col min="5" max="5" width="9.7109375" style="3" customWidth="1"/>
  </cols>
  <sheetData>
    <row r="1" spans="1:5" ht="14.25">
      <c r="A1" s="6" t="s">
        <v>132</v>
      </c>
      <c r="B1" s="6" t="s">
        <v>133</v>
      </c>
      <c r="C1" s="6" t="s">
        <v>134</v>
      </c>
      <c r="D1" s="6" t="s">
        <v>135</v>
      </c>
      <c r="E1" s="7" t="s">
        <v>136</v>
      </c>
    </row>
    <row r="2" spans="1:5" ht="14.25">
      <c r="A2" s="8" t="s">
        <v>137</v>
      </c>
      <c r="B2" s="8" t="s">
        <v>138</v>
      </c>
      <c r="C2" s="13" t="s">
        <v>138</v>
      </c>
      <c r="D2" s="352" t="s">
        <v>445</v>
      </c>
      <c r="E2" s="14">
        <v>0.1</v>
      </c>
    </row>
    <row r="3" spans="1:5" ht="14.25">
      <c r="A3" s="8" t="s">
        <v>137</v>
      </c>
      <c r="B3" s="8" t="s">
        <v>139</v>
      </c>
      <c r="C3" s="8" t="s">
        <v>140</v>
      </c>
      <c r="D3" s="353" t="s">
        <v>141</v>
      </c>
      <c r="E3" s="10">
        <v>0</v>
      </c>
    </row>
    <row r="4" spans="1:5" ht="14.25">
      <c r="A4" s="8" t="s">
        <v>137</v>
      </c>
      <c r="B4" s="8" t="s">
        <v>139</v>
      </c>
      <c r="C4" s="8" t="s">
        <v>140</v>
      </c>
      <c r="D4" s="354" t="s">
        <v>141</v>
      </c>
      <c r="E4" s="10">
        <v>0</v>
      </c>
    </row>
    <row r="5" spans="1:5" ht="14.25">
      <c r="A5" s="8" t="s">
        <v>142</v>
      </c>
      <c r="B5" s="8" t="s">
        <v>143</v>
      </c>
      <c r="C5" s="8" t="s">
        <v>144</v>
      </c>
      <c r="D5" s="354" t="s">
        <v>145</v>
      </c>
      <c r="E5" s="10">
        <v>0</v>
      </c>
    </row>
    <row r="6" spans="1:5" ht="14.25">
      <c r="A6" s="8" t="s">
        <v>146</v>
      </c>
      <c r="B6" s="8" t="s">
        <v>146</v>
      </c>
      <c r="C6" s="8" t="s">
        <v>147</v>
      </c>
      <c r="D6" s="354" t="s">
        <v>141</v>
      </c>
      <c r="E6" s="10">
        <v>0</v>
      </c>
    </row>
    <row r="7" spans="1:5" ht="14.25">
      <c r="A7" s="8" t="s">
        <v>142</v>
      </c>
      <c r="B7" s="8" t="s">
        <v>148</v>
      </c>
      <c r="C7" s="15" t="s">
        <v>149</v>
      </c>
      <c r="D7" s="355" t="s">
        <v>446</v>
      </c>
      <c r="E7" s="16">
        <v>0.05</v>
      </c>
    </row>
    <row r="8" spans="1:5" ht="14.25">
      <c r="A8" s="8" t="s">
        <v>150</v>
      </c>
      <c r="B8" s="8" t="s">
        <v>151</v>
      </c>
      <c r="C8" s="8" t="s">
        <v>152</v>
      </c>
      <c r="D8" s="354" t="s">
        <v>141</v>
      </c>
      <c r="E8" s="10">
        <v>0</v>
      </c>
    </row>
    <row r="9" spans="1:5" ht="14.25">
      <c r="A9" s="8" t="s">
        <v>153</v>
      </c>
      <c r="B9" s="8" t="s">
        <v>154</v>
      </c>
      <c r="C9" s="8" t="s">
        <v>155</v>
      </c>
      <c r="D9" s="354" t="s">
        <v>141</v>
      </c>
      <c r="E9" s="10">
        <v>0</v>
      </c>
    </row>
    <row r="10" spans="1:5" ht="14.25">
      <c r="A10" s="8" t="s">
        <v>146</v>
      </c>
      <c r="B10" s="8" t="s">
        <v>146</v>
      </c>
      <c r="C10" s="13" t="s">
        <v>146</v>
      </c>
      <c r="D10" s="352" t="s">
        <v>445</v>
      </c>
      <c r="E10" s="14">
        <v>0.1</v>
      </c>
    </row>
    <row r="11" spans="1:5" ht="14.25">
      <c r="A11" s="8" t="s">
        <v>153</v>
      </c>
      <c r="B11" s="8" t="s">
        <v>156</v>
      </c>
      <c r="C11" s="8" t="s">
        <v>157</v>
      </c>
      <c r="D11" s="354" t="s">
        <v>141</v>
      </c>
      <c r="E11" s="10">
        <v>0</v>
      </c>
    </row>
    <row r="12" spans="1:5" ht="14.25">
      <c r="A12" s="8" t="s">
        <v>153</v>
      </c>
      <c r="B12" s="8" t="s">
        <v>158</v>
      </c>
      <c r="C12" s="8" t="s">
        <v>159</v>
      </c>
      <c r="D12" s="354" t="s">
        <v>141</v>
      </c>
      <c r="E12" s="10">
        <v>0</v>
      </c>
    </row>
    <row r="13" spans="1:5" ht="14.25">
      <c r="A13" s="8" t="s">
        <v>146</v>
      </c>
      <c r="B13" s="8" t="s">
        <v>160</v>
      </c>
      <c r="C13" s="8" t="s">
        <v>161</v>
      </c>
      <c r="D13" s="354" t="s">
        <v>141</v>
      </c>
      <c r="E13" s="10">
        <v>0</v>
      </c>
    </row>
    <row r="14" spans="1:5" ht="14.25">
      <c r="A14" s="8" t="s">
        <v>150</v>
      </c>
      <c r="B14" s="8" t="s">
        <v>162</v>
      </c>
      <c r="C14" s="8" t="s">
        <v>163</v>
      </c>
      <c r="D14" s="354" t="s">
        <v>141</v>
      </c>
      <c r="E14" s="10">
        <v>0</v>
      </c>
    </row>
    <row r="15" spans="1:5" ht="14.25">
      <c r="A15" s="8" t="s">
        <v>142</v>
      </c>
      <c r="B15" s="8" t="s">
        <v>148</v>
      </c>
      <c r="C15" s="15" t="s">
        <v>164</v>
      </c>
      <c r="D15" s="355" t="s">
        <v>446</v>
      </c>
      <c r="E15" s="16">
        <v>0.05</v>
      </c>
    </row>
    <row r="16" spans="1:5" ht="14.25">
      <c r="A16" s="8" t="s">
        <v>137</v>
      </c>
      <c r="B16" s="8" t="s">
        <v>166</v>
      </c>
      <c r="C16" s="8" t="s">
        <v>167</v>
      </c>
      <c r="D16" s="354" t="s">
        <v>141</v>
      </c>
      <c r="E16" s="10">
        <v>0</v>
      </c>
    </row>
    <row r="17" spans="1:5" ht="14.25">
      <c r="A17" s="8" t="s">
        <v>153</v>
      </c>
      <c r="B17" s="8" t="s">
        <v>156</v>
      </c>
      <c r="C17" s="8" t="s">
        <v>168</v>
      </c>
      <c r="D17" s="354" t="s">
        <v>141</v>
      </c>
      <c r="E17" s="10">
        <v>0</v>
      </c>
    </row>
    <row r="18" spans="1:5" ht="14.25">
      <c r="A18" s="8" t="s">
        <v>146</v>
      </c>
      <c r="B18" s="8" t="s">
        <v>160</v>
      </c>
      <c r="C18" s="8" t="s">
        <v>169</v>
      </c>
      <c r="D18" s="354" t="s">
        <v>141</v>
      </c>
      <c r="E18" s="10">
        <v>0</v>
      </c>
    </row>
    <row r="19" spans="1:5" ht="14.25">
      <c r="A19" s="8" t="s">
        <v>146</v>
      </c>
      <c r="B19" s="8" t="s">
        <v>160</v>
      </c>
      <c r="C19" s="8" t="s">
        <v>170</v>
      </c>
      <c r="D19" s="354" t="s">
        <v>141</v>
      </c>
      <c r="E19" s="10">
        <v>0</v>
      </c>
    </row>
    <row r="20" spans="1:5" ht="14.25">
      <c r="A20" s="8" t="s">
        <v>153</v>
      </c>
      <c r="B20" s="8" t="s">
        <v>171</v>
      </c>
      <c r="C20" s="8" t="s">
        <v>172</v>
      </c>
      <c r="D20" s="354" t="s">
        <v>141</v>
      </c>
      <c r="E20" s="10">
        <v>0</v>
      </c>
    </row>
    <row r="21" spans="1:5" ht="14.25">
      <c r="A21" s="8" t="s">
        <v>146</v>
      </c>
      <c r="B21" s="8" t="s">
        <v>160</v>
      </c>
      <c r="C21" s="8" t="s">
        <v>173</v>
      </c>
      <c r="D21" s="354" t="s">
        <v>174</v>
      </c>
      <c r="E21" s="10">
        <v>0</v>
      </c>
    </row>
    <row r="22" spans="1:5" ht="14.25">
      <c r="A22" s="8" t="s">
        <v>142</v>
      </c>
      <c r="B22" s="8" t="s">
        <v>148</v>
      </c>
      <c r="C22" s="15" t="s">
        <v>175</v>
      </c>
      <c r="D22" s="355" t="s">
        <v>446</v>
      </c>
      <c r="E22" s="16">
        <v>0.05</v>
      </c>
    </row>
    <row r="23" spans="1:5" ht="14.25">
      <c r="A23" s="8" t="s">
        <v>142</v>
      </c>
      <c r="B23" s="8" t="s">
        <v>143</v>
      </c>
      <c r="C23" s="8" t="s">
        <v>176</v>
      </c>
      <c r="D23" s="354" t="s">
        <v>141</v>
      </c>
      <c r="E23" s="10">
        <v>0</v>
      </c>
    </row>
    <row r="24" spans="1:5" ht="14.25">
      <c r="A24" s="8" t="s">
        <v>142</v>
      </c>
      <c r="B24" s="8" t="s">
        <v>143</v>
      </c>
      <c r="C24" s="8" t="s">
        <v>177</v>
      </c>
      <c r="D24" s="354" t="s">
        <v>141</v>
      </c>
      <c r="E24" s="10">
        <v>0</v>
      </c>
    </row>
    <row r="25" spans="1:5" ht="14.25">
      <c r="A25" s="8" t="s">
        <v>150</v>
      </c>
      <c r="B25" s="8" t="s">
        <v>162</v>
      </c>
      <c r="C25" s="8" t="s">
        <v>178</v>
      </c>
      <c r="D25" s="354" t="s">
        <v>165</v>
      </c>
      <c r="E25" s="10">
        <v>0</v>
      </c>
    </row>
    <row r="26" spans="1:5" ht="14.25">
      <c r="A26" s="8" t="s">
        <v>146</v>
      </c>
      <c r="B26" s="8" t="s">
        <v>179</v>
      </c>
      <c r="C26" s="8" t="s">
        <v>180</v>
      </c>
      <c r="D26" s="354" t="s">
        <v>141</v>
      </c>
      <c r="E26" s="10">
        <v>0</v>
      </c>
    </row>
    <row r="27" spans="1:5" ht="14.25">
      <c r="A27" s="8" t="s">
        <v>137</v>
      </c>
      <c r="B27" s="8" t="s">
        <v>181</v>
      </c>
      <c r="C27" s="8" t="s">
        <v>182</v>
      </c>
      <c r="D27" s="354" t="s">
        <v>141</v>
      </c>
      <c r="E27" s="10">
        <v>0</v>
      </c>
    </row>
    <row r="28" spans="1:5" ht="14.25">
      <c r="A28" s="8" t="s">
        <v>142</v>
      </c>
      <c r="B28" s="8" t="s">
        <v>143</v>
      </c>
      <c r="C28" s="15" t="s">
        <v>183</v>
      </c>
      <c r="D28" s="355" t="s">
        <v>446</v>
      </c>
      <c r="E28" s="16">
        <v>0.05</v>
      </c>
    </row>
    <row r="29" spans="1:5" ht="14.25">
      <c r="A29" s="8" t="s">
        <v>142</v>
      </c>
      <c r="B29" s="8" t="s">
        <v>148</v>
      </c>
      <c r="C29" s="15" t="s">
        <v>184</v>
      </c>
      <c r="D29" s="355" t="s">
        <v>446</v>
      </c>
      <c r="E29" s="16">
        <v>0.05</v>
      </c>
    </row>
    <row r="30" spans="1:5" ht="14.25">
      <c r="A30" s="8" t="s">
        <v>137</v>
      </c>
      <c r="B30" s="8" t="s">
        <v>185</v>
      </c>
      <c r="C30" s="8" t="s">
        <v>186</v>
      </c>
      <c r="D30" s="354" t="s">
        <v>165</v>
      </c>
      <c r="E30" s="10">
        <v>0</v>
      </c>
    </row>
    <row r="31" spans="1:5" ht="14.25">
      <c r="A31" s="8" t="s">
        <v>142</v>
      </c>
      <c r="B31" s="8" t="s">
        <v>143</v>
      </c>
      <c r="C31" s="8" t="s">
        <v>187</v>
      </c>
      <c r="D31" s="354" t="s">
        <v>141</v>
      </c>
      <c r="E31" s="10">
        <v>0</v>
      </c>
    </row>
    <row r="32" spans="1:5" ht="14.25">
      <c r="A32" s="8" t="s">
        <v>150</v>
      </c>
      <c r="B32" s="8" t="s">
        <v>151</v>
      </c>
      <c r="C32" s="8" t="s">
        <v>188</v>
      </c>
      <c r="D32" s="354" t="s">
        <v>165</v>
      </c>
      <c r="E32" s="10">
        <v>0</v>
      </c>
    </row>
    <row r="33" spans="1:5" ht="14.25">
      <c r="A33" s="8" t="s">
        <v>153</v>
      </c>
      <c r="B33" s="8" t="s">
        <v>171</v>
      </c>
      <c r="C33" s="8" t="s">
        <v>189</v>
      </c>
      <c r="D33" s="354" t="s">
        <v>165</v>
      </c>
      <c r="E33" s="10">
        <v>0</v>
      </c>
    </row>
    <row r="34" spans="1:5" ht="14.25">
      <c r="A34" s="8" t="s">
        <v>150</v>
      </c>
      <c r="B34" s="8" t="s">
        <v>190</v>
      </c>
      <c r="C34" s="8" t="s">
        <v>191</v>
      </c>
      <c r="D34" s="354" t="s">
        <v>141</v>
      </c>
      <c r="E34" s="10">
        <v>0</v>
      </c>
    </row>
    <row r="35" spans="1:5" ht="14.25">
      <c r="A35" s="8" t="s">
        <v>146</v>
      </c>
      <c r="B35" s="8" t="s">
        <v>146</v>
      </c>
      <c r="C35" s="8" t="s">
        <v>192</v>
      </c>
      <c r="D35" s="354" t="s">
        <v>141</v>
      </c>
      <c r="E35" s="10">
        <v>0</v>
      </c>
    </row>
    <row r="36" spans="1:5" ht="14.25">
      <c r="A36" s="8" t="s">
        <v>146</v>
      </c>
      <c r="B36" s="8" t="s">
        <v>179</v>
      </c>
      <c r="C36" s="8" t="s">
        <v>193</v>
      </c>
      <c r="D36" s="354" t="s">
        <v>141</v>
      </c>
      <c r="E36" s="10">
        <v>0</v>
      </c>
    </row>
    <row r="37" spans="1:5" ht="14.25">
      <c r="A37" s="8" t="s">
        <v>146</v>
      </c>
      <c r="B37" s="8" t="s">
        <v>146</v>
      </c>
      <c r="C37" s="8" t="s">
        <v>194</v>
      </c>
      <c r="D37" s="354" t="s">
        <v>165</v>
      </c>
      <c r="E37" s="10">
        <v>0</v>
      </c>
    </row>
    <row r="38" spans="1:5" ht="14.25">
      <c r="A38" s="8" t="s">
        <v>142</v>
      </c>
      <c r="B38" s="8" t="s">
        <v>143</v>
      </c>
      <c r="C38" s="8" t="s">
        <v>195</v>
      </c>
      <c r="D38" s="354" t="s">
        <v>141</v>
      </c>
      <c r="E38" s="17">
        <v>0</v>
      </c>
    </row>
    <row r="39" spans="1:5" ht="14.25">
      <c r="A39" s="8" t="s">
        <v>150</v>
      </c>
      <c r="B39" s="8" t="s">
        <v>151</v>
      </c>
      <c r="C39" s="8" t="s">
        <v>196</v>
      </c>
      <c r="D39" s="354" t="s">
        <v>141</v>
      </c>
      <c r="E39" s="10">
        <v>0</v>
      </c>
    </row>
    <row r="40" spans="1:5" ht="14.25">
      <c r="A40" s="8" t="s">
        <v>146</v>
      </c>
      <c r="B40" s="8" t="s">
        <v>179</v>
      </c>
      <c r="C40" s="8" t="s">
        <v>197</v>
      </c>
      <c r="D40" s="354" t="s">
        <v>141</v>
      </c>
      <c r="E40" s="10">
        <v>0</v>
      </c>
    </row>
    <row r="41" spans="1:5" ht="14.25">
      <c r="A41" s="8" t="s">
        <v>146</v>
      </c>
      <c r="B41" s="8" t="s">
        <v>146</v>
      </c>
      <c r="C41" s="8" t="s">
        <v>198</v>
      </c>
      <c r="D41" s="354" t="s">
        <v>141</v>
      </c>
      <c r="E41" s="10">
        <v>0</v>
      </c>
    </row>
    <row r="42" spans="1:5" ht="14.25">
      <c r="A42" s="8" t="s">
        <v>142</v>
      </c>
      <c r="B42" s="8" t="s">
        <v>143</v>
      </c>
      <c r="C42" s="8" t="s">
        <v>199</v>
      </c>
      <c r="D42" s="354" t="s">
        <v>141</v>
      </c>
      <c r="E42" s="10">
        <v>0</v>
      </c>
    </row>
    <row r="43" spans="1:5" ht="14.25">
      <c r="A43" s="8" t="s">
        <v>137</v>
      </c>
      <c r="B43" s="8" t="s">
        <v>200</v>
      </c>
      <c r="C43" s="8" t="s">
        <v>201</v>
      </c>
      <c r="D43" s="354" t="s">
        <v>141</v>
      </c>
      <c r="E43" s="10">
        <v>0</v>
      </c>
    </row>
    <row r="44" spans="1:5" ht="14.25">
      <c r="A44" s="8" t="s">
        <v>146</v>
      </c>
      <c r="B44" s="8" t="s">
        <v>146</v>
      </c>
      <c r="C44" s="8" t="s">
        <v>202</v>
      </c>
      <c r="D44" s="354" t="s">
        <v>141</v>
      </c>
      <c r="E44" s="10">
        <v>0</v>
      </c>
    </row>
    <row r="45" spans="1:5" ht="14.25">
      <c r="A45" s="8" t="s">
        <v>146</v>
      </c>
      <c r="B45" s="8" t="s">
        <v>146</v>
      </c>
      <c r="C45" s="8" t="s">
        <v>203</v>
      </c>
      <c r="D45" s="354" t="s">
        <v>141</v>
      </c>
      <c r="E45" s="10">
        <v>0</v>
      </c>
    </row>
    <row r="46" spans="1:5" ht="14.25">
      <c r="A46" s="8" t="s">
        <v>153</v>
      </c>
      <c r="B46" s="8" t="s">
        <v>204</v>
      </c>
      <c r="C46" s="8" t="s">
        <v>205</v>
      </c>
      <c r="D46" s="354" t="s">
        <v>174</v>
      </c>
      <c r="E46" s="10">
        <v>0</v>
      </c>
    </row>
    <row r="47" spans="1:5" ht="14.25">
      <c r="A47" s="8" t="s">
        <v>150</v>
      </c>
      <c r="B47" s="8" t="s">
        <v>190</v>
      </c>
      <c r="C47" s="8" t="s">
        <v>206</v>
      </c>
      <c r="D47" s="354" t="s">
        <v>165</v>
      </c>
      <c r="E47" s="10">
        <v>0</v>
      </c>
    </row>
    <row r="48" spans="1:5" ht="14.25">
      <c r="A48" s="8" t="s">
        <v>153</v>
      </c>
      <c r="B48" s="8" t="s">
        <v>171</v>
      </c>
      <c r="C48" s="13" t="s">
        <v>171</v>
      </c>
      <c r="D48" s="352" t="s">
        <v>445</v>
      </c>
      <c r="E48" s="14">
        <v>0.1</v>
      </c>
    </row>
    <row r="49" spans="1:5" ht="14.25">
      <c r="A49" s="8" t="s">
        <v>137</v>
      </c>
      <c r="B49" s="8" t="s">
        <v>181</v>
      </c>
      <c r="C49" s="8" t="s">
        <v>207</v>
      </c>
      <c r="D49" s="354" t="s">
        <v>141</v>
      </c>
      <c r="E49" s="10">
        <v>0</v>
      </c>
    </row>
    <row r="50" spans="1:5" ht="14.25">
      <c r="A50" s="8" t="s">
        <v>153</v>
      </c>
      <c r="B50" s="8" t="s">
        <v>171</v>
      </c>
      <c r="C50" s="8" t="s">
        <v>208</v>
      </c>
      <c r="D50" s="354" t="s">
        <v>174</v>
      </c>
      <c r="E50" s="10">
        <v>0</v>
      </c>
    </row>
    <row r="51" spans="1:5" ht="14.25">
      <c r="A51" s="8" t="s">
        <v>153</v>
      </c>
      <c r="B51" s="8" t="s">
        <v>204</v>
      </c>
      <c r="C51" s="8" t="s">
        <v>209</v>
      </c>
      <c r="D51" s="354" t="s">
        <v>141</v>
      </c>
      <c r="E51" s="10">
        <v>0</v>
      </c>
    </row>
    <row r="52" spans="1:5" ht="14.25">
      <c r="A52" s="8" t="s">
        <v>153</v>
      </c>
      <c r="B52" s="8" t="s">
        <v>154</v>
      </c>
      <c r="C52" s="8" t="s">
        <v>210</v>
      </c>
      <c r="D52" s="354" t="s">
        <v>141</v>
      </c>
      <c r="E52" s="10">
        <v>0</v>
      </c>
    </row>
    <row r="53" spans="1:5" ht="14.25">
      <c r="A53" s="8" t="s">
        <v>137</v>
      </c>
      <c r="B53" s="8" t="s">
        <v>139</v>
      </c>
      <c r="C53" s="8" t="s">
        <v>211</v>
      </c>
      <c r="D53" s="354" t="s">
        <v>141</v>
      </c>
      <c r="E53" s="10">
        <v>0</v>
      </c>
    </row>
    <row r="54" spans="1:5" ht="14.25">
      <c r="A54" s="8" t="s">
        <v>153</v>
      </c>
      <c r="B54" s="8" t="s">
        <v>156</v>
      </c>
      <c r="C54" s="8" t="s">
        <v>212</v>
      </c>
      <c r="D54" s="354" t="s">
        <v>174</v>
      </c>
      <c r="E54" s="10">
        <v>0</v>
      </c>
    </row>
    <row r="55" spans="1:5" ht="14.25">
      <c r="A55" s="8" t="s">
        <v>137</v>
      </c>
      <c r="B55" s="8" t="s">
        <v>139</v>
      </c>
      <c r="C55" s="8" t="s">
        <v>213</v>
      </c>
      <c r="D55" s="354" t="s">
        <v>145</v>
      </c>
      <c r="E55" s="10">
        <v>0</v>
      </c>
    </row>
    <row r="56" spans="1:5" ht="14.25">
      <c r="A56" s="8" t="s">
        <v>137</v>
      </c>
      <c r="B56" s="8" t="s">
        <v>139</v>
      </c>
      <c r="C56" s="8" t="s">
        <v>213</v>
      </c>
      <c r="D56" s="354" t="s">
        <v>141</v>
      </c>
      <c r="E56" s="10">
        <v>0</v>
      </c>
    </row>
    <row r="57" spans="1:5" ht="14.25">
      <c r="A57" s="8" t="s">
        <v>137</v>
      </c>
      <c r="B57" s="8" t="s">
        <v>138</v>
      </c>
      <c r="C57" s="8" t="s">
        <v>214</v>
      </c>
      <c r="D57" s="354" t="s">
        <v>174</v>
      </c>
      <c r="E57" s="10">
        <v>0</v>
      </c>
    </row>
    <row r="58" spans="1:5" ht="14.25">
      <c r="A58" s="8" t="s">
        <v>137</v>
      </c>
      <c r="B58" s="8" t="s">
        <v>181</v>
      </c>
      <c r="C58" s="8" t="s">
        <v>181</v>
      </c>
      <c r="D58" s="354" t="s">
        <v>145</v>
      </c>
      <c r="E58" s="10">
        <v>0</v>
      </c>
    </row>
    <row r="59" spans="1:5" ht="14.25">
      <c r="A59" s="8" t="s">
        <v>153</v>
      </c>
      <c r="B59" s="8" t="s">
        <v>158</v>
      </c>
      <c r="C59" s="8" t="s">
        <v>215</v>
      </c>
      <c r="D59" s="354" t="s">
        <v>141</v>
      </c>
      <c r="E59" s="10">
        <v>0</v>
      </c>
    </row>
    <row r="60" spans="1:5" ht="14.25">
      <c r="A60" s="8" t="s">
        <v>146</v>
      </c>
      <c r="B60" s="8" t="s">
        <v>160</v>
      </c>
      <c r="C60" s="8" t="s">
        <v>216</v>
      </c>
      <c r="D60" s="354" t="s">
        <v>141</v>
      </c>
      <c r="E60" s="10">
        <v>0</v>
      </c>
    </row>
    <row r="61" spans="1:5" ht="14.25">
      <c r="A61" s="8" t="s">
        <v>137</v>
      </c>
      <c r="B61" s="8" t="s">
        <v>139</v>
      </c>
      <c r="C61" s="8" t="s">
        <v>217</v>
      </c>
      <c r="D61" s="354" t="s">
        <v>141</v>
      </c>
      <c r="E61" s="10">
        <v>0</v>
      </c>
    </row>
    <row r="62" spans="1:5" ht="14.25">
      <c r="A62" s="8" t="s">
        <v>150</v>
      </c>
      <c r="B62" s="8" t="s">
        <v>162</v>
      </c>
      <c r="C62" s="8" t="s">
        <v>218</v>
      </c>
      <c r="D62" s="354" t="s">
        <v>174</v>
      </c>
      <c r="E62" s="10">
        <v>0</v>
      </c>
    </row>
    <row r="63" spans="1:5" ht="14.25">
      <c r="A63" s="8" t="s">
        <v>142</v>
      </c>
      <c r="B63" s="8" t="s">
        <v>143</v>
      </c>
      <c r="C63" s="8" t="s">
        <v>219</v>
      </c>
      <c r="D63" s="354" t="s">
        <v>145</v>
      </c>
      <c r="E63" s="10">
        <v>0</v>
      </c>
    </row>
    <row r="64" spans="1:5" ht="14.25">
      <c r="A64" s="8" t="s">
        <v>153</v>
      </c>
      <c r="B64" s="8" t="s">
        <v>220</v>
      </c>
      <c r="C64" s="8" t="s">
        <v>220</v>
      </c>
      <c r="D64" s="354" t="s">
        <v>165</v>
      </c>
      <c r="E64" s="10">
        <v>0</v>
      </c>
    </row>
    <row r="65" spans="1:5" ht="14.25">
      <c r="A65" s="8" t="s">
        <v>142</v>
      </c>
      <c r="B65" s="8" t="s">
        <v>148</v>
      </c>
      <c r="C65" s="15" t="s">
        <v>221</v>
      </c>
      <c r="D65" s="355" t="s">
        <v>446</v>
      </c>
      <c r="E65" s="16">
        <v>0.05</v>
      </c>
    </row>
    <row r="66" spans="1:5" ht="14.25">
      <c r="A66" s="8" t="s">
        <v>150</v>
      </c>
      <c r="B66" s="8" t="s">
        <v>190</v>
      </c>
      <c r="C66" s="8" t="s">
        <v>222</v>
      </c>
      <c r="D66" s="354" t="s">
        <v>141</v>
      </c>
      <c r="E66" s="10">
        <v>0</v>
      </c>
    </row>
    <row r="67" spans="1:5" ht="14.25">
      <c r="A67" s="8" t="s">
        <v>142</v>
      </c>
      <c r="B67" s="8" t="s">
        <v>148</v>
      </c>
      <c r="C67" s="15" t="s">
        <v>223</v>
      </c>
      <c r="D67" s="355" t="s">
        <v>446</v>
      </c>
      <c r="E67" s="16">
        <v>0.05</v>
      </c>
    </row>
    <row r="68" spans="1:5" ht="14.25">
      <c r="A68" s="8" t="s">
        <v>146</v>
      </c>
      <c r="B68" s="8" t="s">
        <v>179</v>
      </c>
      <c r="C68" s="8" t="s">
        <v>224</v>
      </c>
      <c r="D68" s="354" t="s">
        <v>141</v>
      </c>
      <c r="E68" s="10">
        <v>0</v>
      </c>
    </row>
    <row r="69" spans="1:5" ht="14.25">
      <c r="A69" s="8" t="s">
        <v>146</v>
      </c>
      <c r="B69" s="8" t="s">
        <v>146</v>
      </c>
      <c r="C69" s="8" t="s">
        <v>225</v>
      </c>
      <c r="D69" s="354" t="s">
        <v>141</v>
      </c>
      <c r="E69" s="10">
        <v>0</v>
      </c>
    </row>
    <row r="70" spans="1:5" ht="14.25">
      <c r="A70" s="8" t="s">
        <v>137</v>
      </c>
      <c r="B70" s="8" t="s">
        <v>166</v>
      </c>
      <c r="C70" s="8" t="s">
        <v>166</v>
      </c>
      <c r="D70" s="354" t="s">
        <v>145</v>
      </c>
      <c r="E70" s="10">
        <v>0</v>
      </c>
    </row>
    <row r="71" spans="1:5" ht="14.25">
      <c r="A71" s="8" t="s">
        <v>137</v>
      </c>
      <c r="B71" s="8" t="s">
        <v>138</v>
      </c>
      <c r="C71" s="8" t="s">
        <v>226</v>
      </c>
      <c r="D71" s="354" t="s">
        <v>141</v>
      </c>
      <c r="E71" s="10">
        <v>0</v>
      </c>
    </row>
    <row r="72" spans="1:5" ht="14.25">
      <c r="A72" s="8" t="s">
        <v>146</v>
      </c>
      <c r="B72" s="8" t="s">
        <v>146</v>
      </c>
      <c r="C72" s="8" t="s">
        <v>227</v>
      </c>
      <c r="D72" s="354" t="s">
        <v>141</v>
      </c>
      <c r="E72" s="10">
        <v>0</v>
      </c>
    </row>
    <row r="73" spans="1:5" ht="14.25">
      <c r="A73" s="8" t="s">
        <v>137</v>
      </c>
      <c r="B73" s="8" t="s">
        <v>139</v>
      </c>
      <c r="C73" s="8" t="s">
        <v>228</v>
      </c>
      <c r="D73" s="354" t="s">
        <v>141</v>
      </c>
      <c r="E73" s="10">
        <v>0</v>
      </c>
    </row>
    <row r="74" spans="1:5" ht="14.25">
      <c r="A74" s="8" t="s">
        <v>142</v>
      </c>
      <c r="B74" s="8" t="s">
        <v>148</v>
      </c>
      <c r="C74" s="15" t="s">
        <v>229</v>
      </c>
      <c r="D74" s="355" t="s">
        <v>446</v>
      </c>
      <c r="E74" s="16">
        <v>0.05</v>
      </c>
    </row>
    <row r="75" spans="1:5" ht="14.25">
      <c r="A75" s="8" t="s">
        <v>137</v>
      </c>
      <c r="B75" s="8" t="s">
        <v>139</v>
      </c>
      <c r="C75" s="8" t="s">
        <v>230</v>
      </c>
      <c r="D75" s="354" t="s">
        <v>141</v>
      </c>
      <c r="E75" s="10">
        <v>0</v>
      </c>
    </row>
    <row r="76" spans="1:5" ht="14.25">
      <c r="A76" s="8" t="s">
        <v>146</v>
      </c>
      <c r="B76" s="8" t="s">
        <v>160</v>
      </c>
      <c r="C76" s="8" t="s">
        <v>231</v>
      </c>
      <c r="D76" s="354" t="s">
        <v>145</v>
      </c>
      <c r="E76" s="10">
        <v>0</v>
      </c>
    </row>
    <row r="77" spans="1:5" ht="14.25">
      <c r="A77" s="8" t="s">
        <v>142</v>
      </c>
      <c r="B77" s="8" t="s">
        <v>143</v>
      </c>
      <c r="C77" s="8" t="s">
        <v>232</v>
      </c>
      <c r="D77" s="354" t="s">
        <v>141</v>
      </c>
      <c r="E77" s="10">
        <v>0</v>
      </c>
    </row>
    <row r="78" spans="1:5" ht="14.25">
      <c r="A78" s="8" t="s">
        <v>150</v>
      </c>
      <c r="B78" s="8" t="s">
        <v>162</v>
      </c>
      <c r="C78" s="13" t="s">
        <v>233</v>
      </c>
      <c r="D78" s="352" t="s">
        <v>445</v>
      </c>
      <c r="E78" s="14">
        <v>0.1</v>
      </c>
    </row>
    <row r="79" spans="1:5" ht="14.25">
      <c r="A79" s="8" t="s">
        <v>137</v>
      </c>
      <c r="B79" s="8" t="s">
        <v>139</v>
      </c>
      <c r="C79" s="13" t="s">
        <v>139</v>
      </c>
      <c r="D79" s="352" t="s">
        <v>445</v>
      </c>
      <c r="E79" s="14">
        <v>0.1</v>
      </c>
    </row>
    <row r="80" spans="1:5" ht="14.25">
      <c r="A80" s="8" t="s">
        <v>137</v>
      </c>
      <c r="B80" s="8" t="s">
        <v>138</v>
      </c>
      <c r="C80" s="8" t="s">
        <v>234</v>
      </c>
      <c r="D80" s="354" t="s">
        <v>165</v>
      </c>
      <c r="E80" s="10">
        <v>0</v>
      </c>
    </row>
    <row r="81" spans="1:5" ht="14.25">
      <c r="A81" s="8" t="s">
        <v>150</v>
      </c>
      <c r="B81" s="8" t="s">
        <v>162</v>
      </c>
      <c r="C81" s="8" t="s">
        <v>235</v>
      </c>
      <c r="D81" s="354" t="s">
        <v>141</v>
      </c>
      <c r="E81" s="10">
        <v>0</v>
      </c>
    </row>
    <row r="82" spans="1:5" ht="14.25">
      <c r="A82" s="8" t="s">
        <v>153</v>
      </c>
      <c r="B82" s="8" t="s">
        <v>204</v>
      </c>
      <c r="C82" s="8" t="s">
        <v>236</v>
      </c>
      <c r="D82" s="354" t="s">
        <v>141</v>
      </c>
      <c r="E82" s="10">
        <v>0</v>
      </c>
    </row>
    <row r="83" spans="1:5" ht="14.25">
      <c r="A83" s="8" t="s">
        <v>142</v>
      </c>
      <c r="B83" s="8" t="s">
        <v>143</v>
      </c>
      <c r="C83" s="8" t="s">
        <v>237</v>
      </c>
      <c r="D83" s="354" t="s">
        <v>141</v>
      </c>
      <c r="E83" s="10">
        <v>0</v>
      </c>
    </row>
    <row r="84" spans="1:5" ht="14.25">
      <c r="A84" s="8" t="s">
        <v>142</v>
      </c>
      <c r="B84" s="8" t="s">
        <v>148</v>
      </c>
      <c r="C84" s="15" t="s">
        <v>238</v>
      </c>
      <c r="D84" s="355" t="s">
        <v>446</v>
      </c>
      <c r="E84" s="16">
        <v>0.05</v>
      </c>
    </row>
    <row r="85" spans="1:5" ht="14.25">
      <c r="A85" s="8" t="s">
        <v>142</v>
      </c>
      <c r="B85" s="8" t="s">
        <v>148</v>
      </c>
      <c r="C85" s="15" t="s">
        <v>239</v>
      </c>
      <c r="D85" s="355" t="s">
        <v>446</v>
      </c>
      <c r="E85" s="16">
        <v>0.05</v>
      </c>
    </row>
    <row r="86" spans="1:5" ht="14.25">
      <c r="A86" s="8" t="s">
        <v>146</v>
      </c>
      <c r="B86" s="8" t="s">
        <v>160</v>
      </c>
      <c r="C86" s="8" t="s">
        <v>240</v>
      </c>
      <c r="D86" s="354" t="s">
        <v>141</v>
      </c>
      <c r="E86" s="10">
        <v>0</v>
      </c>
    </row>
    <row r="87" spans="1:5" ht="14.25">
      <c r="A87" s="8" t="s">
        <v>142</v>
      </c>
      <c r="B87" s="8" t="s">
        <v>143</v>
      </c>
      <c r="C87" s="8" t="s">
        <v>241</v>
      </c>
      <c r="D87" s="354" t="s">
        <v>141</v>
      </c>
      <c r="E87" s="10">
        <v>0</v>
      </c>
    </row>
    <row r="88" spans="1:5" ht="14.25">
      <c r="A88" s="8" t="s">
        <v>137</v>
      </c>
      <c r="B88" s="8" t="s">
        <v>138</v>
      </c>
      <c r="C88" s="8" t="s">
        <v>242</v>
      </c>
      <c r="D88" s="354" t="s">
        <v>141</v>
      </c>
      <c r="E88" s="10">
        <v>0</v>
      </c>
    </row>
    <row r="89" spans="1:5" ht="14.25">
      <c r="A89" s="8" t="s">
        <v>150</v>
      </c>
      <c r="B89" s="8" t="s">
        <v>162</v>
      </c>
      <c r="C89" s="8" t="s">
        <v>243</v>
      </c>
      <c r="D89" s="354" t="s">
        <v>141</v>
      </c>
      <c r="E89" s="10">
        <v>0</v>
      </c>
    </row>
    <row r="90" spans="1:5" ht="14.25">
      <c r="A90" s="8" t="s">
        <v>142</v>
      </c>
      <c r="B90" s="8" t="s">
        <v>148</v>
      </c>
      <c r="C90" s="15" t="s">
        <v>244</v>
      </c>
      <c r="D90" s="355" t="s">
        <v>446</v>
      </c>
      <c r="E90" s="16">
        <v>0.05</v>
      </c>
    </row>
    <row r="91" spans="1:5" ht="14.25">
      <c r="A91" s="8" t="s">
        <v>150</v>
      </c>
      <c r="B91" s="8" t="s">
        <v>162</v>
      </c>
      <c r="C91" s="8" t="s">
        <v>245</v>
      </c>
      <c r="D91" s="354" t="s">
        <v>141</v>
      </c>
      <c r="E91" s="10">
        <v>0</v>
      </c>
    </row>
    <row r="92" spans="1:5" ht="14.25">
      <c r="A92" s="8" t="s">
        <v>137</v>
      </c>
      <c r="B92" s="8" t="s">
        <v>181</v>
      </c>
      <c r="C92" s="8" t="s">
        <v>246</v>
      </c>
      <c r="D92" s="354" t="s">
        <v>141</v>
      </c>
      <c r="E92" s="10">
        <v>0</v>
      </c>
    </row>
    <row r="93" spans="1:5" ht="14.25">
      <c r="A93" s="8" t="s">
        <v>150</v>
      </c>
      <c r="B93" s="8" t="s">
        <v>190</v>
      </c>
      <c r="C93" s="8" t="s">
        <v>247</v>
      </c>
      <c r="D93" s="354" t="s">
        <v>141</v>
      </c>
      <c r="E93" s="10">
        <v>0</v>
      </c>
    </row>
    <row r="94" spans="1:5" ht="14.25">
      <c r="A94" s="8" t="s">
        <v>153</v>
      </c>
      <c r="B94" s="8" t="s">
        <v>156</v>
      </c>
      <c r="C94" s="8" t="s">
        <v>248</v>
      </c>
      <c r="D94" s="354" t="s">
        <v>174</v>
      </c>
      <c r="E94" s="10">
        <v>0</v>
      </c>
    </row>
    <row r="95" spans="1:5" ht="14.25">
      <c r="A95" s="8" t="s">
        <v>150</v>
      </c>
      <c r="B95" s="8" t="s">
        <v>162</v>
      </c>
      <c r="C95" s="13" t="s">
        <v>162</v>
      </c>
      <c r="D95" s="352" t="s">
        <v>445</v>
      </c>
      <c r="E95" s="14">
        <v>0.1</v>
      </c>
    </row>
    <row r="96" spans="1:5" ht="14.25">
      <c r="A96" s="8" t="s">
        <v>150</v>
      </c>
      <c r="B96" s="8" t="s">
        <v>190</v>
      </c>
      <c r="C96" s="8" t="s">
        <v>249</v>
      </c>
      <c r="D96" s="354" t="s">
        <v>141</v>
      </c>
      <c r="E96" s="10">
        <v>0</v>
      </c>
    </row>
    <row r="97" spans="1:5" ht="14.25">
      <c r="A97" s="8" t="s">
        <v>150</v>
      </c>
      <c r="B97" s="8" t="s">
        <v>151</v>
      </c>
      <c r="C97" s="8" t="s">
        <v>250</v>
      </c>
      <c r="D97" s="354" t="s">
        <v>141</v>
      </c>
      <c r="E97" s="10">
        <v>0</v>
      </c>
    </row>
    <row r="98" spans="1:5" ht="14.25">
      <c r="A98" s="8" t="s">
        <v>146</v>
      </c>
      <c r="B98" s="8" t="s">
        <v>179</v>
      </c>
      <c r="C98" s="8" t="s">
        <v>251</v>
      </c>
      <c r="D98" s="354" t="s">
        <v>165</v>
      </c>
      <c r="E98" s="10">
        <v>0</v>
      </c>
    </row>
    <row r="99" spans="1:5" ht="14.25">
      <c r="A99" s="8" t="s">
        <v>146</v>
      </c>
      <c r="B99" s="8" t="s">
        <v>146</v>
      </c>
      <c r="C99" s="8" t="s">
        <v>252</v>
      </c>
      <c r="D99" s="354" t="s">
        <v>141</v>
      </c>
      <c r="E99" s="10">
        <v>0</v>
      </c>
    </row>
    <row r="100" spans="1:5" ht="14.25">
      <c r="A100" s="8" t="s">
        <v>142</v>
      </c>
      <c r="B100" s="8" t="s">
        <v>143</v>
      </c>
      <c r="C100" s="8" t="s">
        <v>253</v>
      </c>
      <c r="D100" s="354" t="s">
        <v>141</v>
      </c>
      <c r="E100" s="10">
        <v>0</v>
      </c>
    </row>
    <row r="101" spans="1:5" ht="14.25">
      <c r="A101" s="8" t="s">
        <v>146</v>
      </c>
      <c r="B101" s="8" t="s">
        <v>160</v>
      </c>
      <c r="C101" s="8" t="s">
        <v>254</v>
      </c>
      <c r="D101" s="354" t="s">
        <v>145</v>
      </c>
      <c r="E101" s="10">
        <v>0</v>
      </c>
    </row>
    <row r="102" spans="1:5" ht="14.25">
      <c r="A102" s="8" t="s">
        <v>146</v>
      </c>
      <c r="B102" s="8" t="s">
        <v>160</v>
      </c>
      <c r="C102" s="8" t="s">
        <v>255</v>
      </c>
      <c r="D102" s="354" t="s">
        <v>141</v>
      </c>
      <c r="E102" s="10">
        <v>0</v>
      </c>
    </row>
    <row r="103" spans="1:5" ht="14.25">
      <c r="A103" s="8" t="s">
        <v>150</v>
      </c>
      <c r="B103" s="8" t="s">
        <v>162</v>
      </c>
      <c r="C103" s="8" t="s">
        <v>256</v>
      </c>
      <c r="D103" s="354" t="s">
        <v>141</v>
      </c>
      <c r="E103" s="10">
        <v>0</v>
      </c>
    </row>
    <row r="104" spans="1:5" ht="14.25">
      <c r="A104" s="8" t="s">
        <v>142</v>
      </c>
      <c r="B104" s="8" t="s">
        <v>148</v>
      </c>
      <c r="C104" s="15" t="s">
        <v>257</v>
      </c>
      <c r="D104" s="355" t="s">
        <v>446</v>
      </c>
      <c r="E104" s="16">
        <v>0.05</v>
      </c>
    </row>
    <row r="105" spans="1:5" ht="14.25">
      <c r="A105" s="8" t="s">
        <v>146</v>
      </c>
      <c r="B105" s="8" t="s">
        <v>160</v>
      </c>
      <c r="C105" s="8" t="s">
        <v>258</v>
      </c>
      <c r="D105" s="354" t="s">
        <v>141</v>
      </c>
      <c r="E105" s="10">
        <v>0</v>
      </c>
    </row>
    <row r="106" spans="1:5" ht="14.25">
      <c r="A106" s="8" t="s">
        <v>150</v>
      </c>
      <c r="B106" s="8" t="s">
        <v>151</v>
      </c>
      <c r="C106" s="8" t="s">
        <v>259</v>
      </c>
      <c r="D106" s="354" t="s">
        <v>141</v>
      </c>
      <c r="E106" s="10">
        <v>0</v>
      </c>
    </row>
    <row r="107" spans="1:5" ht="14.25">
      <c r="A107" s="8" t="s">
        <v>137</v>
      </c>
      <c r="B107" s="8" t="s">
        <v>138</v>
      </c>
      <c r="C107" s="8" t="s">
        <v>260</v>
      </c>
      <c r="D107" s="354" t="s">
        <v>141</v>
      </c>
      <c r="E107" s="10">
        <v>0</v>
      </c>
    </row>
    <row r="108" spans="1:5" ht="14.25">
      <c r="A108" s="8" t="s">
        <v>150</v>
      </c>
      <c r="B108" s="8" t="s">
        <v>162</v>
      </c>
      <c r="C108" s="8" t="s">
        <v>261</v>
      </c>
      <c r="D108" s="354" t="s">
        <v>141</v>
      </c>
      <c r="E108" s="10">
        <v>0</v>
      </c>
    </row>
    <row r="109" spans="1:5" ht="14.25">
      <c r="A109" s="8" t="s">
        <v>153</v>
      </c>
      <c r="B109" s="8" t="s">
        <v>262</v>
      </c>
      <c r="C109" s="8" t="s">
        <v>263</v>
      </c>
      <c r="D109" s="354" t="s">
        <v>141</v>
      </c>
      <c r="E109" s="10">
        <v>0</v>
      </c>
    </row>
    <row r="110" spans="1:5" ht="14.25">
      <c r="A110" s="8" t="s">
        <v>142</v>
      </c>
      <c r="B110" s="8" t="s">
        <v>143</v>
      </c>
      <c r="C110" s="8" t="s">
        <v>264</v>
      </c>
      <c r="D110" s="354" t="s">
        <v>141</v>
      </c>
      <c r="E110" s="10">
        <v>0</v>
      </c>
    </row>
    <row r="111" spans="1:5" ht="14.25">
      <c r="A111" s="8" t="s">
        <v>142</v>
      </c>
      <c r="B111" s="8" t="s">
        <v>148</v>
      </c>
      <c r="C111" s="15" t="s">
        <v>265</v>
      </c>
      <c r="D111" s="355" t="s">
        <v>446</v>
      </c>
      <c r="E111" s="16">
        <v>0.05</v>
      </c>
    </row>
    <row r="112" spans="1:5" ht="14.25">
      <c r="A112" s="8" t="s">
        <v>150</v>
      </c>
      <c r="B112" s="8" t="s">
        <v>151</v>
      </c>
      <c r="C112" s="8" t="s">
        <v>266</v>
      </c>
      <c r="D112" s="354" t="s">
        <v>141</v>
      </c>
      <c r="E112" s="10">
        <v>0</v>
      </c>
    </row>
    <row r="113" spans="1:5" ht="14.25">
      <c r="A113" s="8" t="s">
        <v>142</v>
      </c>
      <c r="B113" s="8" t="s">
        <v>143</v>
      </c>
      <c r="C113" s="8" t="s">
        <v>267</v>
      </c>
      <c r="D113" s="354" t="s">
        <v>141</v>
      </c>
      <c r="E113" s="10">
        <v>0</v>
      </c>
    </row>
    <row r="114" spans="1:5" ht="14.25">
      <c r="A114" s="8" t="s">
        <v>153</v>
      </c>
      <c r="B114" s="8" t="s">
        <v>268</v>
      </c>
      <c r="C114" s="8" t="s">
        <v>269</v>
      </c>
      <c r="D114" s="354" t="s">
        <v>141</v>
      </c>
      <c r="E114" s="10">
        <v>0</v>
      </c>
    </row>
    <row r="115" spans="1:5" ht="14.25">
      <c r="A115" s="8" t="s">
        <v>146</v>
      </c>
      <c r="B115" s="8" t="s">
        <v>160</v>
      </c>
      <c r="C115" s="8" t="s">
        <v>270</v>
      </c>
      <c r="D115" s="354" t="s">
        <v>165</v>
      </c>
      <c r="E115" s="10">
        <v>0</v>
      </c>
    </row>
    <row r="116" spans="1:5" ht="14.25">
      <c r="A116" s="8" t="s">
        <v>137</v>
      </c>
      <c r="B116" s="8" t="s">
        <v>200</v>
      </c>
      <c r="C116" s="8" t="s">
        <v>271</v>
      </c>
      <c r="D116" s="354" t="s">
        <v>141</v>
      </c>
      <c r="E116" s="10">
        <v>0</v>
      </c>
    </row>
    <row r="117" spans="1:5" ht="14.25">
      <c r="A117" s="8" t="s">
        <v>150</v>
      </c>
      <c r="B117" s="8" t="s">
        <v>190</v>
      </c>
      <c r="C117" s="8" t="s">
        <v>272</v>
      </c>
      <c r="D117" s="354" t="s">
        <v>141</v>
      </c>
      <c r="E117" s="10">
        <v>0</v>
      </c>
    </row>
    <row r="118" spans="1:5" ht="14.25">
      <c r="A118" s="8" t="s">
        <v>153</v>
      </c>
      <c r="B118" s="8" t="s">
        <v>220</v>
      </c>
      <c r="C118" s="8" t="s">
        <v>273</v>
      </c>
      <c r="D118" s="354" t="s">
        <v>141</v>
      </c>
      <c r="E118" s="10">
        <v>0</v>
      </c>
    </row>
    <row r="119" spans="1:5" ht="14.25">
      <c r="A119" s="8" t="s">
        <v>146</v>
      </c>
      <c r="B119" s="8" t="s">
        <v>146</v>
      </c>
      <c r="C119" s="8" t="s">
        <v>274</v>
      </c>
      <c r="D119" s="354" t="s">
        <v>141</v>
      </c>
      <c r="E119" s="10">
        <v>0</v>
      </c>
    </row>
    <row r="120" spans="1:5" ht="14.25">
      <c r="A120" s="8"/>
      <c r="B120" s="8" t="s">
        <v>462</v>
      </c>
      <c r="C120" s="8" t="s">
        <v>597</v>
      </c>
      <c r="D120" s="354" t="s">
        <v>141</v>
      </c>
      <c r="E120" s="10">
        <v>0</v>
      </c>
    </row>
    <row r="121" spans="1:5" ht="14.25">
      <c r="A121" s="8" t="s">
        <v>142</v>
      </c>
      <c r="B121" s="8" t="s">
        <v>143</v>
      </c>
      <c r="C121" s="15" t="s">
        <v>275</v>
      </c>
      <c r="D121" s="355" t="s">
        <v>446</v>
      </c>
      <c r="E121" s="16">
        <v>0.05</v>
      </c>
    </row>
    <row r="122" spans="1:5" ht="14.25">
      <c r="A122" s="8" t="s">
        <v>146</v>
      </c>
      <c r="B122" s="8" t="s">
        <v>160</v>
      </c>
      <c r="C122" s="8" t="s">
        <v>276</v>
      </c>
      <c r="D122" s="354" t="s">
        <v>141</v>
      </c>
      <c r="E122" s="10">
        <v>0</v>
      </c>
    </row>
    <row r="123" spans="1:5" ht="14.25">
      <c r="A123" s="8" t="s">
        <v>153</v>
      </c>
      <c r="B123" s="8" t="s">
        <v>204</v>
      </c>
      <c r="C123" s="8" t="s">
        <v>277</v>
      </c>
      <c r="D123" s="354" t="s">
        <v>141</v>
      </c>
      <c r="E123" s="10">
        <v>0</v>
      </c>
    </row>
    <row r="124" spans="1:5" ht="14.25">
      <c r="A124" s="8" t="s">
        <v>153</v>
      </c>
      <c r="B124" s="8" t="s">
        <v>262</v>
      </c>
      <c r="C124" s="8" t="s">
        <v>262</v>
      </c>
      <c r="D124" s="354" t="s">
        <v>145</v>
      </c>
      <c r="E124" s="10">
        <v>0</v>
      </c>
    </row>
    <row r="125" spans="1:5" ht="14.25">
      <c r="A125" s="8" t="s">
        <v>153</v>
      </c>
      <c r="B125" s="8" t="s">
        <v>268</v>
      </c>
      <c r="C125" s="8" t="s">
        <v>278</v>
      </c>
      <c r="D125" s="354" t="s">
        <v>174</v>
      </c>
      <c r="E125" s="10">
        <v>0</v>
      </c>
    </row>
    <row r="126" spans="1:5" ht="14.25">
      <c r="A126" s="8" t="s">
        <v>153</v>
      </c>
      <c r="B126" s="8" t="s">
        <v>268</v>
      </c>
      <c r="C126" s="8" t="s">
        <v>279</v>
      </c>
      <c r="D126" s="354" t="s">
        <v>174</v>
      </c>
      <c r="E126" s="10">
        <v>0</v>
      </c>
    </row>
    <row r="127" spans="1:5" ht="14.25">
      <c r="A127" s="8" t="s">
        <v>153</v>
      </c>
      <c r="B127" s="8" t="s">
        <v>171</v>
      </c>
      <c r="C127" s="8" t="s">
        <v>280</v>
      </c>
      <c r="D127" s="354" t="s">
        <v>174</v>
      </c>
      <c r="E127" s="10">
        <v>0</v>
      </c>
    </row>
    <row r="128" spans="1:5" ht="14.25">
      <c r="A128" s="8" t="s">
        <v>146</v>
      </c>
      <c r="B128" s="8" t="s">
        <v>146</v>
      </c>
      <c r="C128" s="8" t="s">
        <v>281</v>
      </c>
      <c r="D128" s="354" t="s">
        <v>141</v>
      </c>
      <c r="E128" s="10">
        <v>0</v>
      </c>
    </row>
    <row r="129" spans="1:5" ht="14.25">
      <c r="A129" s="8" t="s">
        <v>142</v>
      </c>
      <c r="B129" s="8" t="s">
        <v>148</v>
      </c>
      <c r="C129" s="15" t="s">
        <v>282</v>
      </c>
      <c r="D129" s="355" t="s">
        <v>446</v>
      </c>
      <c r="E129" s="16">
        <v>0.05</v>
      </c>
    </row>
    <row r="130" spans="1:5" ht="14.25">
      <c r="A130" s="8" t="s">
        <v>146</v>
      </c>
      <c r="B130" s="8" t="s">
        <v>146</v>
      </c>
      <c r="C130" s="8" t="s">
        <v>283</v>
      </c>
      <c r="D130" s="354" t="s">
        <v>141</v>
      </c>
      <c r="E130" s="10">
        <v>0</v>
      </c>
    </row>
    <row r="131" spans="1:5" ht="14.25">
      <c r="A131" s="8" t="s">
        <v>142</v>
      </c>
      <c r="B131" s="8" t="s">
        <v>148</v>
      </c>
      <c r="C131" s="15" t="s">
        <v>284</v>
      </c>
      <c r="D131" s="355" t="s">
        <v>446</v>
      </c>
      <c r="E131" s="16">
        <v>0.05</v>
      </c>
    </row>
    <row r="132" spans="1:5" ht="14.25">
      <c r="A132" s="8" t="s">
        <v>137</v>
      </c>
      <c r="B132" s="8" t="s">
        <v>166</v>
      </c>
      <c r="C132" s="8" t="s">
        <v>285</v>
      </c>
      <c r="D132" s="354" t="s">
        <v>141</v>
      </c>
      <c r="E132" s="10">
        <v>0</v>
      </c>
    </row>
    <row r="133" spans="1:5" ht="14.25">
      <c r="A133" s="8" t="s">
        <v>146</v>
      </c>
      <c r="B133" s="8" t="s">
        <v>160</v>
      </c>
      <c r="C133" s="8" t="s">
        <v>286</v>
      </c>
      <c r="D133" s="354" t="s">
        <v>141</v>
      </c>
      <c r="E133" s="10">
        <v>0</v>
      </c>
    </row>
    <row r="134" spans="1:5" ht="14.25">
      <c r="A134" s="8" t="s">
        <v>142</v>
      </c>
      <c r="B134" s="8" t="s">
        <v>143</v>
      </c>
      <c r="C134" s="8" t="s">
        <v>287</v>
      </c>
      <c r="D134" s="354" t="s">
        <v>141</v>
      </c>
      <c r="E134" s="10">
        <v>0</v>
      </c>
    </row>
    <row r="135" spans="1:5" ht="14.25">
      <c r="A135" s="8" t="s">
        <v>150</v>
      </c>
      <c r="B135" s="8" t="s">
        <v>190</v>
      </c>
      <c r="C135" s="8" t="s">
        <v>288</v>
      </c>
      <c r="D135" s="354" t="s">
        <v>141</v>
      </c>
      <c r="E135" s="10">
        <v>0</v>
      </c>
    </row>
    <row r="136" spans="1:5" ht="14.25">
      <c r="A136" s="8" t="s">
        <v>137</v>
      </c>
      <c r="B136" s="8" t="s">
        <v>200</v>
      </c>
      <c r="C136" s="8" t="s">
        <v>289</v>
      </c>
      <c r="D136" s="354" t="s">
        <v>141</v>
      </c>
      <c r="E136" s="10">
        <v>0</v>
      </c>
    </row>
    <row r="137" spans="1:5" ht="14.25">
      <c r="A137" s="8" t="s">
        <v>153</v>
      </c>
      <c r="B137" s="8" t="s">
        <v>171</v>
      </c>
      <c r="C137" s="8" t="s">
        <v>290</v>
      </c>
      <c r="D137" s="354" t="s">
        <v>145</v>
      </c>
      <c r="E137" s="10">
        <v>0</v>
      </c>
    </row>
    <row r="138" spans="1:5" ht="14.25">
      <c r="A138" s="8" t="s">
        <v>153</v>
      </c>
      <c r="B138" s="8" t="s">
        <v>220</v>
      </c>
      <c r="C138" s="8" t="s">
        <v>291</v>
      </c>
      <c r="D138" s="354" t="s">
        <v>141</v>
      </c>
      <c r="E138" s="10">
        <v>0</v>
      </c>
    </row>
    <row r="139" spans="1:5" ht="14.25">
      <c r="A139" s="8" t="s">
        <v>153</v>
      </c>
      <c r="B139" s="8" t="s">
        <v>154</v>
      </c>
      <c r="C139" s="8" t="s">
        <v>292</v>
      </c>
      <c r="D139" s="354" t="s">
        <v>141</v>
      </c>
      <c r="E139" s="10">
        <v>0</v>
      </c>
    </row>
    <row r="140" spans="1:5" ht="14.25">
      <c r="A140" s="8" t="s">
        <v>146</v>
      </c>
      <c r="B140" s="8" t="s">
        <v>146</v>
      </c>
      <c r="C140" s="8" t="s">
        <v>293</v>
      </c>
      <c r="D140" s="354" t="s">
        <v>141</v>
      </c>
      <c r="E140" s="10">
        <v>0</v>
      </c>
    </row>
    <row r="141" spans="1:5" ht="14.25">
      <c r="A141" s="8" t="s">
        <v>153</v>
      </c>
      <c r="B141" s="8" t="s">
        <v>220</v>
      </c>
      <c r="C141" s="8" t="s">
        <v>294</v>
      </c>
      <c r="D141" s="354" t="s">
        <v>141</v>
      </c>
      <c r="E141" s="10">
        <v>0</v>
      </c>
    </row>
    <row r="142" spans="1:5" ht="14.25">
      <c r="A142" s="8" t="s">
        <v>142</v>
      </c>
      <c r="B142" s="8" t="s">
        <v>143</v>
      </c>
      <c r="C142" s="8" t="s">
        <v>295</v>
      </c>
      <c r="D142" s="354" t="s">
        <v>141</v>
      </c>
      <c r="E142" s="10">
        <v>0</v>
      </c>
    </row>
    <row r="143" spans="1:5" ht="14.25">
      <c r="A143" s="8" t="s">
        <v>142</v>
      </c>
      <c r="B143" s="8" t="s">
        <v>143</v>
      </c>
      <c r="C143" s="15" t="s">
        <v>296</v>
      </c>
      <c r="D143" s="355" t="s">
        <v>446</v>
      </c>
      <c r="E143" s="16">
        <v>0.05</v>
      </c>
    </row>
    <row r="144" spans="1:5" ht="14.25">
      <c r="A144" s="8" t="s">
        <v>150</v>
      </c>
      <c r="B144" s="8" t="s">
        <v>151</v>
      </c>
      <c r="C144" s="8" t="s">
        <v>297</v>
      </c>
      <c r="D144" s="354" t="s">
        <v>141</v>
      </c>
      <c r="E144" s="10">
        <v>0</v>
      </c>
    </row>
    <row r="145" spans="1:5" ht="14.25">
      <c r="A145" s="8" t="s">
        <v>153</v>
      </c>
      <c r="B145" s="8" t="s">
        <v>156</v>
      </c>
      <c r="C145" s="13" t="s">
        <v>156</v>
      </c>
      <c r="D145" s="352" t="s">
        <v>445</v>
      </c>
      <c r="E145" s="14">
        <v>0.1</v>
      </c>
    </row>
    <row r="146" spans="1:5" ht="14.25">
      <c r="A146" s="8" t="s">
        <v>142</v>
      </c>
      <c r="B146" s="8" t="s">
        <v>148</v>
      </c>
      <c r="C146" s="15" t="s">
        <v>298</v>
      </c>
      <c r="D146" s="355" t="s">
        <v>446</v>
      </c>
      <c r="E146" s="16">
        <v>0.05</v>
      </c>
    </row>
    <row r="147" spans="1:5" ht="14.25">
      <c r="A147" s="8" t="s">
        <v>137</v>
      </c>
      <c r="B147" s="8" t="s">
        <v>185</v>
      </c>
      <c r="C147" s="8" t="s">
        <v>299</v>
      </c>
      <c r="D147" s="354" t="s">
        <v>141</v>
      </c>
      <c r="E147" s="10">
        <v>0</v>
      </c>
    </row>
    <row r="148" spans="1:5" ht="14.25">
      <c r="A148" s="8" t="s">
        <v>137</v>
      </c>
      <c r="B148" s="8" t="s">
        <v>200</v>
      </c>
      <c r="C148" s="8" t="s">
        <v>1431</v>
      </c>
      <c r="D148" s="354" t="s">
        <v>141</v>
      </c>
      <c r="E148" s="10">
        <v>0</v>
      </c>
    </row>
    <row r="149" spans="1:5" ht="14.25">
      <c r="A149" s="8" t="s">
        <v>137</v>
      </c>
      <c r="B149" s="8" t="s">
        <v>200</v>
      </c>
      <c r="C149" s="8" t="s">
        <v>1431</v>
      </c>
      <c r="D149" s="354" t="s">
        <v>141</v>
      </c>
      <c r="E149" s="10">
        <v>0</v>
      </c>
    </row>
    <row r="150" spans="1:5" ht="14.25">
      <c r="A150" s="8" t="s">
        <v>153</v>
      </c>
      <c r="B150" s="8" t="s">
        <v>156</v>
      </c>
      <c r="C150" s="8" t="s">
        <v>300</v>
      </c>
      <c r="D150" s="354" t="s">
        <v>174</v>
      </c>
      <c r="E150" s="10">
        <v>0</v>
      </c>
    </row>
    <row r="151" spans="1:5" ht="14.25">
      <c r="A151" s="8" t="s">
        <v>146</v>
      </c>
      <c r="B151" s="8" t="s">
        <v>160</v>
      </c>
      <c r="C151" s="8" t="s">
        <v>301</v>
      </c>
      <c r="D151" s="354" t="s">
        <v>141</v>
      </c>
      <c r="E151" s="10">
        <v>0</v>
      </c>
    </row>
    <row r="152" spans="1:5" ht="14.25">
      <c r="A152" s="8" t="s">
        <v>137</v>
      </c>
      <c r="B152" s="8" t="s">
        <v>181</v>
      </c>
      <c r="C152" s="8" t="s">
        <v>302</v>
      </c>
      <c r="D152" s="354" t="s">
        <v>141</v>
      </c>
      <c r="E152" s="10">
        <v>0</v>
      </c>
    </row>
    <row r="153" spans="1:5" ht="14.25">
      <c r="A153" s="8" t="s">
        <v>150</v>
      </c>
      <c r="B153" s="8" t="s">
        <v>151</v>
      </c>
      <c r="C153" s="8" t="s">
        <v>303</v>
      </c>
      <c r="D153" s="354" t="s">
        <v>141</v>
      </c>
      <c r="E153" s="10">
        <v>0</v>
      </c>
    </row>
    <row r="154" spans="1:5" ht="14.25">
      <c r="A154" s="8" t="s">
        <v>142</v>
      </c>
      <c r="B154" s="8" t="s">
        <v>143</v>
      </c>
      <c r="C154" s="8" t="s">
        <v>304</v>
      </c>
      <c r="D154" s="354" t="s">
        <v>141</v>
      </c>
      <c r="E154" s="10">
        <v>0</v>
      </c>
    </row>
    <row r="155" spans="1:5" ht="14.25">
      <c r="A155" s="8" t="s">
        <v>153</v>
      </c>
      <c r="B155" s="8" t="s">
        <v>262</v>
      </c>
      <c r="C155" s="8" t="s">
        <v>305</v>
      </c>
      <c r="D155" s="354" t="s">
        <v>141</v>
      </c>
      <c r="E155" s="10">
        <v>0</v>
      </c>
    </row>
    <row r="156" spans="1:5" ht="14.25">
      <c r="A156" s="8" t="s">
        <v>137</v>
      </c>
      <c r="B156" s="8" t="s">
        <v>181</v>
      </c>
      <c r="C156" s="8" t="s">
        <v>306</v>
      </c>
      <c r="D156" s="354" t="s">
        <v>141</v>
      </c>
      <c r="E156" s="10">
        <v>0</v>
      </c>
    </row>
    <row r="157" spans="1:5" ht="14.25">
      <c r="A157" s="8" t="s">
        <v>137</v>
      </c>
      <c r="B157" s="8" t="s">
        <v>138</v>
      </c>
      <c r="C157" s="8" t="s">
        <v>307</v>
      </c>
      <c r="D157" s="354" t="s">
        <v>141</v>
      </c>
      <c r="E157" s="10">
        <v>0</v>
      </c>
    </row>
    <row r="158" spans="1:5" ht="14.25">
      <c r="A158" s="8" t="s">
        <v>153</v>
      </c>
      <c r="B158" s="8" t="s">
        <v>268</v>
      </c>
      <c r="C158" s="8" t="s">
        <v>308</v>
      </c>
      <c r="D158" s="354" t="s">
        <v>141</v>
      </c>
      <c r="E158" s="10">
        <v>0</v>
      </c>
    </row>
    <row r="159" spans="1:5" ht="14.25">
      <c r="A159" s="8" t="s">
        <v>153</v>
      </c>
      <c r="B159" s="8" t="s">
        <v>156</v>
      </c>
      <c r="C159" s="8" t="s">
        <v>309</v>
      </c>
      <c r="D159" s="354" t="s">
        <v>141</v>
      </c>
      <c r="E159" s="10">
        <v>0</v>
      </c>
    </row>
    <row r="160" spans="1:5" ht="14.25">
      <c r="A160" s="8" t="s">
        <v>142</v>
      </c>
      <c r="B160" s="8" t="s">
        <v>148</v>
      </c>
      <c r="C160" s="15" t="s">
        <v>310</v>
      </c>
      <c r="D160" s="355" t="s">
        <v>446</v>
      </c>
      <c r="E160" s="16">
        <v>0.05</v>
      </c>
    </row>
    <row r="161" spans="1:5" ht="14.25">
      <c r="A161" s="8" t="s">
        <v>150</v>
      </c>
      <c r="B161" s="8" t="s">
        <v>162</v>
      </c>
      <c r="C161" s="8" t="s">
        <v>311</v>
      </c>
      <c r="D161" s="354" t="s">
        <v>165</v>
      </c>
      <c r="E161" s="10">
        <v>0</v>
      </c>
    </row>
    <row r="162" spans="1:5" ht="14.25">
      <c r="A162" s="8" t="s">
        <v>142</v>
      </c>
      <c r="B162" s="8" t="s">
        <v>143</v>
      </c>
      <c r="C162" s="13" t="s">
        <v>143</v>
      </c>
      <c r="D162" s="352" t="s">
        <v>445</v>
      </c>
      <c r="E162" s="14">
        <v>0.1</v>
      </c>
    </row>
    <row r="163" spans="1:5" ht="14.25">
      <c r="A163" s="8" t="s">
        <v>153</v>
      </c>
      <c r="B163" s="8" t="s">
        <v>268</v>
      </c>
      <c r="C163" s="8" t="s">
        <v>312</v>
      </c>
      <c r="D163" s="354" t="s">
        <v>141</v>
      </c>
      <c r="E163" s="10">
        <v>0</v>
      </c>
    </row>
    <row r="164" spans="1:5" ht="14.25">
      <c r="A164" s="8" t="s">
        <v>142</v>
      </c>
      <c r="B164" s="8" t="s">
        <v>148</v>
      </c>
      <c r="C164" s="15" t="s">
        <v>313</v>
      </c>
      <c r="D164" s="355" t="s">
        <v>446</v>
      </c>
      <c r="E164" s="16">
        <v>0.05</v>
      </c>
    </row>
    <row r="165" spans="1:5" ht="14.25">
      <c r="A165" s="8" t="s">
        <v>146</v>
      </c>
      <c r="B165" s="8" t="s">
        <v>179</v>
      </c>
      <c r="C165" s="8" t="s">
        <v>314</v>
      </c>
      <c r="D165" s="354" t="s">
        <v>145</v>
      </c>
      <c r="E165" s="10">
        <v>0</v>
      </c>
    </row>
    <row r="166" spans="1:5" ht="14.25">
      <c r="A166" s="8" t="s">
        <v>137</v>
      </c>
      <c r="B166" s="8" t="s">
        <v>200</v>
      </c>
      <c r="C166" s="8" t="s">
        <v>315</v>
      </c>
      <c r="D166" s="354" t="s">
        <v>141</v>
      </c>
      <c r="E166" s="10">
        <v>0</v>
      </c>
    </row>
    <row r="167" spans="1:5" ht="14.25">
      <c r="A167" s="8" t="s">
        <v>137</v>
      </c>
      <c r="B167" s="8" t="s">
        <v>139</v>
      </c>
      <c r="C167" s="356" t="s">
        <v>1432</v>
      </c>
      <c r="D167" s="354" t="s">
        <v>141</v>
      </c>
      <c r="E167" s="10">
        <v>0</v>
      </c>
    </row>
    <row r="168" spans="1:5" ht="14.25">
      <c r="A168" s="8" t="s">
        <v>137</v>
      </c>
      <c r="B168" s="8" t="s">
        <v>139</v>
      </c>
      <c r="C168" s="356" t="s">
        <v>1432</v>
      </c>
      <c r="D168" s="354" t="s">
        <v>141</v>
      </c>
      <c r="E168" s="10">
        <v>0</v>
      </c>
    </row>
    <row r="169" spans="1:5" ht="14.25">
      <c r="A169" s="8" t="s">
        <v>137</v>
      </c>
      <c r="B169" s="8" t="s">
        <v>139</v>
      </c>
      <c r="C169" s="356" t="s">
        <v>1432</v>
      </c>
      <c r="D169" s="354" t="s">
        <v>141</v>
      </c>
      <c r="E169" s="10">
        <v>0</v>
      </c>
    </row>
    <row r="170" spans="1:5" ht="14.25">
      <c r="A170" s="8" t="s">
        <v>146</v>
      </c>
      <c r="B170" s="8" t="s">
        <v>160</v>
      </c>
      <c r="C170" s="8" t="s">
        <v>316</v>
      </c>
      <c r="D170" s="354" t="s">
        <v>141</v>
      </c>
      <c r="E170" s="10">
        <v>0</v>
      </c>
    </row>
    <row r="171" spans="1:5" ht="14.25">
      <c r="A171" s="8" t="s">
        <v>142</v>
      </c>
      <c r="B171" s="8" t="s">
        <v>148</v>
      </c>
      <c r="C171" s="15" t="s">
        <v>317</v>
      </c>
      <c r="D171" s="355" t="s">
        <v>446</v>
      </c>
      <c r="E171" s="16">
        <v>0.05</v>
      </c>
    </row>
    <row r="172" spans="1:5" ht="14.25">
      <c r="A172" s="8" t="s">
        <v>146</v>
      </c>
      <c r="B172" s="8" t="s">
        <v>146</v>
      </c>
      <c r="C172" s="8" t="s">
        <v>318</v>
      </c>
      <c r="D172" s="354" t="s">
        <v>141</v>
      </c>
      <c r="E172" s="10">
        <v>0</v>
      </c>
    </row>
    <row r="173" spans="1:5" ht="14.25">
      <c r="A173" s="8" t="s">
        <v>142</v>
      </c>
      <c r="B173" s="8" t="s">
        <v>143</v>
      </c>
      <c r="C173" s="8" t="s">
        <v>319</v>
      </c>
      <c r="D173" s="354" t="s">
        <v>141</v>
      </c>
      <c r="E173" s="10">
        <v>0</v>
      </c>
    </row>
    <row r="174" spans="1:5" ht="14.25">
      <c r="A174" s="8" t="s">
        <v>137</v>
      </c>
      <c r="B174" s="8" t="s">
        <v>139</v>
      </c>
      <c r="C174" s="8" t="s">
        <v>320</v>
      </c>
      <c r="D174" s="354" t="s">
        <v>141</v>
      </c>
      <c r="E174" s="10">
        <v>0</v>
      </c>
    </row>
    <row r="175" spans="1:5" ht="14.25">
      <c r="A175" s="8" t="s">
        <v>137</v>
      </c>
      <c r="B175" s="8" t="s">
        <v>185</v>
      </c>
      <c r="C175" s="8" t="s">
        <v>321</v>
      </c>
      <c r="D175" s="354" t="s">
        <v>145</v>
      </c>
      <c r="E175" s="10">
        <v>0</v>
      </c>
    </row>
    <row r="176" spans="1:5" ht="14.25">
      <c r="A176" s="8" t="s">
        <v>150</v>
      </c>
      <c r="B176" s="8" t="s">
        <v>190</v>
      </c>
      <c r="C176" s="8" t="s">
        <v>322</v>
      </c>
      <c r="D176" s="354" t="s">
        <v>165</v>
      </c>
      <c r="E176" s="10">
        <v>0</v>
      </c>
    </row>
    <row r="177" spans="1:5" ht="14.25">
      <c r="A177" s="8" t="s">
        <v>142</v>
      </c>
      <c r="B177" s="8" t="s">
        <v>148</v>
      </c>
      <c r="C177" s="15" t="s">
        <v>323</v>
      </c>
      <c r="D177" s="355" t="s">
        <v>446</v>
      </c>
      <c r="E177" s="16">
        <v>0.05</v>
      </c>
    </row>
    <row r="178" spans="1:5" ht="14.25">
      <c r="A178" s="8" t="s">
        <v>153</v>
      </c>
      <c r="B178" s="8" t="s">
        <v>220</v>
      </c>
      <c r="C178" s="8" t="s">
        <v>324</v>
      </c>
      <c r="D178" s="354" t="s">
        <v>141</v>
      </c>
      <c r="E178" s="10">
        <v>0</v>
      </c>
    </row>
    <row r="179" spans="1:5" ht="14.25">
      <c r="A179" s="8" t="s">
        <v>142</v>
      </c>
      <c r="B179" s="8" t="s">
        <v>143</v>
      </c>
      <c r="C179" s="8" t="s">
        <v>325</v>
      </c>
      <c r="D179" s="354" t="s">
        <v>141</v>
      </c>
      <c r="E179" s="10">
        <v>0</v>
      </c>
    </row>
    <row r="180" spans="1:5" ht="14.25">
      <c r="A180" s="8" t="s">
        <v>150</v>
      </c>
      <c r="B180" s="8" t="s">
        <v>162</v>
      </c>
      <c r="C180" s="8" t="s">
        <v>326</v>
      </c>
      <c r="D180" s="354" t="s">
        <v>141</v>
      </c>
      <c r="E180" s="10">
        <v>0</v>
      </c>
    </row>
    <row r="181" spans="1:5" ht="14.25">
      <c r="A181" s="8" t="s">
        <v>137</v>
      </c>
      <c r="B181" s="8" t="s">
        <v>200</v>
      </c>
      <c r="C181" s="8" t="s">
        <v>327</v>
      </c>
      <c r="D181" s="354" t="s">
        <v>141</v>
      </c>
      <c r="E181" s="10">
        <v>0</v>
      </c>
    </row>
    <row r="182" spans="1:5" ht="14.25">
      <c r="A182" s="8" t="s">
        <v>150</v>
      </c>
      <c r="B182" s="8" t="s">
        <v>190</v>
      </c>
      <c r="C182" s="8" t="s">
        <v>190</v>
      </c>
      <c r="D182" s="354" t="s">
        <v>165</v>
      </c>
      <c r="E182" s="10">
        <v>0</v>
      </c>
    </row>
    <row r="183" spans="1:5" ht="14.25">
      <c r="A183" s="8" t="s">
        <v>150</v>
      </c>
      <c r="B183" s="8" t="s">
        <v>151</v>
      </c>
      <c r="C183" s="8" t="s">
        <v>328</v>
      </c>
      <c r="D183" s="354" t="s">
        <v>165</v>
      </c>
      <c r="E183" s="10">
        <v>0</v>
      </c>
    </row>
    <row r="184" spans="1:5" ht="14.25">
      <c r="A184" s="8" t="s">
        <v>142</v>
      </c>
      <c r="B184" s="8" t="s">
        <v>148</v>
      </c>
      <c r="C184" s="15" t="s">
        <v>329</v>
      </c>
      <c r="D184" s="355" t="s">
        <v>446</v>
      </c>
      <c r="E184" s="16">
        <v>0.05</v>
      </c>
    </row>
    <row r="185" spans="1:5" ht="14.25">
      <c r="A185" s="8" t="s">
        <v>137</v>
      </c>
      <c r="B185" s="8" t="s">
        <v>166</v>
      </c>
      <c r="C185" s="8" t="s">
        <v>330</v>
      </c>
      <c r="D185" s="354" t="s">
        <v>141</v>
      </c>
      <c r="E185" s="10">
        <v>0</v>
      </c>
    </row>
    <row r="186" spans="1:5" ht="14.25">
      <c r="A186" s="8" t="s">
        <v>146</v>
      </c>
      <c r="B186" s="8" t="s">
        <v>146</v>
      </c>
      <c r="C186" s="8" t="s">
        <v>331</v>
      </c>
      <c r="D186" s="354" t="s">
        <v>141</v>
      </c>
      <c r="E186" s="10">
        <v>0</v>
      </c>
    </row>
    <row r="187" spans="1:5" ht="14.25">
      <c r="A187" s="8" t="s">
        <v>146</v>
      </c>
      <c r="B187" s="8" t="s">
        <v>179</v>
      </c>
      <c r="C187" s="13" t="s">
        <v>179</v>
      </c>
      <c r="D187" s="352" t="s">
        <v>445</v>
      </c>
      <c r="E187" s="14">
        <v>0.1</v>
      </c>
    </row>
    <row r="188" spans="1:5" ht="14.25">
      <c r="A188" s="8" t="s">
        <v>146</v>
      </c>
      <c r="B188" s="8" t="s">
        <v>160</v>
      </c>
      <c r="C188" s="8" t="s">
        <v>332</v>
      </c>
      <c r="D188" s="354" t="s">
        <v>141</v>
      </c>
      <c r="E188" s="10">
        <v>0</v>
      </c>
    </row>
    <row r="189" spans="1:5" ht="14.25">
      <c r="A189" s="8" t="s">
        <v>142</v>
      </c>
      <c r="B189" s="8" t="s">
        <v>148</v>
      </c>
      <c r="C189" s="15" t="s">
        <v>333</v>
      </c>
      <c r="D189" s="355" t="s">
        <v>446</v>
      </c>
      <c r="E189" s="16">
        <v>0.05</v>
      </c>
    </row>
    <row r="190" spans="1:5" ht="14.25">
      <c r="A190" s="8" t="s">
        <v>137</v>
      </c>
      <c r="B190" s="8" t="s">
        <v>139</v>
      </c>
      <c r="C190" s="8" t="s">
        <v>334</v>
      </c>
      <c r="D190" s="354" t="s">
        <v>141</v>
      </c>
      <c r="E190" s="10">
        <v>0</v>
      </c>
    </row>
    <row r="191" spans="1:5" ht="14.25">
      <c r="A191" s="8" t="s">
        <v>153</v>
      </c>
      <c r="B191" s="8" t="s">
        <v>156</v>
      </c>
      <c r="C191" s="8" t="s">
        <v>335</v>
      </c>
      <c r="D191" s="354" t="s">
        <v>165</v>
      </c>
      <c r="E191" s="10">
        <v>0</v>
      </c>
    </row>
    <row r="192" spans="1:5" ht="14.25">
      <c r="A192" s="8" t="s">
        <v>142</v>
      </c>
      <c r="B192" s="8" t="s">
        <v>148</v>
      </c>
      <c r="C192" s="15" t="s">
        <v>336</v>
      </c>
      <c r="D192" s="355" t="s">
        <v>446</v>
      </c>
      <c r="E192" s="16">
        <v>0.05</v>
      </c>
    </row>
    <row r="193" spans="1:5" ht="14.25">
      <c r="A193" s="8" t="s">
        <v>137</v>
      </c>
      <c r="B193" s="8" t="s">
        <v>139</v>
      </c>
      <c r="C193" s="8" t="s">
        <v>337</v>
      </c>
      <c r="D193" s="354" t="s">
        <v>141</v>
      </c>
      <c r="E193" s="10">
        <v>0</v>
      </c>
    </row>
    <row r="194" spans="1:5" ht="14.25">
      <c r="A194" s="8" t="s">
        <v>146</v>
      </c>
      <c r="B194" s="8" t="s">
        <v>160</v>
      </c>
      <c r="C194" s="8" t="s">
        <v>338</v>
      </c>
      <c r="D194" s="354" t="s">
        <v>141</v>
      </c>
      <c r="E194" s="10">
        <v>0</v>
      </c>
    </row>
    <row r="195" spans="1:5" ht="14.25">
      <c r="A195" s="8" t="s">
        <v>153</v>
      </c>
      <c r="B195" s="8" t="s">
        <v>262</v>
      </c>
      <c r="C195" s="8" t="s">
        <v>339</v>
      </c>
      <c r="D195" s="354" t="s">
        <v>141</v>
      </c>
      <c r="E195" s="10">
        <v>0</v>
      </c>
    </row>
    <row r="196" spans="1:5" ht="14.25">
      <c r="A196" s="8" t="s">
        <v>153</v>
      </c>
      <c r="B196" s="8" t="s">
        <v>158</v>
      </c>
      <c r="C196" s="8" t="s">
        <v>340</v>
      </c>
      <c r="D196" s="354" t="s">
        <v>141</v>
      </c>
      <c r="E196" s="10">
        <v>0</v>
      </c>
    </row>
    <row r="197" spans="1:5" ht="14.25">
      <c r="A197" s="8" t="s">
        <v>153</v>
      </c>
      <c r="B197" s="8" t="s">
        <v>204</v>
      </c>
      <c r="C197" s="8" t="s">
        <v>341</v>
      </c>
      <c r="D197" s="354" t="s">
        <v>174</v>
      </c>
      <c r="E197" s="10">
        <v>0</v>
      </c>
    </row>
    <row r="198" spans="1:5" ht="14.25">
      <c r="A198" s="8" t="s">
        <v>137</v>
      </c>
      <c r="B198" s="8" t="s">
        <v>139</v>
      </c>
      <c r="C198" s="8" t="s">
        <v>342</v>
      </c>
      <c r="D198" s="354" t="s">
        <v>141</v>
      </c>
      <c r="E198" s="10">
        <v>0</v>
      </c>
    </row>
    <row r="199" spans="1:5" ht="14.25">
      <c r="A199" s="8" t="s">
        <v>146</v>
      </c>
      <c r="B199" s="8" t="s">
        <v>160</v>
      </c>
      <c r="C199" s="8" t="s">
        <v>343</v>
      </c>
      <c r="D199" s="354" t="s">
        <v>145</v>
      </c>
      <c r="E199" s="10">
        <v>0</v>
      </c>
    </row>
    <row r="200" spans="1:5" ht="14.25">
      <c r="A200" s="8" t="s">
        <v>153</v>
      </c>
      <c r="B200" s="8" t="s">
        <v>268</v>
      </c>
      <c r="C200" s="8" t="s">
        <v>344</v>
      </c>
      <c r="D200" s="354" t="s">
        <v>141</v>
      </c>
      <c r="E200" s="10">
        <v>0</v>
      </c>
    </row>
    <row r="201" spans="1:5" ht="14.25">
      <c r="A201" s="8" t="s">
        <v>146</v>
      </c>
      <c r="B201" s="8" t="s">
        <v>146</v>
      </c>
      <c r="C201" s="8" t="s">
        <v>345</v>
      </c>
      <c r="D201" s="354" t="s">
        <v>141</v>
      </c>
      <c r="E201" s="10">
        <v>0</v>
      </c>
    </row>
    <row r="202" spans="1:5" ht="14.25">
      <c r="A202" s="8" t="s">
        <v>137</v>
      </c>
      <c r="B202" s="8" t="s">
        <v>139</v>
      </c>
      <c r="C202" s="8" t="s">
        <v>346</v>
      </c>
      <c r="D202" s="354" t="s">
        <v>141</v>
      </c>
      <c r="E202" s="10">
        <v>0</v>
      </c>
    </row>
    <row r="203" spans="1:5" ht="14.25">
      <c r="A203" s="8" t="s">
        <v>146</v>
      </c>
      <c r="B203" s="8" t="s">
        <v>146</v>
      </c>
      <c r="C203" s="8" t="s">
        <v>348</v>
      </c>
      <c r="D203" s="354" t="s">
        <v>141</v>
      </c>
      <c r="E203" s="10">
        <v>0</v>
      </c>
    </row>
    <row r="204" spans="1:5" ht="14.25">
      <c r="A204" s="8" t="s">
        <v>150</v>
      </c>
      <c r="B204" s="8" t="s">
        <v>162</v>
      </c>
      <c r="C204" s="8" t="s">
        <v>349</v>
      </c>
      <c r="D204" s="354" t="s">
        <v>141</v>
      </c>
      <c r="E204" s="10">
        <v>0</v>
      </c>
    </row>
    <row r="205" spans="1:5" ht="14.25">
      <c r="A205" s="8" t="s">
        <v>153</v>
      </c>
      <c r="B205" s="8" t="s">
        <v>154</v>
      </c>
      <c r="C205" s="8" t="s">
        <v>350</v>
      </c>
      <c r="D205" s="354" t="s">
        <v>141</v>
      </c>
      <c r="E205" s="10">
        <v>0</v>
      </c>
    </row>
    <row r="206" spans="1:5" ht="14.25">
      <c r="A206" s="8" t="s">
        <v>146</v>
      </c>
      <c r="B206" s="8" t="s">
        <v>179</v>
      </c>
      <c r="C206" s="8" t="s">
        <v>351</v>
      </c>
      <c r="D206" s="354" t="s">
        <v>141</v>
      </c>
      <c r="E206" s="10">
        <v>0</v>
      </c>
    </row>
    <row r="207" spans="1:5" ht="14.25">
      <c r="A207" s="8" t="s">
        <v>137</v>
      </c>
      <c r="B207" s="8" t="s">
        <v>138</v>
      </c>
      <c r="C207" s="8" t="s">
        <v>352</v>
      </c>
      <c r="D207" s="354" t="s">
        <v>165</v>
      </c>
      <c r="E207" s="10">
        <v>0</v>
      </c>
    </row>
    <row r="208" spans="1:5" ht="14.25">
      <c r="A208" s="8" t="s">
        <v>146</v>
      </c>
      <c r="B208" s="8" t="s">
        <v>160</v>
      </c>
      <c r="C208" s="8" t="s">
        <v>353</v>
      </c>
      <c r="D208" s="354" t="s">
        <v>141</v>
      </c>
      <c r="E208" s="10">
        <v>0</v>
      </c>
    </row>
    <row r="209" spans="1:5" ht="14.25">
      <c r="A209" s="8" t="s">
        <v>153</v>
      </c>
      <c r="B209" s="8" t="s">
        <v>204</v>
      </c>
      <c r="C209" s="13" t="s">
        <v>204</v>
      </c>
      <c r="D209" s="352" t="s">
        <v>445</v>
      </c>
      <c r="E209" s="14">
        <v>0.1</v>
      </c>
    </row>
    <row r="210" spans="1:5" ht="14.25">
      <c r="A210" s="8" t="s">
        <v>137</v>
      </c>
      <c r="B210" s="8" t="s">
        <v>139</v>
      </c>
      <c r="C210" s="8" t="s">
        <v>354</v>
      </c>
      <c r="D210" s="354" t="s">
        <v>141</v>
      </c>
      <c r="E210" s="10">
        <v>0</v>
      </c>
    </row>
    <row r="211" spans="1:5" ht="14.25">
      <c r="A211" s="8" t="s">
        <v>153</v>
      </c>
      <c r="B211" s="8" t="s">
        <v>171</v>
      </c>
      <c r="C211" s="8" t="s">
        <v>355</v>
      </c>
      <c r="D211" s="354" t="s">
        <v>174</v>
      </c>
      <c r="E211" s="10">
        <v>0</v>
      </c>
    </row>
    <row r="212" spans="1:5" ht="14.25">
      <c r="A212" s="8" t="s">
        <v>153</v>
      </c>
      <c r="B212" s="8" t="s">
        <v>158</v>
      </c>
      <c r="C212" s="8" t="s">
        <v>356</v>
      </c>
      <c r="D212" s="354" t="s">
        <v>141</v>
      </c>
      <c r="E212" s="10">
        <v>0</v>
      </c>
    </row>
    <row r="213" spans="1:5" ht="14.25">
      <c r="A213" s="8" t="s">
        <v>142</v>
      </c>
      <c r="B213" s="8" t="s">
        <v>148</v>
      </c>
      <c r="C213" s="15" t="s">
        <v>357</v>
      </c>
      <c r="D213" s="355" t="s">
        <v>446</v>
      </c>
      <c r="E213" s="16">
        <v>0.05</v>
      </c>
    </row>
    <row r="214" spans="1:5" ht="14.25">
      <c r="A214" s="8" t="s">
        <v>137</v>
      </c>
      <c r="B214" s="8" t="s">
        <v>200</v>
      </c>
      <c r="C214" s="8" t="s">
        <v>200</v>
      </c>
      <c r="D214" s="354" t="s">
        <v>145</v>
      </c>
      <c r="E214" s="10">
        <v>0</v>
      </c>
    </row>
    <row r="215" spans="1:5" ht="14.25">
      <c r="A215" s="8" t="s">
        <v>153</v>
      </c>
      <c r="B215" s="8" t="s">
        <v>204</v>
      </c>
      <c r="C215" s="8" t="s">
        <v>358</v>
      </c>
      <c r="D215" s="354" t="s">
        <v>141</v>
      </c>
      <c r="E215" s="10">
        <v>0</v>
      </c>
    </row>
    <row r="216" spans="1:5" ht="14.25">
      <c r="A216" s="8" t="s">
        <v>142</v>
      </c>
      <c r="B216" s="8" t="s">
        <v>143</v>
      </c>
      <c r="C216" s="8" t="s">
        <v>359</v>
      </c>
      <c r="D216" s="354" t="s">
        <v>141</v>
      </c>
      <c r="E216" s="10">
        <v>0</v>
      </c>
    </row>
    <row r="217" spans="1:5" ht="14.25">
      <c r="A217" s="8" t="s">
        <v>150</v>
      </c>
      <c r="B217" s="8" t="s">
        <v>190</v>
      </c>
      <c r="C217" s="351" t="s">
        <v>1433</v>
      </c>
      <c r="D217" s="354" t="s">
        <v>141</v>
      </c>
      <c r="E217" s="10">
        <v>0</v>
      </c>
    </row>
    <row r="218" spans="1:5" ht="14.25">
      <c r="A218" s="8" t="s">
        <v>150</v>
      </c>
      <c r="B218" s="8" t="s">
        <v>162</v>
      </c>
      <c r="C218" s="351" t="s">
        <v>1433</v>
      </c>
      <c r="D218" s="354" t="s">
        <v>141</v>
      </c>
      <c r="E218" s="10">
        <v>0</v>
      </c>
    </row>
    <row r="219" spans="1:5" ht="14.25">
      <c r="A219" s="8" t="s">
        <v>146</v>
      </c>
      <c r="B219" s="8" t="s">
        <v>160</v>
      </c>
      <c r="C219" s="8" t="s">
        <v>360</v>
      </c>
      <c r="D219" s="354" t="s">
        <v>174</v>
      </c>
      <c r="E219" s="10">
        <v>0</v>
      </c>
    </row>
    <row r="220" spans="1:5" ht="14.25">
      <c r="A220" s="8" t="s">
        <v>142</v>
      </c>
      <c r="B220" s="8" t="s">
        <v>148</v>
      </c>
      <c r="C220" s="15" t="s">
        <v>361</v>
      </c>
      <c r="D220" s="355" t="s">
        <v>446</v>
      </c>
      <c r="E220" s="16">
        <v>0.05</v>
      </c>
    </row>
    <row r="221" spans="1:5" ht="14.25">
      <c r="A221" s="8" t="s">
        <v>150</v>
      </c>
      <c r="B221" s="8" t="s">
        <v>190</v>
      </c>
      <c r="C221" s="8" t="s">
        <v>362</v>
      </c>
      <c r="D221" s="354" t="s">
        <v>141</v>
      </c>
      <c r="E221" s="10">
        <v>0</v>
      </c>
    </row>
    <row r="222" spans="1:5" ht="14.25">
      <c r="A222" s="8" t="s">
        <v>150</v>
      </c>
      <c r="B222" s="8" t="s">
        <v>190</v>
      </c>
      <c r="C222" s="8" t="s">
        <v>1430</v>
      </c>
      <c r="D222" s="354" t="s">
        <v>165</v>
      </c>
      <c r="E222" s="10">
        <v>0</v>
      </c>
    </row>
    <row r="223" spans="1:5" ht="14.25">
      <c r="A223" s="8" t="s">
        <v>150</v>
      </c>
      <c r="B223" s="8" t="s">
        <v>190</v>
      </c>
      <c r="C223" s="8" t="s">
        <v>1430</v>
      </c>
      <c r="D223" s="354" t="s">
        <v>165</v>
      </c>
      <c r="E223" s="10">
        <v>0</v>
      </c>
    </row>
    <row r="224" spans="1:5" ht="14.25">
      <c r="A224" s="8" t="s">
        <v>142</v>
      </c>
      <c r="B224" s="8" t="s">
        <v>148</v>
      </c>
      <c r="C224" s="15" t="s">
        <v>363</v>
      </c>
      <c r="D224" s="355" t="s">
        <v>446</v>
      </c>
      <c r="E224" s="16">
        <v>0.05</v>
      </c>
    </row>
    <row r="225" spans="1:5" ht="14.25">
      <c r="A225" s="8" t="s">
        <v>153</v>
      </c>
      <c r="B225" s="8" t="s">
        <v>158</v>
      </c>
      <c r="C225" s="8" t="s">
        <v>364</v>
      </c>
      <c r="D225" s="354" t="s">
        <v>141</v>
      </c>
      <c r="E225" s="10">
        <v>0</v>
      </c>
    </row>
    <row r="226" spans="1:5" ht="14.25">
      <c r="A226" s="8" t="s">
        <v>153</v>
      </c>
      <c r="B226" s="8" t="s">
        <v>262</v>
      </c>
      <c r="C226" s="8" t="s">
        <v>365</v>
      </c>
      <c r="D226" s="354" t="s">
        <v>165</v>
      </c>
      <c r="E226" s="10">
        <v>0</v>
      </c>
    </row>
    <row r="227" spans="1:5" ht="14.25">
      <c r="A227" s="8" t="s">
        <v>146</v>
      </c>
      <c r="B227" s="8" t="s">
        <v>179</v>
      </c>
      <c r="C227" s="8" t="s">
        <v>366</v>
      </c>
      <c r="D227" s="354" t="s">
        <v>141</v>
      </c>
      <c r="E227" s="10">
        <v>0</v>
      </c>
    </row>
    <row r="228" spans="1:5" ht="14.25">
      <c r="A228" s="8" t="s">
        <v>146</v>
      </c>
      <c r="B228" s="8" t="s">
        <v>179</v>
      </c>
      <c r="C228" s="351" t="s">
        <v>1434</v>
      </c>
      <c r="D228" s="354" t="s">
        <v>141</v>
      </c>
      <c r="E228" s="10">
        <v>0</v>
      </c>
    </row>
    <row r="229" spans="1:5" ht="14.25">
      <c r="A229" s="8" t="s">
        <v>146</v>
      </c>
      <c r="B229" s="8" t="s">
        <v>179</v>
      </c>
      <c r="C229" s="351" t="s">
        <v>1434</v>
      </c>
      <c r="D229" s="354" t="s">
        <v>141</v>
      </c>
      <c r="E229" s="10">
        <v>0</v>
      </c>
    </row>
    <row r="230" spans="1:5" ht="14.25">
      <c r="A230" s="8" t="s">
        <v>146</v>
      </c>
      <c r="B230" s="8" t="s">
        <v>146</v>
      </c>
      <c r="C230" s="8" t="s">
        <v>368</v>
      </c>
      <c r="D230" s="354" t="s">
        <v>141</v>
      </c>
      <c r="E230" s="10">
        <v>0</v>
      </c>
    </row>
    <row r="231" spans="1:5" ht="14.25">
      <c r="A231" s="8" t="s">
        <v>462</v>
      </c>
      <c r="B231" s="8" t="s">
        <v>462</v>
      </c>
      <c r="C231" s="8" t="s">
        <v>461</v>
      </c>
      <c r="D231" s="354" t="s">
        <v>463</v>
      </c>
      <c r="E231" s="10">
        <v>0</v>
      </c>
    </row>
    <row r="232" spans="1:5" ht="14.25">
      <c r="A232" s="8" t="s">
        <v>146</v>
      </c>
      <c r="B232" s="8" t="s">
        <v>160</v>
      </c>
      <c r="C232" s="8" t="s">
        <v>369</v>
      </c>
      <c r="D232" s="354" t="s">
        <v>141</v>
      </c>
      <c r="E232" s="10">
        <v>0</v>
      </c>
    </row>
    <row r="233" spans="1:5" ht="14.25">
      <c r="A233" s="8" t="s">
        <v>146</v>
      </c>
      <c r="B233" s="8" t="s">
        <v>160</v>
      </c>
      <c r="C233" s="8" t="s">
        <v>370</v>
      </c>
      <c r="D233" s="354" t="s">
        <v>141</v>
      </c>
      <c r="E233" s="10">
        <v>0</v>
      </c>
    </row>
    <row r="234" spans="1:5" ht="14.25">
      <c r="A234" s="8" t="s">
        <v>150</v>
      </c>
      <c r="B234" s="8" t="s">
        <v>151</v>
      </c>
      <c r="C234" s="8" t="s">
        <v>371</v>
      </c>
      <c r="D234" s="354" t="s">
        <v>141</v>
      </c>
      <c r="E234" s="10">
        <v>0</v>
      </c>
    </row>
    <row r="235" spans="1:5" ht="14.25">
      <c r="A235" s="8" t="s">
        <v>146</v>
      </c>
      <c r="B235" s="8" t="s">
        <v>160</v>
      </c>
      <c r="C235" s="8" t="s">
        <v>372</v>
      </c>
      <c r="D235" s="354" t="s">
        <v>141</v>
      </c>
      <c r="E235" s="10">
        <v>0</v>
      </c>
    </row>
    <row r="236" spans="1:5" ht="14.25">
      <c r="A236" s="8" t="s">
        <v>153</v>
      </c>
      <c r="B236" s="8" t="s">
        <v>268</v>
      </c>
      <c r="C236" s="13" t="s">
        <v>268</v>
      </c>
      <c r="D236" s="352" t="s">
        <v>445</v>
      </c>
      <c r="E236" s="14">
        <v>0.1</v>
      </c>
    </row>
    <row r="237" spans="1:5" ht="14.25">
      <c r="A237" s="8" t="s">
        <v>137</v>
      </c>
      <c r="B237" s="8" t="s">
        <v>200</v>
      </c>
      <c r="C237" s="8" t="s">
        <v>373</v>
      </c>
      <c r="D237" s="354" t="s">
        <v>145</v>
      </c>
      <c r="E237" s="10">
        <v>0</v>
      </c>
    </row>
    <row r="238" spans="1:5" ht="14.25">
      <c r="A238" s="8" t="s">
        <v>142</v>
      </c>
      <c r="B238" s="8" t="s">
        <v>148</v>
      </c>
      <c r="C238" s="15" t="s">
        <v>374</v>
      </c>
      <c r="D238" s="355" t="s">
        <v>446</v>
      </c>
      <c r="E238" s="16">
        <v>0.05</v>
      </c>
    </row>
    <row r="239" spans="1:5" ht="14.25">
      <c r="A239" s="8" t="s">
        <v>142</v>
      </c>
      <c r="B239" s="8" t="s">
        <v>143</v>
      </c>
      <c r="C239" s="8" t="s">
        <v>375</v>
      </c>
      <c r="D239" s="354" t="s">
        <v>141</v>
      </c>
      <c r="E239" s="10">
        <v>0</v>
      </c>
    </row>
    <row r="240" spans="1:5" ht="14.25">
      <c r="A240" s="8" t="s">
        <v>153</v>
      </c>
      <c r="B240" s="8" t="s">
        <v>158</v>
      </c>
      <c r="C240" s="8" t="s">
        <v>376</v>
      </c>
      <c r="D240" s="354" t="s">
        <v>141</v>
      </c>
      <c r="E240" s="10">
        <v>0</v>
      </c>
    </row>
    <row r="241" spans="1:5" ht="14.25">
      <c r="A241" s="8" t="s">
        <v>146</v>
      </c>
      <c r="B241" s="8" t="s">
        <v>146</v>
      </c>
      <c r="C241" s="8" t="s">
        <v>377</v>
      </c>
      <c r="D241" s="354" t="s">
        <v>141</v>
      </c>
      <c r="E241" s="10">
        <v>0</v>
      </c>
    </row>
    <row r="242" spans="1:5" ht="14.25">
      <c r="A242" s="8" t="s">
        <v>146</v>
      </c>
      <c r="B242" s="8" t="s">
        <v>146</v>
      </c>
      <c r="C242" s="8" t="s">
        <v>378</v>
      </c>
      <c r="D242" s="354" t="s">
        <v>141</v>
      </c>
      <c r="E242" s="10">
        <v>0</v>
      </c>
    </row>
    <row r="243" spans="1:5" ht="14.25">
      <c r="A243" s="8" t="s">
        <v>142</v>
      </c>
      <c r="B243" s="8" t="s">
        <v>143</v>
      </c>
      <c r="C243" s="8" t="s">
        <v>379</v>
      </c>
      <c r="D243" s="354" t="s">
        <v>141</v>
      </c>
      <c r="E243" s="10">
        <v>0</v>
      </c>
    </row>
    <row r="244" spans="1:5" ht="14.25">
      <c r="A244" s="8" t="s">
        <v>146</v>
      </c>
      <c r="B244" s="8" t="s">
        <v>146</v>
      </c>
      <c r="C244" s="8" t="s">
        <v>380</v>
      </c>
      <c r="D244" s="354" t="s">
        <v>141</v>
      </c>
      <c r="E244" s="10">
        <v>0</v>
      </c>
    </row>
    <row r="245" spans="1:5" ht="14.25">
      <c r="A245" s="8" t="s">
        <v>146</v>
      </c>
      <c r="B245" s="8" t="s">
        <v>146</v>
      </c>
      <c r="C245" s="8" t="s">
        <v>381</v>
      </c>
      <c r="D245" s="354" t="s">
        <v>141</v>
      </c>
      <c r="E245" s="10">
        <v>0</v>
      </c>
    </row>
    <row r="246" spans="1:5" ht="14.25">
      <c r="A246" s="8" t="s">
        <v>142</v>
      </c>
      <c r="B246" s="8" t="s">
        <v>148</v>
      </c>
      <c r="C246" s="15" t="s">
        <v>382</v>
      </c>
      <c r="D246" s="355" t="s">
        <v>446</v>
      </c>
      <c r="E246" s="16">
        <v>0.05</v>
      </c>
    </row>
    <row r="247" spans="1:5" ht="14.25">
      <c r="A247" s="8" t="s">
        <v>137</v>
      </c>
      <c r="B247" s="8" t="s">
        <v>185</v>
      </c>
      <c r="C247" s="8" t="s">
        <v>383</v>
      </c>
      <c r="D247" s="354" t="s">
        <v>141</v>
      </c>
      <c r="E247" s="10">
        <v>0</v>
      </c>
    </row>
    <row r="248" spans="1:5" ht="14.25">
      <c r="A248" s="8" t="s">
        <v>146</v>
      </c>
      <c r="B248" s="8" t="s">
        <v>179</v>
      </c>
      <c r="C248" s="8" t="s">
        <v>384</v>
      </c>
      <c r="D248" s="354" t="s">
        <v>174</v>
      </c>
      <c r="E248" s="10">
        <v>0</v>
      </c>
    </row>
    <row r="249" spans="1:5" ht="14.25">
      <c r="A249" s="8" t="s">
        <v>137</v>
      </c>
      <c r="B249" s="8" t="s">
        <v>166</v>
      </c>
      <c r="C249" s="8" t="s">
        <v>385</v>
      </c>
      <c r="D249" s="354" t="s">
        <v>141</v>
      </c>
      <c r="E249" s="10">
        <v>0</v>
      </c>
    </row>
    <row r="250" spans="1:5" ht="14.25">
      <c r="A250" s="8" t="s">
        <v>137</v>
      </c>
      <c r="B250" s="8" t="s">
        <v>138</v>
      </c>
      <c r="C250" s="8" t="s">
        <v>386</v>
      </c>
      <c r="D250" s="354" t="s">
        <v>141</v>
      </c>
      <c r="E250" s="10">
        <v>0</v>
      </c>
    </row>
    <row r="251" spans="1:5" ht="14.25">
      <c r="A251" s="8" t="s">
        <v>137</v>
      </c>
      <c r="B251" s="8" t="s">
        <v>139</v>
      </c>
      <c r="C251" s="8" t="s">
        <v>387</v>
      </c>
      <c r="D251" s="354" t="s">
        <v>141</v>
      </c>
      <c r="E251" s="10">
        <v>0</v>
      </c>
    </row>
    <row r="252" spans="1:5" ht="14.25">
      <c r="A252" s="8" t="s">
        <v>137</v>
      </c>
      <c r="B252" s="8" t="s">
        <v>185</v>
      </c>
      <c r="C252" s="13" t="s">
        <v>185</v>
      </c>
      <c r="D252" s="352" t="s">
        <v>445</v>
      </c>
      <c r="E252" s="14">
        <v>0.1</v>
      </c>
    </row>
    <row r="253" spans="1:5" ht="14.25">
      <c r="A253" s="8" t="s">
        <v>142</v>
      </c>
      <c r="B253" s="8" t="s">
        <v>148</v>
      </c>
      <c r="C253" s="15" t="s">
        <v>388</v>
      </c>
      <c r="D253" s="355" t="s">
        <v>446</v>
      </c>
      <c r="E253" s="16">
        <v>0.05</v>
      </c>
    </row>
    <row r="254" spans="1:5" ht="14.25">
      <c r="A254" s="8" t="s">
        <v>150</v>
      </c>
      <c r="B254" s="8" t="s">
        <v>162</v>
      </c>
      <c r="C254" s="8" t="s">
        <v>389</v>
      </c>
      <c r="D254" s="354" t="s">
        <v>145</v>
      </c>
      <c r="E254" s="10">
        <v>0</v>
      </c>
    </row>
    <row r="255" spans="1:5" ht="14.25">
      <c r="A255" s="8" t="s">
        <v>153</v>
      </c>
      <c r="B255" s="8" t="s">
        <v>156</v>
      </c>
      <c r="C255" s="8" t="s">
        <v>390</v>
      </c>
      <c r="D255" s="354" t="s">
        <v>141</v>
      </c>
      <c r="E255" s="10">
        <v>0</v>
      </c>
    </row>
    <row r="256" spans="1:5" ht="14.25">
      <c r="A256" s="8" t="s">
        <v>146</v>
      </c>
      <c r="B256" s="8" t="s">
        <v>146</v>
      </c>
      <c r="C256" s="8" t="s">
        <v>391</v>
      </c>
      <c r="D256" s="354" t="s">
        <v>141</v>
      </c>
      <c r="E256" s="10">
        <v>0</v>
      </c>
    </row>
    <row r="257" spans="1:5" ht="14.25">
      <c r="A257" s="8" t="s">
        <v>153</v>
      </c>
      <c r="B257" s="8" t="s">
        <v>268</v>
      </c>
      <c r="C257" s="8" t="s">
        <v>392</v>
      </c>
      <c r="D257" s="354" t="s">
        <v>141</v>
      </c>
      <c r="E257" s="10">
        <v>0</v>
      </c>
    </row>
    <row r="258" spans="1:5" ht="14.25">
      <c r="A258" s="8" t="s">
        <v>142</v>
      </c>
      <c r="B258" s="8" t="s">
        <v>148</v>
      </c>
      <c r="C258" s="15" t="s">
        <v>393</v>
      </c>
      <c r="D258" s="355" t="s">
        <v>446</v>
      </c>
      <c r="E258" s="16">
        <v>0.05</v>
      </c>
    </row>
    <row r="259" spans="1:5" ht="14.25">
      <c r="A259" s="8" t="s">
        <v>137</v>
      </c>
      <c r="B259" s="8" t="s">
        <v>185</v>
      </c>
      <c r="C259" s="8" t="s">
        <v>394</v>
      </c>
      <c r="D259" s="354" t="s">
        <v>141</v>
      </c>
      <c r="E259" s="10">
        <v>0</v>
      </c>
    </row>
    <row r="260" spans="1:5" ht="14.25">
      <c r="A260" s="8" t="s">
        <v>137</v>
      </c>
      <c r="B260" s="8" t="s">
        <v>185</v>
      </c>
      <c r="C260" s="8" t="s">
        <v>395</v>
      </c>
      <c r="D260" s="354" t="s">
        <v>165</v>
      </c>
      <c r="E260" s="10">
        <v>0</v>
      </c>
    </row>
    <row r="261" spans="1:5" ht="14.25">
      <c r="A261" s="8" t="s">
        <v>142</v>
      </c>
      <c r="B261" s="8" t="s">
        <v>148</v>
      </c>
      <c r="C261" s="15" t="s">
        <v>396</v>
      </c>
      <c r="D261" s="355" t="s">
        <v>446</v>
      </c>
      <c r="E261" s="16">
        <v>0.05</v>
      </c>
    </row>
    <row r="262" spans="1:5" ht="14.25">
      <c r="A262" s="8" t="s">
        <v>142</v>
      </c>
      <c r="B262" s="8" t="s">
        <v>143</v>
      </c>
      <c r="C262" s="15" t="s">
        <v>397</v>
      </c>
      <c r="D262" s="355" t="s">
        <v>446</v>
      </c>
      <c r="E262" s="16">
        <v>0.05</v>
      </c>
    </row>
    <row r="263" spans="1:5" ht="14.25">
      <c r="A263" s="8" t="s">
        <v>150</v>
      </c>
      <c r="B263" s="8" t="s">
        <v>162</v>
      </c>
      <c r="C263" s="8" t="s">
        <v>398</v>
      </c>
      <c r="D263" s="354" t="s">
        <v>141</v>
      </c>
      <c r="E263" s="10">
        <v>0</v>
      </c>
    </row>
    <row r="264" spans="1:5" ht="14.25">
      <c r="A264" s="8" t="s">
        <v>153</v>
      </c>
      <c r="B264" s="8" t="s">
        <v>158</v>
      </c>
      <c r="C264" s="8" t="s">
        <v>158</v>
      </c>
      <c r="D264" s="354" t="s">
        <v>145</v>
      </c>
      <c r="E264" s="10">
        <v>0</v>
      </c>
    </row>
    <row r="265" spans="1:5" ht="14.25">
      <c r="A265" s="8" t="s">
        <v>142</v>
      </c>
      <c r="B265" s="8" t="s">
        <v>143</v>
      </c>
      <c r="C265" s="8" t="s">
        <v>399</v>
      </c>
      <c r="D265" s="354" t="s">
        <v>141</v>
      </c>
      <c r="E265" s="10">
        <v>0</v>
      </c>
    </row>
    <row r="266" spans="1:5" ht="14.25">
      <c r="A266" s="8" t="s">
        <v>142</v>
      </c>
      <c r="B266" s="8" t="s">
        <v>143</v>
      </c>
      <c r="C266" s="8" t="s">
        <v>400</v>
      </c>
      <c r="D266" s="354" t="s">
        <v>145</v>
      </c>
      <c r="E266" s="10">
        <v>0</v>
      </c>
    </row>
    <row r="267" spans="1:5" ht="14.25">
      <c r="A267" s="8" t="s">
        <v>150</v>
      </c>
      <c r="B267" s="8" t="s">
        <v>151</v>
      </c>
      <c r="C267" s="8" t="s">
        <v>151</v>
      </c>
      <c r="D267" s="354" t="s">
        <v>145</v>
      </c>
      <c r="E267" s="10">
        <v>0</v>
      </c>
    </row>
    <row r="268" spans="1:5" ht="14.25">
      <c r="A268" s="8" t="s">
        <v>153</v>
      </c>
      <c r="B268" s="8" t="s">
        <v>171</v>
      </c>
      <c r="C268" s="8" t="s">
        <v>401</v>
      </c>
      <c r="D268" s="354" t="s">
        <v>165</v>
      </c>
      <c r="E268" s="10">
        <v>0</v>
      </c>
    </row>
    <row r="269" spans="1:5" ht="14.25">
      <c r="A269" s="8" t="s">
        <v>142</v>
      </c>
      <c r="B269" s="8" t="s">
        <v>143</v>
      </c>
      <c r="C269" s="8" t="s">
        <v>402</v>
      </c>
      <c r="D269" s="354" t="s">
        <v>141</v>
      </c>
      <c r="E269" s="10">
        <v>0</v>
      </c>
    </row>
    <row r="270" spans="1:5" ht="14.25">
      <c r="A270" s="8" t="s">
        <v>146</v>
      </c>
      <c r="B270" s="8" t="s">
        <v>160</v>
      </c>
      <c r="C270" s="13" t="s">
        <v>160</v>
      </c>
      <c r="D270" s="352" t="s">
        <v>445</v>
      </c>
      <c r="E270" s="14">
        <v>0.1</v>
      </c>
    </row>
    <row r="271" spans="1:5" ht="14.25">
      <c r="A271" s="8" t="s">
        <v>153</v>
      </c>
      <c r="B271" s="8" t="s">
        <v>154</v>
      </c>
      <c r="C271" s="8" t="s">
        <v>154</v>
      </c>
      <c r="D271" s="354" t="s">
        <v>165</v>
      </c>
      <c r="E271" s="10">
        <v>0</v>
      </c>
    </row>
    <row r="272" spans="1:5" ht="14.25">
      <c r="A272" s="8" t="s">
        <v>142</v>
      </c>
      <c r="B272" s="8" t="s">
        <v>148</v>
      </c>
      <c r="C272" s="15" t="s">
        <v>403</v>
      </c>
      <c r="D272" s="355" t="s">
        <v>446</v>
      </c>
      <c r="E272" s="16">
        <v>0.05</v>
      </c>
    </row>
    <row r="273" spans="1:5" ht="14.25">
      <c r="A273" s="8" t="s">
        <v>153</v>
      </c>
      <c r="B273" s="8" t="s">
        <v>262</v>
      </c>
      <c r="C273" s="8" t="s">
        <v>404</v>
      </c>
      <c r="D273" s="354" t="s">
        <v>141</v>
      </c>
      <c r="E273" s="10">
        <v>0</v>
      </c>
    </row>
    <row r="274" spans="1:5" ht="14.25">
      <c r="A274" s="8" t="s">
        <v>150</v>
      </c>
      <c r="B274" s="8" t="s">
        <v>151</v>
      </c>
      <c r="C274" s="8" t="s">
        <v>405</v>
      </c>
      <c r="D274" s="354" t="s">
        <v>141</v>
      </c>
      <c r="E274" s="10">
        <v>0</v>
      </c>
    </row>
    <row r="275" spans="1:5" ht="14.25">
      <c r="A275" s="8" t="s">
        <v>146</v>
      </c>
      <c r="B275" s="8" t="s">
        <v>160</v>
      </c>
      <c r="C275" s="8" t="s">
        <v>406</v>
      </c>
      <c r="D275" s="354" t="s">
        <v>141</v>
      </c>
      <c r="E275" s="10">
        <v>0</v>
      </c>
    </row>
    <row r="276" spans="1:5" ht="14.25">
      <c r="A276" s="8" t="s">
        <v>146</v>
      </c>
      <c r="B276" s="8" t="s">
        <v>160</v>
      </c>
      <c r="C276" s="8" t="s">
        <v>407</v>
      </c>
      <c r="D276" s="354" t="s">
        <v>174</v>
      </c>
      <c r="E276" s="10">
        <v>0</v>
      </c>
    </row>
    <row r="277" spans="1:5" ht="14.25">
      <c r="A277" s="8" t="s">
        <v>137</v>
      </c>
      <c r="B277" s="8" t="s">
        <v>181</v>
      </c>
      <c r="C277" s="8" t="s">
        <v>408</v>
      </c>
      <c r="D277" s="354" t="s">
        <v>141</v>
      </c>
      <c r="E277" s="10">
        <v>0</v>
      </c>
    </row>
    <row r="278" spans="1:5" ht="14.25">
      <c r="A278" s="8" t="s">
        <v>137</v>
      </c>
      <c r="B278" s="8" t="s">
        <v>139</v>
      </c>
      <c r="C278" s="8" t="s">
        <v>409</v>
      </c>
      <c r="D278" s="354" t="s">
        <v>141</v>
      </c>
      <c r="E278" s="10">
        <v>0</v>
      </c>
    </row>
    <row r="279" spans="1:5" ht="14.25">
      <c r="A279" s="8" t="s">
        <v>153</v>
      </c>
      <c r="B279" s="8" t="s">
        <v>156</v>
      </c>
      <c r="C279" s="8" t="s">
        <v>410</v>
      </c>
      <c r="D279" s="354" t="s">
        <v>145</v>
      </c>
      <c r="E279" s="10">
        <v>0</v>
      </c>
    </row>
    <row r="280" spans="1:5" ht="14.25">
      <c r="A280" s="8" t="s">
        <v>150</v>
      </c>
      <c r="B280" s="8" t="s">
        <v>151</v>
      </c>
      <c r="C280" s="8" t="s">
        <v>411</v>
      </c>
      <c r="D280" s="354" t="s">
        <v>141</v>
      </c>
      <c r="E280" s="10">
        <v>0</v>
      </c>
    </row>
    <row r="281" spans="1:5" ht="14.25">
      <c r="A281" s="8" t="s">
        <v>142</v>
      </c>
      <c r="B281" s="8" t="s">
        <v>148</v>
      </c>
      <c r="C281" s="15" t="s">
        <v>412</v>
      </c>
      <c r="D281" s="355" t="s">
        <v>446</v>
      </c>
      <c r="E281" s="16">
        <v>0.05</v>
      </c>
    </row>
    <row r="282" spans="1:5" ht="14.25">
      <c r="A282" s="8" t="s">
        <v>153</v>
      </c>
      <c r="B282" s="8" t="s">
        <v>262</v>
      </c>
      <c r="C282" s="8" t="s">
        <v>413</v>
      </c>
      <c r="D282" s="354" t="s">
        <v>141</v>
      </c>
      <c r="E282" s="10">
        <v>0</v>
      </c>
    </row>
    <row r="283" spans="1:5" ht="14.25">
      <c r="A283" s="8" t="s">
        <v>146</v>
      </c>
      <c r="B283" s="8" t="s">
        <v>160</v>
      </c>
      <c r="C283" s="8" t="s">
        <v>414</v>
      </c>
      <c r="D283" s="354" t="s">
        <v>141</v>
      </c>
      <c r="E283" s="10">
        <v>0</v>
      </c>
    </row>
    <row r="284" spans="1:5" ht="14.25">
      <c r="A284" s="8" t="s">
        <v>137</v>
      </c>
      <c r="B284" s="8" t="s">
        <v>181</v>
      </c>
      <c r="C284" s="8" t="s">
        <v>415</v>
      </c>
      <c r="D284" s="354" t="s">
        <v>165</v>
      </c>
      <c r="E284" s="10">
        <v>0</v>
      </c>
    </row>
    <row r="285" spans="1:5" ht="14.25">
      <c r="A285" s="8" t="s">
        <v>153</v>
      </c>
      <c r="B285" s="8" t="s">
        <v>156</v>
      </c>
      <c r="C285" s="8" t="s">
        <v>416</v>
      </c>
      <c r="D285" s="354" t="s">
        <v>174</v>
      </c>
      <c r="E285" s="10">
        <v>0</v>
      </c>
    </row>
    <row r="286" spans="1:5" ht="14.25">
      <c r="A286" s="8" t="s">
        <v>142</v>
      </c>
      <c r="B286" s="8" t="s">
        <v>148</v>
      </c>
      <c r="C286" s="15" t="s">
        <v>417</v>
      </c>
      <c r="D286" s="355" t="s">
        <v>446</v>
      </c>
      <c r="E286" s="16">
        <v>0.05</v>
      </c>
    </row>
    <row r="287" spans="1:5" ht="14.25">
      <c r="A287" s="8" t="s">
        <v>137</v>
      </c>
      <c r="B287" s="8" t="s">
        <v>181</v>
      </c>
      <c r="C287" s="8" t="s">
        <v>418</v>
      </c>
      <c r="D287" s="354" t="s">
        <v>141</v>
      </c>
      <c r="E287" s="10">
        <v>0</v>
      </c>
    </row>
    <row r="288" spans="1:5" ht="14.25">
      <c r="A288" s="8" t="s">
        <v>153</v>
      </c>
      <c r="B288" s="8" t="s">
        <v>158</v>
      </c>
      <c r="C288" s="8" t="s">
        <v>419</v>
      </c>
      <c r="D288" s="354" t="s">
        <v>141</v>
      </c>
      <c r="E288" s="10">
        <v>0</v>
      </c>
    </row>
    <row r="289" spans="1:5" ht="14.25">
      <c r="A289" s="8" t="s">
        <v>146</v>
      </c>
      <c r="B289" s="8" t="s">
        <v>146</v>
      </c>
      <c r="C289" s="8" t="s">
        <v>420</v>
      </c>
      <c r="D289" s="354" t="s">
        <v>141</v>
      </c>
      <c r="E289" s="10">
        <v>0</v>
      </c>
    </row>
    <row r="290" spans="1:5" ht="14.25">
      <c r="A290" s="8" t="s">
        <v>146</v>
      </c>
      <c r="B290" s="8" t="s">
        <v>179</v>
      </c>
      <c r="C290" s="8" t="s">
        <v>421</v>
      </c>
      <c r="D290" s="354" t="s">
        <v>141</v>
      </c>
      <c r="E290" s="10">
        <v>0</v>
      </c>
    </row>
    <row r="291" spans="1:5" ht="14.25">
      <c r="A291" s="8" t="s">
        <v>153</v>
      </c>
      <c r="B291" s="8" t="s">
        <v>158</v>
      </c>
      <c r="C291" s="8" t="s">
        <v>422</v>
      </c>
      <c r="D291" s="354" t="s">
        <v>141</v>
      </c>
      <c r="E291" s="10">
        <v>0</v>
      </c>
    </row>
    <row r="292" spans="1:5" ht="14.25">
      <c r="A292" s="8" t="s">
        <v>146</v>
      </c>
      <c r="B292" s="8" t="s">
        <v>146</v>
      </c>
      <c r="C292" s="8" t="s">
        <v>423</v>
      </c>
      <c r="D292" s="354" t="s">
        <v>141</v>
      </c>
      <c r="E292" s="10">
        <v>0</v>
      </c>
    </row>
    <row r="293" spans="1:5" ht="14.25">
      <c r="A293" s="8" t="s">
        <v>137</v>
      </c>
      <c r="B293" s="8" t="s">
        <v>200</v>
      </c>
      <c r="C293" s="8" t="s">
        <v>424</v>
      </c>
      <c r="D293" s="354" t="s">
        <v>141</v>
      </c>
      <c r="E293" s="10">
        <v>0</v>
      </c>
    </row>
    <row r="294" spans="1:5" ht="14.25">
      <c r="A294" s="8" t="s">
        <v>146</v>
      </c>
      <c r="B294" s="8" t="s">
        <v>146</v>
      </c>
      <c r="C294" s="8" t="s">
        <v>425</v>
      </c>
      <c r="D294" s="354" t="s">
        <v>141</v>
      </c>
      <c r="E294" s="10">
        <v>0</v>
      </c>
    </row>
    <row r="295" spans="1:5" ht="14.25">
      <c r="A295" s="8" t="s">
        <v>146</v>
      </c>
      <c r="B295" s="8" t="s">
        <v>146</v>
      </c>
      <c r="C295" s="8" t="s">
        <v>426</v>
      </c>
      <c r="D295" s="354" t="s">
        <v>141</v>
      </c>
      <c r="E295" s="10">
        <v>0</v>
      </c>
    </row>
    <row r="296" spans="1:5" ht="14.25">
      <c r="A296" s="8" t="s">
        <v>142</v>
      </c>
      <c r="B296" s="8" t="s">
        <v>148</v>
      </c>
      <c r="C296" s="15" t="s">
        <v>427</v>
      </c>
      <c r="D296" s="355" t="s">
        <v>446</v>
      </c>
      <c r="E296" s="16">
        <v>0.05</v>
      </c>
    </row>
    <row r="297" spans="1:5" ht="14.25">
      <c r="A297" s="8" t="s">
        <v>153</v>
      </c>
      <c r="B297" s="8" t="s">
        <v>171</v>
      </c>
      <c r="C297" s="8" t="s">
        <v>428</v>
      </c>
      <c r="D297" s="354" t="s">
        <v>174</v>
      </c>
      <c r="E297" s="10">
        <v>0</v>
      </c>
    </row>
    <row r="298" spans="1:5" ht="14.25">
      <c r="A298" s="8" t="s">
        <v>137</v>
      </c>
      <c r="B298" s="8" t="s">
        <v>181</v>
      </c>
      <c r="C298" s="8" t="s">
        <v>429</v>
      </c>
      <c r="D298" s="354" t="s">
        <v>141</v>
      </c>
      <c r="E298" s="10">
        <v>0</v>
      </c>
    </row>
    <row r="299" spans="1:5" ht="14.25">
      <c r="A299" s="8" t="s">
        <v>137</v>
      </c>
      <c r="B299" s="8" t="s">
        <v>166</v>
      </c>
      <c r="C299" s="8" t="s">
        <v>430</v>
      </c>
      <c r="D299" s="354" t="s">
        <v>141</v>
      </c>
      <c r="E299" s="10">
        <v>0</v>
      </c>
    </row>
    <row r="300" spans="1:5" ht="14.25">
      <c r="A300" s="8" t="s">
        <v>142</v>
      </c>
      <c r="B300" s="8" t="s">
        <v>148</v>
      </c>
      <c r="C300" s="15" t="s">
        <v>431</v>
      </c>
      <c r="D300" s="355" t="s">
        <v>446</v>
      </c>
      <c r="E300" s="16">
        <v>0.05</v>
      </c>
    </row>
    <row r="301" spans="1:5" ht="14.25">
      <c r="A301" s="8" t="s">
        <v>146</v>
      </c>
      <c r="B301" s="8" t="s">
        <v>146</v>
      </c>
      <c r="C301" s="8" t="s">
        <v>432</v>
      </c>
      <c r="D301" s="354" t="s">
        <v>141</v>
      </c>
      <c r="E301" s="10">
        <v>0</v>
      </c>
    </row>
    <row r="302" spans="1:5" ht="14.25">
      <c r="A302" s="8" t="s">
        <v>150</v>
      </c>
      <c r="B302" s="8" t="s">
        <v>162</v>
      </c>
      <c r="C302" s="8" t="s">
        <v>433</v>
      </c>
      <c r="D302" s="354" t="s">
        <v>174</v>
      </c>
      <c r="E302" s="10">
        <v>0</v>
      </c>
    </row>
    <row r="303" spans="1:5" ht="14.25">
      <c r="A303" s="8" t="s">
        <v>153</v>
      </c>
      <c r="B303" s="8" t="s">
        <v>262</v>
      </c>
      <c r="C303" s="8" t="s">
        <v>434</v>
      </c>
      <c r="D303" s="354" t="s">
        <v>141</v>
      </c>
      <c r="E303" s="10">
        <v>0</v>
      </c>
    </row>
    <row r="304" spans="1:5" ht="14.25">
      <c r="A304" s="8" t="s">
        <v>137</v>
      </c>
      <c r="B304" s="8" t="s">
        <v>138</v>
      </c>
      <c r="C304" s="8" t="s">
        <v>435</v>
      </c>
      <c r="D304" s="354" t="s">
        <v>165</v>
      </c>
      <c r="E304" s="10">
        <v>0</v>
      </c>
    </row>
    <row r="305" spans="1:5" ht="14.25">
      <c r="A305" s="8" t="s">
        <v>142</v>
      </c>
      <c r="B305" s="8" t="s">
        <v>143</v>
      </c>
      <c r="C305" s="8" t="s">
        <v>436</v>
      </c>
      <c r="D305" s="354" t="s">
        <v>141</v>
      </c>
      <c r="E305" s="10">
        <v>0</v>
      </c>
    </row>
    <row r="306" spans="1:5" ht="14.25">
      <c r="A306" s="8" t="s">
        <v>153</v>
      </c>
      <c r="B306" s="8" t="s">
        <v>171</v>
      </c>
      <c r="C306" s="8" t="s">
        <v>437</v>
      </c>
      <c r="D306" s="354" t="s">
        <v>141</v>
      </c>
      <c r="E306" s="10">
        <v>0</v>
      </c>
    </row>
    <row r="307" spans="1:5" ht="14.25">
      <c r="A307" s="8" t="s">
        <v>137</v>
      </c>
      <c r="B307" s="8" t="s">
        <v>139</v>
      </c>
      <c r="C307" s="8" t="s">
        <v>438</v>
      </c>
      <c r="D307" s="354" t="s">
        <v>141</v>
      </c>
      <c r="E307" s="10">
        <v>0</v>
      </c>
    </row>
    <row r="308" spans="1:5" ht="14.25">
      <c r="A308" s="8" t="s">
        <v>150</v>
      </c>
      <c r="B308" s="8" t="s">
        <v>162</v>
      </c>
      <c r="C308" s="8" t="s">
        <v>439</v>
      </c>
      <c r="D308" s="354" t="s">
        <v>141</v>
      </c>
      <c r="E308" s="10">
        <v>0</v>
      </c>
    </row>
    <row r="309" spans="1:5" ht="14.25">
      <c r="A309" s="8" t="s">
        <v>137</v>
      </c>
      <c r="B309" s="8" t="s">
        <v>200</v>
      </c>
      <c r="C309" s="8" t="s">
        <v>440</v>
      </c>
      <c r="D309" s="354" t="s">
        <v>141</v>
      </c>
      <c r="E309" s="10">
        <v>0</v>
      </c>
    </row>
    <row r="310" spans="1:5" ht="14.25">
      <c r="A310" s="8" t="s">
        <v>153</v>
      </c>
      <c r="B310" s="8" t="s">
        <v>156</v>
      </c>
      <c r="C310" s="8" t="s">
        <v>441</v>
      </c>
      <c r="D310" s="354" t="s">
        <v>174</v>
      </c>
      <c r="E310" s="10">
        <v>0</v>
      </c>
    </row>
    <row r="311" spans="1:5" ht="14.25">
      <c r="A311" s="8" t="s">
        <v>146</v>
      </c>
      <c r="B311" s="8" t="s">
        <v>146</v>
      </c>
      <c r="C311" s="8" t="s">
        <v>442</v>
      </c>
      <c r="D311" s="354" t="s">
        <v>141</v>
      </c>
      <c r="E311" s="10">
        <v>0</v>
      </c>
    </row>
  </sheetData>
  <sheetProtection/>
  <autoFilter ref="A1:E31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11"/>
  <sheetViews>
    <sheetView zoomScalePageLayoutView="0" workbookViewId="0" topLeftCell="A1">
      <selection activeCell="A1" sqref="A1:R11"/>
    </sheetView>
  </sheetViews>
  <sheetFormatPr defaultColWidth="9.140625" defaultRowHeight="15"/>
  <cols>
    <col min="1" max="14" width="7.57421875" style="0" customWidth="1"/>
  </cols>
  <sheetData>
    <row r="1" spans="1:18" ht="14.25">
      <c r="A1" s="21" t="s">
        <v>27</v>
      </c>
      <c r="B1" s="448" t="s">
        <v>28</v>
      </c>
      <c r="C1" s="449">
        <v>1</v>
      </c>
      <c r="D1" s="450">
        <v>2</v>
      </c>
      <c r="E1" s="450">
        <v>3</v>
      </c>
      <c r="F1" s="450">
        <v>4</v>
      </c>
      <c r="G1" s="450">
        <v>5</v>
      </c>
      <c r="H1" s="450">
        <v>6</v>
      </c>
      <c r="I1" s="450">
        <v>7</v>
      </c>
      <c r="J1" s="451">
        <v>8</v>
      </c>
      <c r="K1" s="451">
        <v>9</v>
      </c>
      <c r="L1" s="451">
        <v>10</v>
      </c>
      <c r="M1" s="451">
        <v>11</v>
      </c>
      <c r="N1" s="451">
        <v>12</v>
      </c>
      <c r="O1" s="452">
        <v>13</v>
      </c>
      <c r="P1" s="452">
        <v>14</v>
      </c>
      <c r="Q1" s="451">
        <v>15</v>
      </c>
      <c r="R1" s="453">
        <v>16</v>
      </c>
    </row>
    <row r="2" spans="1:18" ht="14.25">
      <c r="A2" s="454" t="s">
        <v>29</v>
      </c>
      <c r="B2" s="455"/>
      <c r="C2" s="456" t="s">
        <v>1501</v>
      </c>
      <c r="D2" s="457" t="s">
        <v>1501</v>
      </c>
      <c r="E2" s="457" t="s">
        <v>1501</v>
      </c>
      <c r="F2" s="457" t="s">
        <v>1501</v>
      </c>
      <c r="G2" s="457" t="s">
        <v>1501</v>
      </c>
      <c r="H2" s="457" t="s">
        <v>1501</v>
      </c>
      <c r="I2" s="457" t="s">
        <v>1501</v>
      </c>
      <c r="J2" s="457" t="s">
        <v>1501</v>
      </c>
      <c r="K2" s="457" t="s">
        <v>1501</v>
      </c>
      <c r="L2" s="457" t="s">
        <v>1501</v>
      </c>
      <c r="M2" s="457" t="s">
        <v>1501</v>
      </c>
      <c r="N2" s="457" t="s">
        <v>1501</v>
      </c>
      <c r="O2" s="457" t="s">
        <v>1501</v>
      </c>
      <c r="P2" s="457" t="s">
        <v>1501</v>
      </c>
      <c r="Q2" s="457" t="s">
        <v>1501</v>
      </c>
      <c r="R2" s="458" t="s">
        <v>1501</v>
      </c>
    </row>
    <row r="3" spans="1:18" ht="14.25">
      <c r="A3" s="459">
        <v>0</v>
      </c>
      <c r="B3" s="455"/>
      <c r="C3" s="460">
        <v>42</v>
      </c>
      <c r="D3" s="457" t="s">
        <v>1501</v>
      </c>
      <c r="E3" s="457" t="s">
        <v>1501</v>
      </c>
      <c r="F3" s="457" t="s">
        <v>1501</v>
      </c>
      <c r="G3" s="457" t="s">
        <v>1501</v>
      </c>
      <c r="H3" s="457" t="s">
        <v>1501</v>
      </c>
      <c r="I3" s="457" t="s">
        <v>1501</v>
      </c>
      <c r="J3" s="457" t="s">
        <v>1501</v>
      </c>
      <c r="K3" s="457" t="s">
        <v>1501</v>
      </c>
      <c r="L3" s="457" t="s">
        <v>1501</v>
      </c>
      <c r="M3" s="457" t="s">
        <v>1501</v>
      </c>
      <c r="N3" s="457" t="s">
        <v>1501</v>
      </c>
      <c r="O3" s="457" t="s">
        <v>1501</v>
      </c>
      <c r="P3" s="457" t="s">
        <v>1501</v>
      </c>
      <c r="Q3" s="457" t="s">
        <v>1501</v>
      </c>
      <c r="R3" s="458" t="s">
        <v>1501</v>
      </c>
    </row>
    <row r="4" spans="1:18" ht="14.25">
      <c r="A4" s="459">
        <v>1</v>
      </c>
      <c r="B4" s="455"/>
      <c r="C4" s="461">
        <v>25</v>
      </c>
      <c r="D4" s="462">
        <v>60</v>
      </c>
      <c r="E4" s="457" t="s">
        <v>1501</v>
      </c>
      <c r="F4" s="457" t="s">
        <v>1501</v>
      </c>
      <c r="G4" s="457" t="s">
        <v>1501</v>
      </c>
      <c r="H4" s="457" t="s">
        <v>1501</v>
      </c>
      <c r="I4" s="457" t="s">
        <v>1501</v>
      </c>
      <c r="J4" s="457" t="s">
        <v>1501</v>
      </c>
      <c r="K4" s="457" t="s">
        <v>1501</v>
      </c>
      <c r="L4" s="457" t="s">
        <v>1501</v>
      </c>
      <c r="M4" s="457" t="s">
        <v>1501</v>
      </c>
      <c r="N4" s="457" t="s">
        <v>1501</v>
      </c>
      <c r="O4" s="457" t="s">
        <v>1501</v>
      </c>
      <c r="P4" s="457" t="s">
        <v>1501</v>
      </c>
      <c r="Q4" s="457" t="s">
        <v>1501</v>
      </c>
      <c r="R4" s="458" t="s">
        <v>1501</v>
      </c>
    </row>
    <row r="5" spans="1:18" ht="14.25">
      <c r="A5" s="459">
        <v>2</v>
      </c>
      <c r="B5" s="455"/>
      <c r="C5" s="463" t="s">
        <v>1501</v>
      </c>
      <c r="D5" s="464">
        <v>50</v>
      </c>
      <c r="E5" s="462">
        <v>76</v>
      </c>
      <c r="F5" s="462">
        <v>84</v>
      </c>
      <c r="G5" s="457" t="s">
        <v>1501</v>
      </c>
      <c r="H5" s="457" t="s">
        <v>1501</v>
      </c>
      <c r="I5" s="457" t="s">
        <v>1501</v>
      </c>
      <c r="J5" s="457" t="s">
        <v>1501</v>
      </c>
      <c r="K5" s="457" t="s">
        <v>1501</v>
      </c>
      <c r="L5" s="457" t="s">
        <v>1501</v>
      </c>
      <c r="M5" s="457" t="s">
        <v>1501</v>
      </c>
      <c r="N5" s="457" t="s">
        <v>1501</v>
      </c>
      <c r="O5" s="457" t="s">
        <v>1501</v>
      </c>
      <c r="P5" s="457" t="s">
        <v>1501</v>
      </c>
      <c r="Q5" s="457" t="s">
        <v>1501</v>
      </c>
      <c r="R5" s="458" t="s">
        <v>1501</v>
      </c>
    </row>
    <row r="6" spans="1:18" ht="14.25">
      <c r="A6" s="459">
        <v>3</v>
      </c>
      <c r="B6" s="455"/>
      <c r="C6" s="463" t="s">
        <v>1501</v>
      </c>
      <c r="D6" s="350" t="s">
        <v>1501</v>
      </c>
      <c r="E6" s="464">
        <v>75</v>
      </c>
      <c r="F6" s="462">
        <v>90</v>
      </c>
      <c r="G6" s="462">
        <v>100</v>
      </c>
      <c r="H6" s="462">
        <v>110</v>
      </c>
      <c r="I6" s="457" t="s">
        <v>1501</v>
      </c>
      <c r="J6" s="457" t="s">
        <v>1501</v>
      </c>
      <c r="K6" s="457" t="s">
        <v>1501</v>
      </c>
      <c r="L6" s="457" t="s">
        <v>1501</v>
      </c>
      <c r="M6" s="457" t="s">
        <v>1501</v>
      </c>
      <c r="N6" s="457" t="s">
        <v>1501</v>
      </c>
      <c r="O6" s="457" t="s">
        <v>1501</v>
      </c>
      <c r="P6" s="457" t="s">
        <v>1501</v>
      </c>
      <c r="Q6" s="457" t="s">
        <v>1501</v>
      </c>
      <c r="R6" s="458" t="s">
        <v>1501</v>
      </c>
    </row>
    <row r="7" spans="1:18" ht="14.25">
      <c r="A7" s="459">
        <v>4</v>
      </c>
      <c r="B7" s="455"/>
      <c r="C7" s="463" t="s">
        <v>1501</v>
      </c>
      <c r="D7" s="350" t="s">
        <v>1501</v>
      </c>
      <c r="E7" s="350" t="s">
        <v>1501</v>
      </c>
      <c r="F7" s="464">
        <v>100</v>
      </c>
      <c r="G7" s="462">
        <v>104</v>
      </c>
      <c r="H7" s="462">
        <v>114</v>
      </c>
      <c r="I7" s="462">
        <v>124</v>
      </c>
      <c r="J7" s="465">
        <v>134</v>
      </c>
      <c r="K7" s="457" t="s">
        <v>1501</v>
      </c>
      <c r="L7" s="457" t="s">
        <v>1501</v>
      </c>
      <c r="M7" s="457" t="s">
        <v>1501</v>
      </c>
      <c r="N7" s="457" t="s">
        <v>1501</v>
      </c>
      <c r="O7" s="457" t="s">
        <v>1501</v>
      </c>
      <c r="P7" s="457" t="s">
        <v>1501</v>
      </c>
      <c r="Q7" s="457" t="s">
        <v>1501</v>
      </c>
      <c r="R7" s="458" t="s">
        <v>1501</v>
      </c>
    </row>
    <row r="8" spans="1:18" ht="14.25">
      <c r="A8" s="459">
        <v>5</v>
      </c>
      <c r="B8" s="455"/>
      <c r="C8" s="463" t="s">
        <v>1501</v>
      </c>
      <c r="D8" s="350" t="s">
        <v>1501</v>
      </c>
      <c r="E8" s="350" t="s">
        <v>1501</v>
      </c>
      <c r="F8" s="350" t="s">
        <v>1501</v>
      </c>
      <c r="G8" s="464">
        <v>125</v>
      </c>
      <c r="H8" s="462">
        <v>118</v>
      </c>
      <c r="I8" s="462">
        <v>128</v>
      </c>
      <c r="J8" s="465">
        <v>138</v>
      </c>
      <c r="K8" s="465">
        <v>148</v>
      </c>
      <c r="L8" s="465">
        <v>158</v>
      </c>
      <c r="M8" s="457" t="s">
        <v>1501</v>
      </c>
      <c r="N8" s="457" t="s">
        <v>1501</v>
      </c>
      <c r="O8" s="457" t="s">
        <v>1501</v>
      </c>
      <c r="P8" s="457" t="s">
        <v>1501</v>
      </c>
      <c r="Q8" s="457" t="s">
        <v>1501</v>
      </c>
      <c r="R8" s="458" t="s">
        <v>1501</v>
      </c>
    </row>
    <row r="9" spans="1:18" ht="14.25">
      <c r="A9" s="459">
        <v>6</v>
      </c>
      <c r="B9" s="455"/>
      <c r="C9" s="463" t="s">
        <v>1501</v>
      </c>
      <c r="D9" s="350" t="s">
        <v>1501</v>
      </c>
      <c r="E9" s="350" t="s">
        <v>1501</v>
      </c>
      <c r="F9" s="350" t="s">
        <v>1501</v>
      </c>
      <c r="G9" s="350" t="s">
        <v>1501</v>
      </c>
      <c r="H9" s="464">
        <v>150</v>
      </c>
      <c r="I9" s="462">
        <v>132</v>
      </c>
      <c r="J9" s="462">
        <v>142</v>
      </c>
      <c r="K9" s="462">
        <v>152</v>
      </c>
      <c r="L9" s="462">
        <v>162</v>
      </c>
      <c r="M9" s="462">
        <v>172</v>
      </c>
      <c r="N9" s="462">
        <v>182</v>
      </c>
      <c r="O9" s="349">
        <v>0</v>
      </c>
      <c r="P9" s="349" t="s">
        <v>1502</v>
      </c>
      <c r="Q9" s="457" t="s">
        <v>1501</v>
      </c>
      <c r="R9" s="458" t="s">
        <v>1501</v>
      </c>
    </row>
    <row r="10" spans="1:18" ht="14.25">
      <c r="A10" s="459">
        <v>7</v>
      </c>
      <c r="B10" s="455"/>
      <c r="C10" s="463" t="s">
        <v>1501</v>
      </c>
      <c r="D10" s="350" t="s">
        <v>1501</v>
      </c>
      <c r="E10" s="350" t="s">
        <v>1501</v>
      </c>
      <c r="F10" s="350" t="s">
        <v>1501</v>
      </c>
      <c r="G10" s="350" t="s">
        <v>1501</v>
      </c>
      <c r="H10" s="350" t="s">
        <v>1501</v>
      </c>
      <c r="I10" s="464">
        <v>175</v>
      </c>
      <c r="J10" s="462">
        <v>146</v>
      </c>
      <c r="K10" s="462">
        <v>156</v>
      </c>
      <c r="L10" s="462">
        <v>166</v>
      </c>
      <c r="M10" s="462">
        <v>176</v>
      </c>
      <c r="N10" s="462">
        <v>186</v>
      </c>
      <c r="O10" s="466">
        <v>196</v>
      </c>
      <c r="P10" s="466">
        <v>206</v>
      </c>
      <c r="Q10" s="18" t="s">
        <v>1501</v>
      </c>
      <c r="R10" s="458" t="s">
        <v>1501</v>
      </c>
    </row>
    <row r="11" spans="1:18" ht="15" thickBot="1">
      <c r="A11" s="459">
        <v>8</v>
      </c>
      <c r="B11" s="455"/>
      <c r="C11" s="467" t="s">
        <v>1501</v>
      </c>
      <c r="D11" s="468" t="s">
        <v>1501</v>
      </c>
      <c r="E11" s="468" t="s">
        <v>1501</v>
      </c>
      <c r="F11" s="468" t="s">
        <v>1501</v>
      </c>
      <c r="G11" s="468" t="s">
        <v>1501</v>
      </c>
      <c r="H11" s="468" t="s">
        <v>1501</v>
      </c>
      <c r="I11" s="468" t="s">
        <v>1501</v>
      </c>
      <c r="J11" s="469">
        <v>200</v>
      </c>
      <c r="K11" s="470">
        <v>160</v>
      </c>
      <c r="L11" s="470">
        <v>170</v>
      </c>
      <c r="M11" s="470">
        <v>180</v>
      </c>
      <c r="N11" s="470">
        <v>190</v>
      </c>
      <c r="O11" s="471">
        <v>200</v>
      </c>
      <c r="P11" s="471">
        <v>210</v>
      </c>
      <c r="Q11" s="471">
        <v>220</v>
      </c>
      <c r="R11" s="472">
        <v>230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Maatschappij voor Sociaal Wonen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kostprijssimulatietabel</dc:title>
  <dc:subject/>
  <dc:creator>VMSW</dc:creator>
  <cp:keywords/>
  <dc:description/>
  <cp:lastModifiedBy>Luppens, Elsie</cp:lastModifiedBy>
  <cp:lastPrinted>2018-01-05T13:39:33Z</cp:lastPrinted>
  <dcterms:created xsi:type="dcterms:W3CDTF">2009-02-24T09:00:01Z</dcterms:created>
  <dcterms:modified xsi:type="dcterms:W3CDTF">2023-12-18T15:35:43Z</dcterms:modified>
  <cp:category/>
  <cp:version/>
  <cp:contentType/>
  <cp:contentStatus/>
</cp:coreProperties>
</file>