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dd\"/>
    </mc:Choice>
  </mc:AlternateContent>
  <xr:revisionPtr revIDLastSave="0" documentId="10_ncr:100000_{E4E6C59E-AC3F-4190-A60B-E3699967E5AA}" xr6:coauthVersionLast="31" xr6:coauthVersionMax="31" xr10:uidLastSave="{00000000-0000-0000-0000-000000000000}"/>
  <bookViews>
    <workbookView xWindow="0" yWindow="0" windowWidth="19200" windowHeight="6960" activeTab="2" xr2:uid="{13AA26A7-1164-4E54-899A-A5469E2B48CE}"/>
  </bookViews>
  <sheets>
    <sheet name="algemeen" sheetId="1" r:id="rId1"/>
    <sheet name="lijsten" sheetId="3" r:id="rId2"/>
    <sheet name="kandidaten" sheetId="5" r:id="rId3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" i="5" l="1"/>
  <c r="Q3" i="5"/>
  <c r="Q4" i="5"/>
  <c r="Q5" i="5"/>
  <c r="Q6" i="5"/>
  <c r="Q7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Q34" i="5"/>
  <c r="Q35" i="5"/>
  <c r="Q36" i="5"/>
  <c r="Q37" i="5"/>
  <c r="Q38" i="5"/>
  <c r="Q39" i="5"/>
  <c r="Q40" i="5"/>
  <c r="Q41" i="5"/>
  <c r="Q42" i="5"/>
  <c r="Q43" i="5"/>
  <c r="Q44" i="5"/>
  <c r="Q45" i="5"/>
  <c r="Q46" i="5"/>
  <c r="Q47" i="5"/>
  <c r="Q48" i="5"/>
  <c r="Q49" i="5"/>
  <c r="Q50" i="5"/>
  <c r="Q51" i="5"/>
  <c r="Q52" i="5"/>
  <c r="Q53" i="5"/>
  <c r="Q54" i="5"/>
  <c r="Q55" i="5"/>
  <c r="Q56" i="5"/>
  <c r="Q57" i="5"/>
  <c r="Q58" i="5"/>
  <c r="Q59" i="5"/>
  <c r="Q60" i="5"/>
  <c r="Q61" i="5"/>
  <c r="Q62" i="5"/>
  <c r="Q63" i="5"/>
  <c r="Q64" i="5"/>
  <c r="Q65" i="5"/>
  <c r="Q66" i="5"/>
  <c r="Q67" i="5"/>
  <c r="Q68" i="5"/>
  <c r="Q69" i="5"/>
  <c r="Q70" i="5"/>
  <c r="Q71" i="5"/>
  <c r="Q72" i="5"/>
  <c r="Q73" i="5"/>
  <c r="Q74" i="5"/>
  <c r="Q75" i="5"/>
  <c r="Q76" i="5"/>
  <c r="Q77" i="5"/>
  <c r="Q78" i="5"/>
  <c r="Q79" i="5"/>
  <c r="Q80" i="5"/>
  <c r="Q81" i="5"/>
  <c r="Q82" i="5"/>
  <c r="Q83" i="5"/>
  <c r="Q84" i="5"/>
  <c r="Q85" i="5"/>
  <c r="Q86" i="5"/>
  <c r="Q87" i="5"/>
  <c r="Q88" i="5"/>
  <c r="Q89" i="5"/>
  <c r="Q90" i="5"/>
  <c r="Q91" i="5"/>
  <c r="Q92" i="5"/>
  <c r="Q93" i="5"/>
  <c r="Q94" i="5"/>
  <c r="Q95" i="5"/>
  <c r="Q96" i="5"/>
  <c r="Q97" i="5"/>
  <c r="Q98" i="5"/>
  <c r="Q99" i="5"/>
  <c r="Q100" i="5"/>
  <c r="Q101" i="5"/>
  <c r="Q102" i="5"/>
  <c r="Q103" i="5"/>
  <c r="Q104" i="5"/>
  <c r="Q105" i="5"/>
  <c r="Q106" i="5"/>
  <c r="Q107" i="5"/>
  <c r="Q108" i="5"/>
  <c r="Q109" i="5"/>
  <c r="Q110" i="5"/>
  <c r="Q111" i="5"/>
  <c r="Q112" i="5"/>
  <c r="Q113" i="5"/>
  <c r="Q114" i="5"/>
  <c r="Q115" i="5"/>
  <c r="Q116" i="5"/>
  <c r="Q117" i="5"/>
  <c r="Q118" i="5"/>
  <c r="Q119" i="5"/>
  <c r="Q120" i="5"/>
  <c r="Q121" i="5"/>
  <c r="Q122" i="5"/>
  <c r="Q123" i="5"/>
  <c r="Q124" i="5"/>
  <c r="Q125" i="5"/>
  <c r="Q126" i="5"/>
  <c r="Q127" i="5"/>
  <c r="Q128" i="5"/>
  <c r="Q129" i="5"/>
  <c r="Q130" i="5"/>
  <c r="Q131" i="5"/>
  <c r="Q132" i="5"/>
  <c r="Q133" i="5"/>
  <c r="Q134" i="5"/>
  <c r="Q135" i="5"/>
  <c r="Q136" i="5"/>
  <c r="Q137" i="5"/>
  <c r="Q138" i="5"/>
  <c r="Q139" i="5"/>
  <c r="Q140" i="5"/>
  <c r="Q141" i="5"/>
  <c r="Q142" i="5"/>
  <c r="Q143" i="5"/>
  <c r="Q144" i="5"/>
  <c r="Q145" i="5"/>
  <c r="Q146" i="5"/>
  <c r="Q147" i="5"/>
  <c r="Q148" i="5"/>
  <c r="Q149" i="5"/>
  <c r="Q150" i="5"/>
  <c r="Q151" i="5"/>
  <c r="Q152" i="5"/>
  <c r="Q153" i="5"/>
  <c r="Q154" i="5"/>
  <c r="Q155" i="5"/>
  <c r="Q156" i="5"/>
  <c r="Q157" i="5"/>
  <c r="Q158" i="5"/>
  <c r="Q159" i="5"/>
  <c r="Q160" i="5"/>
  <c r="Q161" i="5"/>
  <c r="Q162" i="5"/>
  <c r="Q163" i="5"/>
  <c r="Q164" i="5"/>
  <c r="Q165" i="5"/>
  <c r="Q166" i="5"/>
  <c r="Q167" i="5"/>
  <c r="Q168" i="5"/>
  <c r="Q169" i="5"/>
  <c r="Q170" i="5"/>
  <c r="Q171" i="5"/>
  <c r="Q172" i="5"/>
  <c r="Q173" i="5"/>
  <c r="Q174" i="5"/>
  <c r="Q175" i="5"/>
  <c r="Q176" i="5"/>
  <c r="Q177" i="5"/>
  <c r="Q178" i="5"/>
  <c r="Q179" i="5"/>
  <c r="Q180" i="5"/>
  <c r="Q181" i="5"/>
  <c r="Q182" i="5"/>
  <c r="Q183" i="5"/>
  <c r="Q184" i="5"/>
  <c r="Q185" i="5"/>
  <c r="Q186" i="5"/>
  <c r="Q187" i="5"/>
  <c r="Q188" i="5"/>
  <c r="Q189" i="5"/>
  <c r="Q190" i="5"/>
  <c r="Q191" i="5"/>
  <c r="Q192" i="5"/>
  <c r="Q193" i="5"/>
  <c r="Q194" i="5"/>
  <c r="Q195" i="5"/>
  <c r="Q196" i="5"/>
  <c r="Q197" i="5"/>
  <c r="Q198" i="5"/>
  <c r="Q199" i="5"/>
  <c r="Q200" i="5"/>
  <c r="Q201" i="5"/>
  <c r="Q202" i="5"/>
  <c r="Q203" i="5"/>
  <c r="Q204" i="5"/>
  <c r="Q205" i="5"/>
  <c r="Q206" i="5"/>
  <c r="Q207" i="5"/>
  <c r="Q208" i="5"/>
  <c r="Q209" i="5"/>
  <c r="Q210" i="5"/>
  <c r="Q211" i="5"/>
  <c r="Q212" i="5"/>
  <c r="Q213" i="5"/>
  <c r="Q214" i="5"/>
  <c r="Q215" i="5"/>
  <c r="Q216" i="5"/>
  <c r="Q217" i="5"/>
  <c r="Q218" i="5"/>
  <c r="Q219" i="5"/>
  <c r="Q220" i="5"/>
  <c r="Q221" i="5"/>
  <c r="Q222" i="5"/>
  <c r="Q223" i="5"/>
  <c r="Q224" i="5"/>
  <c r="Q225" i="5"/>
  <c r="Q226" i="5"/>
  <c r="Q227" i="5"/>
  <c r="Q228" i="5"/>
  <c r="Q229" i="5"/>
  <c r="Q230" i="5"/>
  <c r="Q231" i="5"/>
  <c r="Q232" i="5"/>
  <c r="Q233" i="5"/>
  <c r="Q234" i="5"/>
  <c r="Q235" i="5"/>
  <c r="Q236" i="5"/>
  <c r="Q237" i="5"/>
  <c r="Q238" i="5"/>
  <c r="Q239" i="5"/>
  <c r="Q240" i="5"/>
  <c r="Q241" i="5"/>
  <c r="Q242" i="5"/>
  <c r="Q243" i="5"/>
  <c r="Q244" i="5"/>
  <c r="Q245" i="5"/>
  <c r="Q246" i="5"/>
  <c r="Q247" i="5"/>
  <c r="Q248" i="5"/>
  <c r="Q249" i="5"/>
  <c r="Q250" i="5"/>
  <c r="Q251" i="5"/>
  <c r="Q252" i="5"/>
  <c r="Q253" i="5"/>
  <c r="Q254" i="5"/>
  <c r="Q255" i="5"/>
  <c r="Q256" i="5"/>
  <c r="Q257" i="5"/>
  <c r="Q258" i="5"/>
  <c r="Q259" i="5"/>
  <c r="Q260" i="5"/>
  <c r="Q261" i="5"/>
  <c r="Q262" i="5"/>
  <c r="Q263" i="5"/>
  <c r="Q264" i="5"/>
  <c r="Q265" i="5"/>
  <c r="Q266" i="5"/>
  <c r="Q267" i="5"/>
  <c r="Q268" i="5"/>
  <c r="Q269" i="5"/>
  <c r="Q270" i="5"/>
  <c r="Q271" i="5"/>
  <c r="Q272" i="5"/>
  <c r="Q273" i="5"/>
  <c r="Q274" i="5"/>
  <c r="Q275" i="5"/>
  <c r="Q276" i="5"/>
  <c r="Q277" i="5"/>
  <c r="Q278" i="5"/>
  <c r="Q279" i="5"/>
  <c r="Q280" i="5"/>
  <c r="Q281" i="5"/>
  <c r="Q282" i="5"/>
  <c r="Q283" i="5"/>
  <c r="Q284" i="5"/>
  <c r="Q285" i="5"/>
  <c r="Q286" i="5"/>
  <c r="Q287" i="5"/>
  <c r="Q288" i="5"/>
  <c r="Q289" i="5"/>
  <c r="Q290" i="5"/>
  <c r="Q291" i="5"/>
  <c r="Q292" i="5"/>
  <c r="Q293" i="5"/>
  <c r="Q294" i="5"/>
  <c r="Q295" i="5"/>
  <c r="Q296" i="5"/>
  <c r="Q297" i="5"/>
  <c r="Q298" i="5"/>
  <c r="Q299" i="5"/>
  <c r="Q300" i="5"/>
  <c r="Q301" i="5"/>
  <c r="Q302" i="5"/>
  <c r="Q303" i="5"/>
  <c r="Q304" i="5"/>
  <c r="Q305" i="5"/>
  <c r="Q306" i="5"/>
  <c r="Q307" i="5"/>
  <c r="Q308" i="5"/>
  <c r="Q309" i="5"/>
  <c r="Q310" i="5"/>
  <c r="Q311" i="5"/>
  <c r="Q312" i="5"/>
  <c r="Q313" i="5"/>
  <c r="Q314" i="5"/>
  <c r="Q315" i="5"/>
  <c r="Q316" i="5"/>
  <c r="Q317" i="5"/>
  <c r="Q318" i="5"/>
  <c r="Q319" i="5"/>
  <c r="Q320" i="5"/>
  <c r="Q321" i="5"/>
  <c r="Q322" i="5"/>
  <c r="Q323" i="5"/>
  <c r="Q324" i="5"/>
  <c r="Q325" i="5"/>
  <c r="Q326" i="5"/>
  <c r="Q327" i="5"/>
  <c r="Q328" i="5"/>
  <c r="Q329" i="5"/>
  <c r="Q330" i="5"/>
  <c r="Q331" i="5"/>
  <c r="Q332" i="5"/>
  <c r="Q333" i="5"/>
  <c r="Q334" i="5"/>
  <c r="Q335" i="5"/>
  <c r="Q336" i="5"/>
  <c r="Q337" i="5"/>
  <c r="Q338" i="5"/>
  <c r="Q339" i="5"/>
  <c r="Q340" i="5"/>
  <c r="Q341" i="5"/>
  <c r="Q342" i="5"/>
  <c r="Q343" i="5"/>
  <c r="Q344" i="5"/>
  <c r="Q345" i="5"/>
  <c r="Q346" i="5"/>
  <c r="Q347" i="5"/>
  <c r="Q348" i="5"/>
  <c r="Q349" i="5"/>
  <c r="Q350" i="5"/>
  <c r="Q351" i="5"/>
  <c r="Q352" i="5"/>
  <c r="Q353" i="5"/>
  <c r="Q354" i="5"/>
  <c r="Q355" i="5"/>
  <c r="Q356" i="5"/>
  <c r="Q357" i="5"/>
  <c r="Q358" i="5"/>
  <c r="Q359" i="5"/>
  <c r="Q360" i="5"/>
  <c r="Q361" i="5"/>
  <c r="Q362" i="5"/>
  <c r="Q363" i="5"/>
  <c r="Q364" i="5"/>
  <c r="Q365" i="5"/>
  <c r="Q366" i="5"/>
  <c r="Q367" i="5"/>
  <c r="Q368" i="5"/>
  <c r="Q369" i="5"/>
  <c r="Q370" i="5"/>
  <c r="Q371" i="5"/>
  <c r="Q372" i="5"/>
  <c r="Q373" i="5"/>
  <c r="Q374" i="5"/>
  <c r="Q375" i="5"/>
  <c r="Q376" i="5"/>
  <c r="Q377" i="5"/>
  <c r="Q378" i="5"/>
  <c r="Q379" i="5"/>
  <c r="Q380" i="5"/>
  <c r="Q381" i="5"/>
  <c r="Q382" i="5"/>
  <c r="Q383" i="5"/>
  <c r="Q384" i="5"/>
  <c r="Q385" i="5"/>
  <c r="Q386" i="5"/>
  <c r="Q387" i="5"/>
  <c r="Q388" i="5"/>
  <c r="Q389" i="5"/>
  <c r="Q390" i="5"/>
  <c r="Q391" i="5"/>
  <c r="Q392" i="5"/>
  <c r="Q393" i="5"/>
  <c r="Q394" i="5"/>
  <c r="Q395" i="5"/>
  <c r="Q396" i="5"/>
  <c r="Q397" i="5"/>
  <c r="Q398" i="5"/>
  <c r="Q399" i="5"/>
  <c r="Q400" i="5"/>
  <c r="Q401" i="5"/>
  <c r="Q402" i="5"/>
  <c r="Q403" i="5"/>
  <c r="Q404" i="5"/>
  <c r="Q405" i="5"/>
  <c r="Q406" i="5"/>
  <c r="Q407" i="5"/>
  <c r="Q408" i="5"/>
  <c r="Q409" i="5"/>
  <c r="Q410" i="5"/>
  <c r="Q411" i="5"/>
  <c r="Q412" i="5"/>
  <c r="Q413" i="5"/>
  <c r="Q414" i="5"/>
  <c r="Q415" i="5"/>
  <c r="Q416" i="5"/>
  <c r="Q417" i="5"/>
  <c r="Q418" i="5"/>
  <c r="Q419" i="5"/>
  <c r="Q420" i="5"/>
  <c r="Q421" i="5"/>
  <c r="Q422" i="5"/>
  <c r="Q423" i="5"/>
  <c r="Q424" i="5"/>
  <c r="Q425" i="5"/>
  <c r="Q426" i="5"/>
  <c r="Q427" i="5"/>
  <c r="Q428" i="5"/>
  <c r="Q429" i="5"/>
  <c r="Q430" i="5"/>
  <c r="Q431" i="5"/>
  <c r="Q432" i="5"/>
  <c r="Q433" i="5"/>
  <c r="Q434" i="5"/>
  <c r="Q435" i="5"/>
  <c r="Q436" i="5"/>
  <c r="Q437" i="5"/>
  <c r="Q438" i="5"/>
  <c r="Q439" i="5"/>
  <c r="Q440" i="5"/>
  <c r="Q441" i="5"/>
  <c r="Q442" i="5"/>
  <c r="Q443" i="5"/>
  <c r="Q444" i="5"/>
  <c r="Q445" i="5"/>
  <c r="Q446" i="5"/>
  <c r="Q447" i="5"/>
  <c r="Q448" i="5"/>
  <c r="Q449" i="5"/>
  <c r="Q450" i="5"/>
  <c r="Q451" i="5"/>
  <c r="Q452" i="5"/>
  <c r="Q453" i="5"/>
  <c r="Q454" i="5"/>
  <c r="Q455" i="5"/>
  <c r="Q456" i="5"/>
  <c r="Q457" i="5"/>
  <c r="Q458" i="5"/>
  <c r="Q459" i="5"/>
  <c r="Q460" i="5"/>
  <c r="Q461" i="5"/>
  <c r="Q462" i="5"/>
  <c r="Q463" i="5"/>
  <c r="Q464" i="5"/>
  <c r="Q465" i="5"/>
  <c r="Q466" i="5"/>
  <c r="Q467" i="5"/>
  <c r="Q468" i="5"/>
  <c r="Q469" i="5"/>
  <c r="Q470" i="5"/>
  <c r="Q471" i="5"/>
  <c r="Q472" i="5"/>
  <c r="Q473" i="5"/>
  <c r="Q474" i="5"/>
  <c r="Q475" i="5"/>
  <c r="Q476" i="5"/>
  <c r="Q477" i="5"/>
  <c r="Q478" i="5"/>
  <c r="Q479" i="5"/>
  <c r="Q480" i="5"/>
  <c r="Q481" i="5"/>
  <c r="Q482" i="5"/>
  <c r="Q483" i="5"/>
  <c r="Q484" i="5"/>
  <c r="Q485" i="5"/>
  <c r="Q486" i="5"/>
  <c r="Q487" i="5"/>
  <c r="Q488" i="5"/>
  <c r="Q489" i="5"/>
  <c r="Q490" i="5"/>
  <c r="Q491" i="5"/>
  <c r="Q492" i="5"/>
  <c r="Q493" i="5"/>
  <c r="Q494" i="5"/>
  <c r="Q495" i="5"/>
  <c r="Q496" i="5"/>
  <c r="Q497" i="5"/>
  <c r="Q498" i="5"/>
  <c r="Q499" i="5"/>
  <c r="Q500" i="5"/>
  <c r="Q501" i="5"/>
  <c r="Q502" i="5"/>
  <c r="Q503" i="5"/>
  <c r="Q504" i="5"/>
  <c r="Q505" i="5"/>
  <c r="Q506" i="5"/>
  <c r="Q507" i="5"/>
  <c r="Q508" i="5"/>
  <c r="Q509" i="5"/>
  <c r="Q510" i="5"/>
  <c r="Q511" i="5"/>
  <c r="Q512" i="5"/>
  <c r="Q513" i="5"/>
  <c r="Q514" i="5"/>
  <c r="Q515" i="5"/>
  <c r="Q516" i="5"/>
  <c r="Q517" i="5"/>
  <c r="Q518" i="5"/>
  <c r="Q519" i="5"/>
  <c r="Q520" i="5"/>
  <c r="Q521" i="5"/>
  <c r="Q522" i="5"/>
  <c r="Q523" i="5"/>
  <c r="Q524" i="5"/>
  <c r="Q525" i="5"/>
  <c r="Q526" i="5"/>
  <c r="Q527" i="5"/>
  <c r="Q528" i="5"/>
  <c r="Q529" i="5"/>
  <c r="Q530" i="5"/>
  <c r="Q531" i="5"/>
  <c r="Q532" i="5"/>
  <c r="Q533" i="5"/>
  <c r="Q534" i="5"/>
  <c r="Q535" i="5"/>
  <c r="Q536" i="5"/>
  <c r="Q537" i="5"/>
  <c r="Q538" i="5"/>
  <c r="Q539" i="5"/>
  <c r="Q540" i="5"/>
  <c r="Q541" i="5"/>
  <c r="Q542" i="5"/>
  <c r="Q543" i="5"/>
  <c r="Q544" i="5"/>
  <c r="Q545" i="5"/>
  <c r="Q546" i="5"/>
  <c r="Q547" i="5"/>
  <c r="Q548" i="5"/>
  <c r="Q549" i="5"/>
  <c r="Q550" i="5"/>
  <c r="Q551" i="5"/>
  <c r="Q552" i="5"/>
  <c r="Q553" i="5"/>
  <c r="Q554" i="5"/>
  <c r="Q555" i="5"/>
  <c r="Q556" i="5"/>
  <c r="Q557" i="5"/>
  <c r="Q558" i="5"/>
  <c r="Q559" i="5"/>
  <c r="Q560" i="5"/>
  <c r="Q561" i="5"/>
  <c r="Q562" i="5"/>
  <c r="Q563" i="5"/>
  <c r="Q564" i="5"/>
  <c r="Q565" i="5"/>
  <c r="Q566" i="5"/>
  <c r="Q567" i="5"/>
  <c r="Q568" i="5"/>
  <c r="Q569" i="5"/>
  <c r="Q570" i="5"/>
  <c r="Q571" i="5"/>
  <c r="Q572" i="5"/>
  <c r="Q573" i="5"/>
  <c r="Q574" i="5"/>
  <c r="Q575" i="5"/>
  <c r="Q576" i="5"/>
  <c r="Q577" i="5"/>
  <c r="Q578" i="5"/>
  <c r="Q579" i="5"/>
  <c r="Q580" i="5"/>
  <c r="Q581" i="5"/>
  <c r="Q582" i="5"/>
  <c r="Q583" i="5"/>
  <c r="Q584" i="5"/>
  <c r="Q585" i="5"/>
  <c r="Q586" i="5"/>
  <c r="Q587" i="5"/>
  <c r="Q588" i="5"/>
  <c r="Q589" i="5"/>
  <c r="Q590" i="5"/>
  <c r="Q591" i="5"/>
  <c r="Q592" i="5"/>
  <c r="Q593" i="5"/>
  <c r="Q594" i="5"/>
  <c r="Q595" i="5"/>
  <c r="Q596" i="5"/>
  <c r="Q597" i="5"/>
  <c r="Q598" i="5"/>
  <c r="Q599" i="5"/>
  <c r="Q600" i="5"/>
  <c r="Q601" i="5"/>
  <c r="Q602" i="5"/>
  <c r="Q603" i="5"/>
  <c r="Q604" i="5"/>
  <c r="Q605" i="5"/>
  <c r="Q606" i="5"/>
  <c r="Q607" i="5"/>
  <c r="Q608" i="5"/>
  <c r="Q609" i="5"/>
  <c r="Q610" i="5"/>
  <c r="Q611" i="5"/>
  <c r="Q612" i="5"/>
  <c r="Q613" i="5"/>
  <c r="Q614" i="5"/>
  <c r="Q615" i="5"/>
  <c r="Q616" i="5"/>
  <c r="Q617" i="5"/>
  <c r="Q618" i="5"/>
  <c r="Q619" i="5"/>
  <c r="Q620" i="5"/>
  <c r="Q621" i="5"/>
  <c r="Q622" i="5"/>
  <c r="Q623" i="5"/>
  <c r="Q624" i="5"/>
  <c r="Q625" i="5"/>
  <c r="Q626" i="5"/>
  <c r="Q627" i="5"/>
  <c r="Q628" i="5"/>
  <c r="Q629" i="5"/>
  <c r="Q630" i="5"/>
  <c r="Q631" i="5"/>
  <c r="Q632" i="5"/>
  <c r="Q633" i="5"/>
  <c r="Q634" i="5"/>
  <c r="Q635" i="5"/>
  <c r="Q636" i="5"/>
  <c r="Q637" i="5"/>
  <c r="Q638" i="5"/>
  <c r="Q639" i="5"/>
  <c r="Q640" i="5"/>
  <c r="Q641" i="5"/>
  <c r="Q642" i="5"/>
  <c r="Q643" i="5"/>
  <c r="Q644" i="5"/>
  <c r="Q645" i="5"/>
  <c r="Q646" i="5"/>
  <c r="Q647" i="5"/>
  <c r="Q648" i="5"/>
  <c r="Q649" i="5"/>
  <c r="Q650" i="5"/>
  <c r="Q651" i="5"/>
  <c r="Q652" i="5"/>
  <c r="Q653" i="5"/>
  <c r="Q654" i="5"/>
  <c r="Q655" i="5"/>
  <c r="Q656" i="5"/>
  <c r="Q657" i="5"/>
  <c r="Q658" i="5"/>
  <c r="Q659" i="5"/>
  <c r="Q660" i="5"/>
  <c r="Q661" i="5"/>
  <c r="Q662" i="5"/>
  <c r="Q663" i="5"/>
  <c r="Q664" i="5"/>
  <c r="Q665" i="5"/>
  <c r="Q666" i="5"/>
  <c r="Q667" i="5"/>
  <c r="Q668" i="5"/>
  <c r="Q669" i="5"/>
  <c r="Q670" i="5"/>
  <c r="Q671" i="5"/>
  <c r="Q672" i="5"/>
  <c r="Q673" i="5"/>
  <c r="Q674" i="5"/>
  <c r="Q675" i="5"/>
  <c r="Q676" i="5"/>
  <c r="Q677" i="5"/>
  <c r="Q678" i="5"/>
  <c r="Q679" i="5"/>
  <c r="Q680" i="5"/>
  <c r="Q681" i="5"/>
  <c r="Q682" i="5"/>
  <c r="Q683" i="5"/>
  <c r="Q684" i="5"/>
  <c r="Q685" i="5"/>
  <c r="Q686" i="5"/>
  <c r="Q687" i="5"/>
  <c r="Q688" i="5"/>
  <c r="Q689" i="5"/>
  <c r="Q690" i="5"/>
  <c r="Q691" i="5"/>
  <c r="Q692" i="5"/>
  <c r="Q693" i="5"/>
  <c r="Q694" i="5"/>
  <c r="Q695" i="5"/>
  <c r="Q696" i="5"/>
  <c r="Q697" i="5"/>
  <c r="Q698" i="5"/>
  <c r="Q699" i="5"/>
  <c r="Q700" i="5"/>
  <c r="Q701" i="5"/>
  <c r="Q702" i="5"/>
  <c r="Q703" i="5"/>
  <c r="Q704" i="5"/>
  <c r="Q705" i="5"/>
  <c r="Q706" i="5"/>
  <c r="Q707" i="5"/>
  <c r="Q708" i="5"/>
  <c r="Q709" i="5"/>
  <c r="Q710" i="5"/>
  <c r="Q711" i="5"/>
  <c r="Q712" i="5"/>
  <c r="Q713" i="5"/>
  <c r="Q714" i="5"/>
  <c r="Q715" i="5"/>
  <c r="Q716" i="5"/>
  <c r="Q717" i="5"/>
  <c r="Q718" i="5"/>
  <c r="Q719" i="5"/>
  <c r="Q720" i="5"/>
  <c r="Q721" i="5"/>
  <c r="Q722" i="5"/>
  <c r="Q723" i="5"/>
  <c r="Q724" i="5"/>
  <c r="Q725" i="5"/>
  <c r="Q726" i="5"/>
  <c r="Q727" i="5"/>
  <c r="Q728" i="5"/>
  <c r="Q729" i="5"/>
  <c r="Q730" i="5"/>
  <c r="Q731" i="5"/>
  <c r="Q732" i="5"/>
  <c r="Q733" i="5"/>
  <c r="Q734" i="5"/>
  <c r="Q735" i="5"/>
  <c r="Q736" i="5"/>
  <c r="Q737" i="5"/>
  <c r="Q738" i="5"/>
  <c r="Q739" i="5"/>
  <c r="Q740" i="5"/>
  <c r="Q741" i="5"/>
  <c r="Q742" i="5"/>
  <c r="Q743" i="5"/>
  <c r="Q744" i="5"/>
  <c r="Q745" i="5"/>
  <c r="Q746" i="5"/>
  <c r="Q747" i="5"/>
  <c r="Q748" i="5"/>
  <c r="Q749" i="5"/>
  <c r="Q750" i="5"/>
  <c r="Q751" i="5"/>
  <c r="Q752" i="5"/>
  <c r="Q753" i="5"/>
  <c r="Q754" i="5"/>
  <c r="Q755" i="5"/>
  <c r="Q756" i="5"/>
  <c r="Q757" i="5"/>
  <c r="Q758" i="5"/>
  <c r="Q759" i="5"/>
  <c r="Q760" i="5"/>
  <c r="Q761" i="5"/>
  <c r="Q762" i="5"/>
  <c r="Q763" i="5"/>
  <c r="Q764" i="5"/>
  <c r="Q765" i="5"/>
  <c r="Q766" i="5"/>
  <c r="Q767" i="5"/>
  <c r="Q768" i="5"/>
  <c r="Q769" i="5"/>
  <c r="Q770" i="5"/>
  <c r="Q771" i="5"/>
  <c r="Q772" i="5"/>
  <c r="Q773" i="5"/>
  <c r="Q774" i="5"/>
  <c r="Q775" i="5"/>
  <c r="Q776" i="5"/>
  <c r="Q777" i="5"/>
  <c r="Q778" i="5"/>
  <c r="Q779" i="5"/>
  <c r="Q780" i="5"/>
  <c r="Q781" i="5"/>
  <c r="Q782" i="5"/>
  <c r="Q783" i="5"/>
  <c r="Q784" i="5"/>
  <c r="Q785" i="5"/>
  <c r="Q786" i="5"/>
  <c r="Q787" i="5"/>
  <c r="Q788" i="5"/>
  <c r="Q789" i="5"/>
  <c r="Q790" i="5"/>
  <c r="Q791" i="5"/>
  <c r="Q792" i="5"/>
  <c r="Q793" i="5"/>
  <c r="Q794" i="5"/>
  <c r="Q795" i="5"/>
  <c r="Q796" i="5"/>
  <c r="Q797" i="5"/>
  <c r="Q798" i="5"/>
  <c r="Q799" i="5"/>
  <c r="Q800" i="5"/>
  <c r="Q801" i="5"/>
  <c r="Q802" i="5"/>
  <c r="Q803" i="5"/>
  <c r="Q804" i="5"/>
  <c r="Q805" i="5"/>
  <c r="Q806" i="5"/>
  <c r="Q807" i="5"/>
  <c r="Q808" i="5"/>
  <c r="Q809" i="5"/>
  <c r="Q810" i="5"/>
  <c r="Q811" i="5"/>
  <c r="Q812" i="5"/>
  <c r="Q813" i="5"/>
  <c r="Q814" i="5"/>
  <c r="Q815" i="5"/>
  <c r="Q816" i="5"/>
  <c r="Q817" i="5"/>
  <c r="Q818" i="5"/>
  <c r="Q819" i="5"/>
  <c r="Q820" i="5"/>
  <c r="Q821" i="5"/>
  <c r="Q822" i="5"/>
  <c r="Q823" i="5"/>
  <c r="Q824" i="5"/>
  <c r="Q825" i="5"/>
  <c r="Q826" i="5"/>
  <c r="Q827" i="5"/>
  <c r="Q828" i="5"/>
  <c r="Q829" i="5"/>
  <c r="Q830" i="5"/>
  <c r="Q831" i="5"/>
  <c r="Q832" i="5"/>
  <c r="Q833" i="5"/>
  <c r="Q834" i="5"/>
  <c r="Q835" i="5"/>
  <c r="Q836" i="5"/>
  <c r="Q837" i="5"/>
  <c r="Q838" i="5"/>
  <c r="Q839" i="5"/>
  <c r="Q840" i="5"/>
  <c r="Q841" i="5"/>
  <c r="Q842" i="5"/>
  <c r="Q843" i="5"/>
  <c r="Q844" i="5"/>
  <c r="Q845" i="5"/>
  <c r="Q846" i="5"/>
  <c r="Q847" i="5"/>
  <c r="Q848" i="5"/>
  <c r="Q849" i="5"/>
  <c r="Q850" i="5"/>
  <c r="Q851" i="5"/>
  <c r="Q852" i="5"/>
  <c r="Q853" i="5"/>
  <c r="Q854" i="5"/>
  <c r="Q855" i="5"/>
  <c r="Q856" i="5"/>
  <c r="Q857" i="5"/>
  <c r="Q858" i="5"/>
  <c r="Q859" i="5"/>
  <c r="Q860" i="5"/>
  <c r="Q861" i="5"/>
  <c r="Q862" i="5"/>
  <c r="Q863" i="5"/>
  <c r="Q864" i="5"/>
  <c r="Q865" i="5"/>
  <c r="Q866" i="5"/>
  <c r="Q867" i="5"/>
  <c r="Q868" i="5"/>
  <c r="Q869" i="5"/>
  <c r="Q870" i="5"/>
  <c r="Q871" i="5"/>
  <c r="Q872" i="5"/>
  <c r="Q873" i="5"/>
  <c r="Q874" i="5"/>
  <c r="Q875" i="5"/>
  <c r="Q876" i="5"/>
  <c r="Q877" i="5"/>
  <c r="Q878" i="5"/>
  <c r="Q879" i="5"/>
  <c r="Q880" i="5"/>
  <c r="Q881" i="5"/>
  <c r="Q882" i="5"/>
  <c r="Q883" i="5"/>
  <c r="Q884" i="5"/>
  <c r="Q885" i="5"/>
  <c r="Q886" i="5"/>
  <c r="Q887" i="5"/>
  <c r="Q888" i="5"/>
  <c r="Q889" i="5"/>
  <c r="Q890" i="5"/>
  <c r="Q891" i="5"/>
  <c r="Q892" i="5"/>
  <c r="Q893" i="5"/>
  <c r="Q894" i="5"/>
  <c r="Q895" i="5"/>
  <c r="Q896" i="5"/>
  <c r="Q897" i="5"/>
  <c r="Q898" i="5"/>
  <c r="Q899" i="5"/>
  <c r="Q900" i="5"/>
  <c r="Q901" i="5"/>
  <c r="Q902" i="5"/>
  <c r="Q903" i="5"/>
  <c r="Q904" i="5"/>
  <c r="Q905" i="5"/>
  <c r="Q906" i="5"/>
  <c r="Q907" i="5"/>
  <c r="Q908" i="5"/>
  <c r="Q909" i="5"/>
  <c r="Q910" i="5"/>
  <c r="Q911" i="5"/>
  <c r="Q912" i="5"/>
  <c r="Q913" i="5"/>
  <c r="Q914" i="5"/>
  <c r="Q915" i="5"/>
  <c r="Q916" i="5"/>
  <c r="Q917" i="5"/>
  <c r="Q918" i="5"/>
  <c r="Q919" i="5"/>
  <c r="Q920" i="5"/>
  <c r="Q921" i="5"/>
  <c r="Q922" i="5"/>
  <c r="Q923" i="5"/>
  <c r="Q924" i="5"/>
  <c r="Q925" i="5"/>
  <c r="Q926" i="5"/>
  <c r="Q927" i="5"/>
  <c r="Q928" i="5"/>
  <c r="Q929" i="5"/>
  <c r="Q930" i="5"/>
  <c r="Q931" i="5"/>
  <c r="Q932" i="5"/>
  <c r="Q933" i="5"/>
  <c r="Q934" i="5"/>
  <c r="Q935" i="5"/>
  <c r="Q936" i="5"/>
  <c r="Q937" i="5"/>
  <c r="Q938" i="5"/>
  <c r="Q939" i="5"/>
  <c r="Q940" i="5"/>
  <c r="Q941" i="5"/>
  <c r="Q942" i="5"/>
  <c r="Q943" i="5"/>
  <c r="Q944" i="5"/>
  <c r="Q945" i="5"/>
  <c r="Q946" i="5"/>
  <c r="Q947" i="5"/>
  <c r="Q948" i="5"/>
  <c r="Q949" i="5"/>
  <c r="Q950" i="5"/>
  <c r="Q951" i="5"/>
  <c r="Q952" i="5"/>
  <c r="Q953" i="5"/>
  <c r="Q954" i="5"/>
  <c r="Q955" i="5"/>
  <c r="Q956" i="5"/>
  <c r="Q957" i="5"/>
  <c r="Q958" i="5"/>
  <c r="Q959" i="5"/>
  <c r="Q960" i="5"/>
  <c r="Q961" i="5"/>
  <c r="Q962" i="5"/>
  <c r="Q963" i="5"/>
  <c r="Q964" i="5"/>
  <c r="Q965" i="5"/>
  <c r="Q966" i="5"/>
  <c r="Q967" i="5"/>
  <c r="Q968" i="5"/>
  <c r="Q969" i="5"/>
  <c r="Q970" i="5"/>
  <c r="Q971" i="5"/>
  <c r="Q972" i="5"/>
  <c r="Q973" i="5"/>
  <c r="Q974" i="5"/>
  <c r="Q975" i="5"/>
  <c r="Q976" i="5"/>
  <c r="Q977" i="5"/>
  <c r="Q978" i="5"/>
  <c r="Q979" i="5"/>
  <c r="Q980" i="5"/>
  <c r="Q981" i="5"/>
  <c r="Q982" i="5"/>
  <c r="Q983" i="5"/>
  <c r="Q984" i="5"/>
  <c r="Q985" i="5"/>
  <c r="Q986" i="5"/>
  <c r="Q987" i="5"/>
  <c r="Q988" i="5"/>
  <c r="Q989" i="5"/>
  <c r="Q990" i="5"/>
  <c r="Q991" i="5"/>
  <c r="Q992" i="5"/>
  <c r="Q993" i="5"/>
  <c r="Q994" i="5"/>
  <c r="Q995" i="5"/>
  <c r="Q996" i="5"/>
  <c r="Q997" i="5"/>
  <c r="Q998" i="5"/>
  <c r="Q999" i="5"/>
  <c r="Q1000" i="5"/>
  <c r="Q1001" i="5"/>
  <c r="Q1002" i="5"/>
  <c r="Q1003" i="5"/>
  <c r="Q1004" i="5"/>
  <c r="Q1005" i="5"/>
  <c r="Q1006" i="5"/>
  <c r="Q1007" i="5"/>
  <c r="Q1008" i="5"/>
  <c r="Q1009" i="5"/>
  <c r="Q1010" i="5"/>
  <c r="Q1011" i="5"/>
  <c r="Q1012" i="5"/>
  <c r="Q1013" i="5"/>
  <c r="Q1014" i="5"/>
  <c r="Q1015" i="5"/>
  <c r="Q1016" i="5"/>
  <c r="Q1017" i="5"/>
  <c r="Q1018" i="5"/>
  <c r="Q1019" i="5"/>
  <c r="Q1020" i="5"/>
  <c r="Q1021" i="5"/>
  <c r="Q1022" i="5"/>
  <c r="Q1023" i="5"/>
  <c r="Q1024" i="5"/>
  <c r="Q1025" i="5"/>
  <c r="Q1026" i="5"/>
  <c r="Q1027" i="5"/>
  <c r="Q1028" i="5"/>
  <c r="Q1029" i="5"/>
  <c r="Q1030" i="5"/>
  <c r="Q1031" i="5"/>
  <c r="Q1032" i="5"/>
  <c r="Q1033" i="5"/>
  <c r="Q1034" i="5"/>
  <c r="Q1035" i="5"/>
  <c r="Q1036" i="5"/>
  <c r="Q1037" i="5"/>
  <c r="Q1038" i="5"/>
  <c r="Q1039" i="5"/>
  <c r="Q1040" i="5"/>
  <c r="Q1041" i="5"/>
  <c r="Q1042" i="5"/>
  <c r="Q1043" i="5"/>
  <c r="Q1044" i="5"/>
  <c r="Q1045" i="5"/>
  <c r="Q1046" i="5"/>
  <c r="Q1047" i="5"/>
  <c r="Q1048" i="5"/>
  <c r="Q1049" i="5"/>
  <c r="Q1050" i="5"/>
  <c r="Q1051" i="5"/>
  <c r="Q1052" i="5"/>
  <c r="Q1053" i="5"/>
  <c r="Q1054" i="5"/>
  <c r="Q1055" i="5"/>
  <c r="Q1056" i="5"/>
  <c r="Q1057" i="5"/>
  <c r="Q1058" i="5"/>
  <c r="Q1059" i="5"/>
  <c r="Q1060" i="5"/>
  <c r="Q1061" i="5"/>
  <c r="Q1062" i="5"/>
  <c r="Q1063" i="5"/>
  <c r="Q1064" i="5"/>
  <c r="Q1065" i="5"/>
  <c r="Q1066" i="5"/>
  <c r="Q1067" i="5"/>
  <c r="Q1068" i="5"/>
  <c r="Q1069" i="5"/>
  <c r="Q1070" i="5"/>
  <c r="Q1071" i="5"/>
  <c r="Q1072" i="5"/>
  <c r="Q1073" i="5"/>
  <c r="Q1074" i="5"/>
  <c r="Q1075" i="5"/>
  <c r="Q1076" i="5"/>
  <c r="Q1077" i="5"/>
  <c r="Q1078" i="5"/>
  <c r="Q1079" i="5"/>
  <c r="Q1080" i="5"/>
  <c r="Q1081" i="5"/>
  <c r="Q1082" i="5"/>
  <c r="Q1083" i="5"/>
  <c r="Q1084" i="5"/>
  <c r="Q1085" i="5"/>
  <c r="Q1086" i="5"/>
  <c r="Q1087" i="5"/>
  <c r="Q1088" i="5"/>
  <c r="Q1089" i="5"/>
  <c r="Q1090" i="5"/>
  <c r="Q1091" i="5"/>
  <c r="Q1092" i="5"/>
  <c r="Q1093" i="5"/>
  <c r="Q1094" i="5"/>
  <c r="Q1095" i="5"/>
  <c r="Q1096" i="5"/>
  <c r="Q1097" i="5"/>
  <c r="Q1098" i="5"/>
  <c r="Q1099" i="5"/>
  <c r="Q1100" i="5"/>
  <c r="Q1101" i="5"/>
  <c r="Q1102" i="5"/>
  <c r="Q1103" i="5"/>
  <c r="Q1104" i="5"/>
  <c r="Q1105" i="5"/>
  <c r="Q1106" i="5"/>
  <c r="Q1107" i="5"/>
  <c r="Q1108" i="5"/>
  <c r="Q1109" i="5"/>
  <c r="Q1110" i="5"/>
  <c r="Q1111" i="5"/>
  <c r="Q1112" i="5"/>
  <c r="Q1113" i="5"/>
  <c r="Q1114" i="5"/>
  <c r="Q1115" i="5"/>
  <c r="Q1116" i="5"/>
  <c r="Q1117" i="5"/>
  <c r="Q1118" i="5"/>
  <c r="Q1119" i="5"/>
  <c r="Q1120" i="5"/>
  <c r="Q1121" i="5"/>
  <c r="Q1122" i="5"/>
  <c r="Q1123" i="5"/>
  <c r="Q1124" i="5"/>
  <c r="Q1125" i="5"/>
  <c r="Q1126" i="5"/>
  <c r="Q1127" i="5"/>
  <c r="Q1128" i="5"/>
  <c r="Q1129" i="5"/>
  <c r="Q1130" i="5"/>
  <c r="Q1131" i="5"/>
  <c r="Q1132" i="5"/>
  <c r="Q1133" i="5"/>
  <c r="Q1134" i="5"/>
  <c r="Q1135" i="5"/>
  <c r="Q1136" i="5"/>
  <c r="Q1137" i="5"/>
  <c r="Q1138" i="5"/>
  <c r="Q1139" i="5"/>
  <c r="Q1140" i="5"/>
  <c r="Q1141" i="5"/>
  <c r="Q1142" i="5"/>
  <c r="Q1143" i="5"/>
  <c r="Q1144" i="5"/>
  <c r="Q1145" i="5"/>
  <c r="Q1146" i="5"/>
  <c r="Q1147" i="5"/>
  <c r="Q1148" i="5"/>
  <c r="Q1149" i="5"/>
  <c r="Q1150" i="5"/>
  <c r="Q1151" i="5"/>
  <c r="Q1152" i="5"/>
  <c r="Q1153" i="5"/>
  <c r="Q1154" i="5"/>
  <c r="Q1155" i="5"/>
  <c r="Q1156" i="5"/>
  <c r="Q1157" i="5"/>
  <c r="Q1158" i="5"/>
  <c r="Q1159" i="5"/>
  <c r="Q1160" i="5"/>
  <c r="Q1161" i="5"/>
  <c r="Q1162" i="5"/>
  <c r="Q1163" i="5"/>
  <c r="Q1164" i="5"/>
  <c r="Q1165" i="5"/>
  <c r="Q1166" i="5"/>
  <c r="Q1167" i="5"/>
  <c r="Q1168" i="5"/>
  <c r="Q1169" i="5"/>
  <c r="Q1170" i="5"/>
  <c r="Q1171" i="5"/>
  <c r="Q1172" i="5"/>
  <c r="Q1173" i="5"/>
  <c r="Q1174" i="5"/>
  <c r="Q1175" i="5"/>
  <c r="Q1176" i="5"/>
  <c r="Q1177" i="5"/>
  <c r="Q1178" i="5"/>
  <c r="Q1179" i="5"/>
  <c r="Q1180" i="5"/>
  <c r="Q1181" i="5"/>
  <c r="Q1182" i="5"/>
  <c r="Q1183" i="5"/>
  <c r="Q1184" i="5"/>
  <c r="Q1185" i="5"/>
  <c r="Q1186" i="5"/>
  <c r="Q1187" i="5"/>
  <c r="Q1188" i="5"/>
  <c r="Q1189" i="5"/>
  <c r="Q1190" i="5"/>
  <c r="Q1191" i="5"/>
  <c r="Q1192" i="5"/>
  <c r="Q1193" i="5"/>
  <c r="Q1194" i="5"/>
  <c r="Q1195" i="5"/>
  <c r="Q1196" i="5"/>
  <c r="Q1197" i="5"/>
  <c r="Q1198" i="5"/>
  <c r="Q1199" i="5"/>
  <c r="Q1200" i="5"/>
  <c r="Q1201" i="5"/>
  <c r="Q1202" i="5"/>
  <c r="Q1203" i="5"/>
  <c r="Q1204" i="5"/>
  <c r="Q1205" i="5"/>
  <c r="Q1206" i="5"/>
  <c r="Q1207" i="5"/>
  <c r="Q1208" i="5"/>
  <c r="Q1209" i="5"/>
  <c r="Q1210" i="5"/>
  <c r="Q1211" i="5"/>
  <c r="Q1212" i="5"/>
  <c r="Q1213" i="5"/>
  <c r="Q1214" i="5"/>
  <c r="Q1215" i="5"/>
  <c r="Q1216" i="5"/>
  <c r="Q1217" i="5"/>
  <c r="Q1218" i="5"/>
  <c r="Q1219" i="5"/>
  <c r="Q1220" i="5"/>
  <c r="Q1221" i="5"/>
  <c r="Q1222" i="5"/>
  <c r="Q1223" i="5"/>
  <c r="Q1224" i="5"/>
  <c r="Q1225" i="5"/>
  <c r="Q1226" i="5"/>
  <c r="Q1227" i="5"/>
  <c r="Q1228" i="5"/>
  <c r="Q1229" i="5"/>
  <c r="Q1230" i="5"/>
  <c r="Q1231" i="5"/>
  <c r="Q1232" i="5"/>
  <c r="Q1233" i="5"/>
  <c r="Q1234" i="5"/>
  <c r="Q1235" i="5"/>
  <c r="Q1236" i="5"/>
  <c r="Q1237" i="5"/>
  <c r="Q1238" i="5"/>
  <c r="Q1239" i="5"/>
  <c r="Q1240" i="5"/>
  <c r="Q1241" i="5"/>
  <c r="Q1242" i="5"/>
  <c r="Q1243" i="5"/>
  <c r="Q1244" i="5"/>
  <c r="Q1245" i="5"/>
  <c r="Q1246" i="5"/>
  <c r="Q1247" i="5"/>
  <c r="Q1248" i="5"/>
  <c r="Q1249" i="5"/>
  <c r="Q1250" i="5"/>
  <c r="Q1251" i="5"/>
  <c r="Q1252" i="5"/>
  <c r="Q1253" i="5"/>
  <c r="Q1254" i="5"/>
  <c r="Q1255" i="5"/>
  <c r="Q1256" i="5"/>
  <c r="Q1257" i="5"/>
  <c r="Q1258" i="5"/>
  <c r="Q1259" i="5"/>
  <c r="Q1260" i="5"/>
  <c r="Q1261" i="5"/>
  <c r="Q1262" i="5"/>
  <c r="Q1263" i="5"/>
  <c r="Q1264" i="5"/>
  <c r="Q1265" i="5"/>
  <c r="Q1266" i="5"/>
  <c r="Q1267" i="5"/>
  <c r="Q1268" i="5"/>
  <c r="Q1269" i="5"/>
  <c r="Q1270" i="5"/>
  <c r="Q1271" i="5"/>
  <c r="Q1272" i="5"/>
  <c r="Q1273" i="5"/>
  <c r="Q1274" i="5"/>
  <c r="Q1275" i="5"/>
  <c r="Q1276" i="5"/>
  <c r="Q1277" i="5"/>
  <c r="Q1278" i="5"/>
  <c r="Q1279" i="5"/>
  <c r="Q1280" i="5"/>
  <c r="Q1281" i="5"/>
  <c r="Q1282" i="5"/>
  <c r="Q1283" i="5"/>
  <c r="Q1284" i="5"/>
  <c r="Q1285" i="5"/>
  <c r="Q1286" i="5"/>
  <c r="Q1287" i="5"/>
  <c r="Q1288" i="5"/>
  <c r="Q1289" i="5"/>
  <c r="Q1290" i="5"/>
  <c r="Q1291" i="5"/>
  <c r="Q1292" i="5"/>
  <c r="Q1293" i="5"/>
  <c r="Q1294" i="5"/>
  <c r="Q1295" i="5"/>
  <c r="Q1296" i="5"/>
  <c r="Q1297" i="5"/>
  <c r="Q1298" i="5"/>
  <c r="Q1299" i="5"/>
  <c r="Q1300" i="5"/>
  <c r="Q1301" i="5"/>
  <c r="Q1302" i="5"/>
  <c r="Q1303" i="5"/>
  <c r="Q1304" i="5"/>
  <c r="Q1305" i="5"/>
  <c r="Q1306" i="5"/>
  <c r="Q1307" i="5"/>
  <c r="Q1308" i="5"/>
  <c r="Q1309" i="5"/>
  <c r="Q1310" i="5"/>
  <c r="Q1311" i="5"/>
  <c r="Q1312" i="5"/>
  <c r="Q1313" i="5"/>
  <c r="Q1314" i="5"/>
  <c r="Q1315" i="5"/>
  <c r="Q1316" i="5"/>
  <c r="Q1317" i="5"/>
  <c r="Q1318" i="5"/>
  <c r="Q1319" i="5"/>
  <c r="Q1320" i="5"/>
  <c r="Q1321" i="5"/>
  <c r="Q1322" i="5"/>
  <c r="Q1323" i="5"/>
  <c r="Q1324" i="5"/>
  <c r="Q1325" i="5"/>
  <c r="Q1326" i="5"/>
  <c r="Q1327" i="5"/>
  <c r="Q1328" i="5"/>
  <c r="Q1329" i="5"/>
  <c r="Q1330" i="5"/>
  <c r="Q1331" i="5"/>
  <c r="Q1332" i="5"/>
  <c r="Q1333" i="5"/>
  <c r="Q1334" i="5"/>
  <c r="Q1335" i="5"/>
  <c r="Q1336" i="5"/>
  <c r="Q1337" i="5"/>
  <c r="Q1338" i="5"/>
  <c r="Q1339" i="5"/>
  <c r="Q1340" i="5"/>
  <c r="Q1341" i="5"/>
  <c r="Q1342" i="5"/>
  <c r="Q1343" i="5"/>
  <c r="Q1344" i="5"/>
  <c r="Q1345" i="5"/>
  <c r="Q1346" i="5"/>
  <c r="Q1347" i="5"/>
  <c r="Q1348" i="5"/>
  <c r="Q1349" i="5"/>
  <c r="Q1350" i="5"/>
  <c r="Q1351" i="5"/>
  <c r="Q1352" i="5"/>
  <c r="Q1353" i="5"/>
  <c r="Q1354" i="5"/>
  <c r="Q1355" i="5"/>
  <c r="Q1356" i="5"/>
  <c r="Q1357" i="5"/>
  <c r="Q1358" i="5"/>
  <c r="Q1359" i="5"/>
  <c r="Q1360" i="5"/>
  <c r="Q1361" i="5"/>
  <c r="Q1362" i="5"/>
  <c r="Q1363" i="5"/>
  <c r="Q1364" i="5"/>
  <c r="Q1365" i="5"/>
  <c r="Q1366" i="5"/>
  <c r="Q1367" i="5"/>
  <c r="Q1368" i="5"/>
  <c r="Q1369" i="5"/>
  <c r="Q1370" i="5"/>
  <c r="Q1371" i="5"/>
  <c r="Q1372" i="5"/>
  <c r="Q1373" i="5"/>
  <c r="Q1374" i="5"/>
  <c r="Q1375" i="5"/>
  <c r="Q1376" i="5"/>
  <c r="Q1377" i="5"/>
  <c r="Q1378" i="5"/>
  <c r="Q1379" i="5"/>
  <c r="Q1380" i="5"/>
  <c r="Q1381" i="5"/>
  <c r="Q1382" i="5"/>
  <c r="Q1383" i="5"/>
  <c r="Q1384" i="5"/>
  <c r="Q1385" i="5"/>
  <c r="Q1386" i="5"/>
  <c r="Q1387" i="5"/>
  <c r="Q1388" i="5"/>
  <c r="Q1389" i="5"/>
  <c r="Q1390" i="5"/>
  <c r="Q1391" i="5"/>
  <c r="Q1392" i="5"/>
  <c r="Q1393" i="5"/>
  <c r="Q1394" i="5"/>
  <c r="Q1395" i="5"/>
  <c r="Q1396" i="5"/>
  <c r="Q1397" i="5"/>
  <c r="Q1398" i="5"/>
  <c r="Q1399" i="5"/>
  <c r="Q1400" i="5"/>
  <c r="Q1401" i="5"/>
  <c r="Q1402" i="5"/>
  <c r="Q1403" i="5"/>
  <c r="Q1404" i="5"/>
  <c r="Q1405" i="5"/>
  <c r="Q1406" i="5"/>
  <c r="Q1407" i="5"/>
  <c r="Q1408" i="5"/>
  <c r="Q1409" i="5"/>
  <c r="Q1410" i="5"/>
  <c r="Q1411" i="5"/>
  <c r="Q1412" i="5"/>
  <c r="Q1413" i="5"/>
  <c r="Q1414" i="5"/>
  <c r="Q1415" i="5"/>
  <c r="Q1416" i="5"/>
  <c r="Q1417" i="5"/>
  <c r="Q1418" i="5"/>
  <c r="Q1419" i="5"/>
  <c r="Q1420" i="5"/>
  <c r="Q1421" i="5"/>
  <c r="Q1422" i="5"/>
  <c r="Q1423" i="5"/>
  <c r="Q1424" i="5"/>
  <c r="Q1425" i="5"/>
  <c r="Q1426" i="5"/>
  <c r="Q1427" i="5"/>
  <c r="Q1428" i="5"/>
  <c r="Q1429" i="5"/>
  <c r="Q1430" i="5"/>
  <c r="Q1431" i="5"/>
  <c r="Q1432" i="5"/>
  <c r="Q1433" i="5"/>
  <c r="Q1434" i="5"/>
  <c r="Q1435" i="5"/>
  <c r="Q1436" i="5"/>
  <c r="Q1437" i="5"/>
  <c r="Q1438" i="5"/>
  <c r="Q1439" i="5"/>
  <c r="Q1440" i="5"/>
  <c r="Q1441" i="5"/>
  <c r="Q1442" i="5"/>
  <c r="Q1443" i="5"/>
  <c r="Q1444" i="5"/>
  <c r="Q1445" i="5"/>
  <c r="Q1446" i="5"/>
  <c r="Q1447" i="5"/>
  <c r="Q1448" i="5"/>
  <c r="Q1449" i="5"/>
  <c r="Q1450" i="5"/>
  <c r="Q1451" i="5"/>
  <c r="Q1452" i="5"/>
  <c r="Q1453" i="5"/>
  <c r="Q1454" i="5"/>
  <c r="Q1455" i="5"/>
  <c r="Q1456" i="5"/>
  <c r="Q1457" i="5"/>
  <c r="Q1458" i="5"/>
  <c r="Q1459" i="5"/>
  <c r="Q1460" i="5"/>
  <c r="Q1461" i="5"/>
  <c r="Q1462" i="5"/>
  <c r="Q1463" i="5"/>
  <c r="Q1464" i="5"/>
  <c r="Q1465" i="5"/>
  <c r="Q1466" i="5"/>
  <c r="Q1467" i="5"/>
  <c r="Q1468" i="5"/>
  <c r="Q1469" i="5"/>
  <c r="Q1470" i="5"/>
  <c r="Q1471" i="5"/>
  <c r="Q1472" i="5"/>
  <c r="Q1473" i="5"/>
  <c r="Q1474" i="5"/>
  <c r="Q1475" i="5"/>
  <c r="Q1476" i="5"/>
  <c r="Q1477" i="5"/>
  <c r="Q1478" i="5"/>
  <c r="Q1479" i="5"/>
  <c r="Q1480" i="5"/>
  <c r="Q1481" i="5"/>
  <c r="Q1482" i="5"/>
  <c r="Q1483" i="5"/>
  <c r="Q1484" i="5"/>
  <c r="Q1485" i="5"/>
  <c r="Q1486" i="5"/>
  <c r="Q1487" i="5"/>
  <c r="Q1488" i="5"/>
  <c r="Q1489" i="5"/>
  <c r="Q1490" i="5"/>
  <c r="Q1491" i="5"/>
  <c r="Q1492" i="5"/>
  <c r="Q1493" i="5"/>
  <c r="Q1494" i="5"/>
  <c r="Q1495" i="5"/>
  <c r="Q1496" i="5"/>
  <c r="Q1497" i="5"/>
  <c r="Q1498" i="5"/>
  <c r="Q1499" i="5"/>
  <c r="Q1500" i="5"/>
  <c r="Q1501" i="5"/>
  <c r="Q1502" i="5"/>
  <c r="Q1503" i="5"/>
  <c r="P2" i="5"/>
  <c r="P3" i="5"/>
  <c r="P4" i="5"/>
  <c r="P5" i="5"/>
  <c r="P6" i="5"/>
  <c r="P7" i="5"/>
  <c r="P8" i="5"/>
  <c r="P9" i="5"/>
  <c r="P10" i="5"/>
  <c r="P11" i="5"/>
  <c r="P12" i="5"/>
  <c r="P13" i="5"/>
  <c r="P14" i="5"/>
  <c r="P15" i="5"/>
  <c r="P16" i="5"/>
  <c r="P17" i="5"/>
  <c r="P18" i="5"/>
  <c r="P19" i="5"/>
  <c r="P20" i="5"/>
  <c r="P21" i="5"/>
  <c r="P22" i="5"/>
  <c r="P23" i="5"/>
  <c r="P24" i="5"/>
  <c r="P25" i="5"/>
  <c r="P26" i="5"/>
  <c r="P27" i="5"/>
  <c r="P28" i="5"/>
  <c r="P29" i="5"/>
  <c r="P30" i="5"/>
  <c r="P31" i="5"/>
  <c r="P32" i="5"/>
  <c r="P33" i="5"/>
  <c r="P34" i="5"/>
  <c r="P35" i="5"/>
  <c r="P36" i="5"/>
  <c r="P37" i="5"/>
  <c r="P38" i="5"/>
  <c r="P39" i="5"/>
  <c r="P40" i="5"/>
  <c r="P41" i="5"/>
  <c r="P42" i="5"/>
  <c r="P43" i="5"/>
  <c r="P44" i="5"/>
  <c r="P45" i="5"/>
  <c r="P46" i="5"/>
  <c r="P47" i="5"/>
  <c r="P48" i="5"/>
  <c r="P49" i="5"/>
  <c r="P50" i="5"/>
  <c r="P51" i="5"/>
  <c r="P52" i="5"/>
  <c r="P53" i="5"/>
  <c r="P54" i="5"/>
  <c r="P55" i="5"/>
  <c r="P56" i="5"/>
  <c r="P57" i="5"/>
  <c r="P58" i="5"/>
  <c r="P59" i="5"/>
  <c r="P60" i="5"/>
  <c r="P61" i="5"/>
  <c r="P62" i="5"/>
  <c r="P63" i="5"/>
  <c r="P64" i="5"/>
  <c r="P65" i="5"/>
  <c r="P66" i="5"/>
  <c r="P67" i="5"/>
  <c r="P68" i="5"/>
  <c r="P69" i="5"/>
  <c r="P70" i="5"/>
  <c r="P71" i="5"/>
  <c r="P72" i="5"/>
  <c r="P73" i="5"/>
  <c r="P74" i="5"/>
  <c r="P75" i="5"/>
  <c r="P76" i="5"/>
  <c r="P77" i="5"/>
  <c r="P78" i="5"/>
  <c r="P79" i="5"/>
  <c r="P80" i="5"/>
  <c r="P81" i="5"/>
  <c r="P82" i="5"/>
  <c r="P83" i="5"/>
  <c r="P84" i="5"/>
  <c r="P85" i="5"/>
  <c r="P86" i="5"/>
  <c r="P87" i="5"/>
  <c r="P88" i="5"/>
  <c r="P89" i="5"/>
  <c r="P90" i="5"/>
  <c r="P91" i="5"/>
  <c r="P92" i="5"/>
  <c r="P93" i="5"/>
  <c r="P94" i="5"/>
  <c r="P95" i="5"/>
  <c r="P96" i="5"/>
  <c r="P97" i="5"/>
  <c r="P98" i="5"/>
  <c r="P99" i="5"/>
  <c r="P100" i="5"/>
  <c r="P101" i="5"/>
  <c r="P102" i="5"/>
  <c r="P103" i="5"/>
  <c r="P104" i="5"/>
  <c r="P105" i="5"/>
  <c r="P106" i="5"/>
  <c r="P107" i="5"/>
  <c r="P108" i="5"/>
  <c r="P109" i="5"/>
  <c r="P110" i="5"/>
  <c r="P111" i="5"/>
  <c r="P112" i="5"/>
  <c r="P113" i="5"/>
  <c r="P114" i="5"/>
  <c r="P115" i="5"/>
  <c r="P116" i="5"/>
  <c r="P117" i="5"/>
  <c r="P118" i="5"/>
  <c r="P119" i="5"/>
  <c r="P120" i="5"/>
  <c r="P121" i="5"/>
  <c r="P122" i="5"/>
  <c r="P123" i="5"/>
  <c r="P124" i="5"/>
  <c r="P125" i="5"/>
  <c r="P126" i="5"/>
  <c r="P127" i="5"/>
  <c r="P128" i="5"/>
  <c r="P129" i="5"/>
  <c r="P130" i="5"/>
  <c r="P131" i="5"/>
  <c r="P132" i="5"/>
  <c r="P133" i="5"/>
  <c r="P134" i="5"/>
  <c r="P135" i="5"/>
  <c r="P136" i="5"/>
  <c r="P137" i="5"/>
  <c r="P138" i="5"/>
  <c r="P139" i="5"/>
  <c r="P140" i="5"/>
  <c r="P141" i="5"/>
  <c r="P142" i="5"/>
  <c r="P143" i="5"/>
  <c r="P144" i="5"/>
  <c r="P145" i="5"/>
  <c r="P146" i="5"/>
  <c r="P147" i="5"/>
  <c r="P148" i="5"/>
  <c r="P149" i="5"/>
  <c r="P150" i="5"/>
  <c r="P151" i="5"/>
  <c r="P152" i="5"/>
  <c r="P153" i="5"/>
  <c r="P154" i="5"/>
  <c r="P155" i="5"/>
  <c r="P156" i="5"/>
  <c r="P157" i="5"/>
  <c r="P158" i="5"/>
  <c r="P159" i="5"/>
  <c r="P160" i="5"/>
  <c r="P161" i="5"/>
  <c r="P162" i="5"/>
  <c r="P163" i="5"/>
  <c r="P164" i="5"/>
  <c r="P165" i="5"/>
  <c r="P166" i="5"/>
  <c r="P167" i="5"/>
  <c r="P168" i="5"/>
  <c r="P169" i="5"/>
  <c r="P170" i="5"/>
  <c r="P171" i="5"/>
  <c r="P172" i="5"/>
  <c r="P173" i="5"/>
  <c r="P174" i="5"/>
  <c r="P175" i="5"/>
  <c r="P176" i="5"/>
  <c r="P177" i="5"/>
  <c r="P178" i="5"/>
  <c r="P179" i="5"/>
  <c r="P180" i="5"/>
  <c r="P181" i="5"/>
  <c r="P182" i="5"/>
  <c r="P183" i="5"/>
  <c r="P184" i="5"/>
  <c r="P185" i="5"/>
  <c r="P186" i="5"/>
  <c r="P187" i="5"/>
  <c r="P188" i="5"/>
  <c r="P189" i="5"/>
  <c r="P190" i="5"/>
  <c r="P191" i="5"/>
  <c r="P192" i="5"/>
  <c r="P193" i="5"/>
  <c r="P194" i="5"/>
  <c r="P195" i="5"/>
  <c r="P196" i="5"/>
  <c r="P197" i="5"/>
  <c r="P198" i="5"/>
  <c r="P199" i="5"/>
  <c r="P200" i="5"/>
  <c r="P201" i="5"/>
  <c r="P202" i="5"/>
  <c r="P203" i="5"/>
  <c r="P204" i="5"/>
  <c r="P205" i="5"/>
  <c r="P206" i="5"/>
  <c r="P207" i="5"/>
  <c r="P208" i="5"/>
  <c r="P209" i="5"/>
  <c r="P210" i="5"/>
  <c r="P211" i="5"/>
  <c r="P212" i="5"/>
  <c r="P213" i="5"/>
  <c r="P214" i="5"/>
  <c r="P215" i="5"/>
  <c r="P216" i="5"/>
  <c r="P217" i="5"/>
  <c r="P218" i="5"/>
  <c r="P219" i="5"/>
  <c r="P220" i="5"/>
  <c r="P221" i="5"/>
  <c r="P222" i="5"/>
  <c r="P223" i="5"/>
  <c r="P224" i="5"/>
  <c r="P225" i="5"/>
  <c r="P226" i="5"/>
  <c r="P227" i="5"/>
  <c r="P228" i="5"/>
  <c r="P229" i="5"/>
  <c r="P230" i="5"/>
  <c r="P231" i="5"/>
  <c r="P232" i="5"/>
  <c r="P233" i="5"/>
  <c r="P234" i="5"/>
  <c r="P235" i="5"/>
  <c r="P236" i="5"/>
  <c r="P237" i="5"/>
  <c r="P238" i="5"/>
  <c r="P239" i="5"/>
  <c r="P240" i="5"/>
  <c r="P241" i="5"/>
  <c r="P242" i="5"/>
  <c r="P243" i="5"/>
  <c r="P244" i="5"/>
  <c r="P245" i="5"/>
  <c r="P246" i="5"/>
  <c r="P247" i="5"/>
  <c r="P248" i="5"/>
  <c r="P249" i="5"/>
  <c r="P250" i="5"/>
  <c r="P251" i="5"/>
  <c r="P252" i="5"/>
  <c r="P253" i="5"/>
  <c r="P254" i="5"/>
  <c r="P255" i="5"/>
  <c r="P256" i="5"/>
  <c r="P257" i="5"/>
  <c r="P258" i="5"/>
  <c r="P259" i="5"/>
  <c r="P260" i="5"/>
  <c r="P261" i="5"/>
  <c r="P262" i="5"/>
  <c r="P263" i="5"/>
  <c r="P264" i="5"/>
  <c r="P265" i="5"/>
  <c r="P266" i="5"/>
  <c r="P267" i="5"/>
  <c r="P268" i="5"/>
  <c r="P269" i="5"/>
  <c r="P270" i="5"/>
  <c r="P271" i="5"/>
  <c r="P272" i="5"/>
  <c r="P273" i="5"/>
  <c r="P274" i="5"/>
  <c r="P275" i="5"/>
  <c r="P276" i="5"/>
  <c r="P277" i="5"/>
  <c r="P278" i="5"/>
  <c r="P279" i="5"/>
  <c r="P280" i="5"/>
  <c r="P281" i="5"/>
  <c r="P282" i="5"/>
  <c r="P283" i="5"/>
  <c r="P284" i="5"/>
  <c r="P285" i="5"/>
  <c r="P286" i="5"/>
  <c r="P287" i="5"/>
  <c r="P288" i="5"/>
  <c r="P289" i="5"/>
  <c r="P290" i="5"/>
  <c r="P291" i="5"/>
  <c r="P292" i="5"/>
  <c r="P293" i="5"/>
  <c r="P294" i="5"/>
  <c r="P295" i="5"/>
  <c r="P296" i="5"/>
  <c r="P297" i="5"/>
  <c r="P298" i="5"/>
  <c r="P299" i="5"/>
  <c r="P300" i="5"/>
  <c r="P301" i="5"/>
  <c r="P302" i="5"/>
  <c r="P303" i="5"/>
  <c r="P304" i="5"/>
  <c r="P305" i="5"/>
  <c r="P306" i="5"/>
  <c r="P307" i="5"/>
  <c r="P308" i="5"/>
  <c r="P309" i="5"/>
  <c r="P310" i="5"/>
  <c r="P311" i="5"/>
  <c r="P312" i="5"/>
  <c r="P313" i="5"/>
  <c r="P314" i="5"/>
  <c r="P315" i="5"/>
  <c r="P316" i="5"/>
  <c r="P317" i="5"/>
  <c r="P318" i="5"/>
  <c r="P319" i="5"/>
  <c r="P320" i="5"/>
  <c r="P321" i="5"/>
  <c r="P322" i="5"/>
  <c r="P323" i="5"/>
  <c r="P324" i="5"/>
  <c r="P325" i="5"/>
  <c r="P326" i="5"/>
  <c r="P327" i="5"/>
  <c r="P328" i="5"/>
  <c r="P329" i="5"/>
  <c r="P330" i="5"/>
  <c r="P331" i="5"/>
  <c r="P332" i="5"/>
  <c r="P333" i="5"/>
  <c r="P334" i="5"/>
  <c r="P335" i="5"/>
  <c r="P336" i="5"/>
  <c r="P337" i="5"/>
  <c r="P338" i="5"/>
  <c r="P339" i="5"/>
  <c r="P340" i="5"/>
  <c r="P341" i="5"/>
  <c r="P342" i="5"/>
  <c r="P343" i="5"/>
  <c r="P344" i="5"/>
  <c r="P345" i="5"/>
  <c r="P346" i="5"/>
  <c r="P347" i="5"/>
  <c r="P348" i="5"/>
  <c r="P349" i="5"/>
  <c r="P350" i="5"/>
  <c r="P351" i="5"/>
  <c r="P352" i="5"/>
  <c r="P353" i="5"/>
  <c r="P354" i="5"/>
  <c r="P355" i="5"/>
  <c r="P356" i="5"/>
  <c r="P357" i="5"/>
  <c r="P358" i="5"/>
  <c r="P359" i="5"/>
  <c r="P360" i="5"/>
  <c r="P361" i="5"/>
  <c r="P362" i="5"/>
  <c r="P363" i="5"/>
  <c r="P364" i="5"/>
  <c r="P365" i="5"/>
  <c r="P366" i="5"/>
  <c r="P367" i="5"/>
  <c r="P368" i="5"/>
  <c r="P369" i="5"/>
  <c r="P370" i="5"/>
  <c r="P371" i="5"/>
  <c r="P372" i="5"/>
  <c r="P373" i="5"/>
  <c r="P374" i="5"/>
  <c r="P375" i="5"/>
  <c r="P376" i="5"/>
  <c r="P377" i="5"/>
  <c r="P378" i="5"/>
  <c r="P379" i="5"/>
  <c r="P380" i="5"/>
  <c r="P381" i="5"/>
  <c r="P382" i="5"/>
  <c r="P383" i="5"/>
  <c r="P384" i="5"/>
  <c r="P385" i="5"/>
  <c r="P386" i="5"/>
  <c r="P387" i="5"/>
  <c r="P388" i="5"/>
  <c r="P389" i="5"/>
  <c r="P390" i="5"/>
  <c r="P391" i="5"/>
  <c r="P392" i="5"/>
  <c r="P393" i="5"/>
  <c r="P394" i="5"/>
  <c r="P395" i="5"/>
  <c r="P396" i="5"/>
  <c r="P397" i="5"/>
  <c r="P398" i="5"/>
  <c r="P399" i="5"/>
  <c r="P400" i="5"/>
  <c r="P401" i="5"/>
  <c r="P402" i="5"/>
  <c r="P403" i="5"/>
  <c r="P404" i="5"/>
  <c r="P405" i="5"/>
  <c r="P406" i="5"/>
  <c r="P407" i="5"/>
  <c r="P408" i="5"/>
  <c r="P409" i="5"/>
  <c r="P410" i="5"/>
  <c r="P411" i="5"/>
  <c r="P412" i="5"/>
  <c r="P413" i="5"/>
  <c r="P414" i="5"/>
  <c r="P415" i="5"/>
  <c r="P416" i="5"/>
  <c r="P417" i="5"/>
  <c r="P418" i="5"/>
  <c r="P419" i="5"/>
  <c r="P420" i="5"/>
  <c r="P421" i="5"/>
  <c r="P422" i="5"/>
  <c r="P423" i="5"/>
  <c r="P424" i="5"/>
  <c r="P425" i="5"/>
  <c r="P426" i="5"/>
  <c r="P427" i="5"/>
  <c r="P428" i="5"/>
  <c r="P429" i="5"/>
  <c r="P430" i="5"/>
  <c r="P431" i="5"/>
  <c r="P432" i="5"/>
  <c r="P433" i="5"/>
  <c r="P434" i="5"/>
  <c r="P435" i="5"/>
  <c r="P436" i="5"/>
  <c r="P437" i="5"/>
  <c r="P438" i="5"/>
  <c r="P439" i="5"/>
  <c r="P440" i="5"/>
  <c r="P441" i="5"/>
  <c r="P442" i="5"/>
  <c r="P443" i="5"/>
  <c r="P444" i="5"/>
  <c r="P445" i="5"/>
  <c r="P446" i="5"/>
  <c r="P447" i="5"/>
  <c r="P448" i="5"/>
  <c r="P449" i="5"/>
  <c r="P450" i="5"/>
  <c r="P451" i="5"/>
  <c r="P452" i="5"/>
  <c r="P453" i="5"/>
  <c r="P454" i="5"/>
  <c r="P455" i="5"/>
  <c r="P456" i="5"/>
  <c r="P457" i="5"/>
  <c r="P458" i="5"/>
  <c r="P459" i="5"/>
  <c r="P460" i="5"/>
  <c r="P461" i="5"/>
  <c r="P462" i="5"/>
  <c r="P463" i="5"/>
  <c r="P464" i="5"/>
  <c r="P465" i="5"/>
  <c r="P466" i="5"/>
  <c r="P467" i="5"/>
  <c r="P468" i="5"/>
  <c r="P469" i="5"/>
  <c r="P470" i="5"/>
  <c r="P471" i="5"/>
  <c r="P472" i="5"/>
  <c r="P473" i="5"/>
  <c r="P474" i="5"/>
  <c r="P475" i="5"/>
  <c r="P476" i="5"/>
  <c r="P477" i="5"/>
  <c r="P478" i="5"/>
  <c r="P479" i="5"/>
  <c r="P480" i="5"/>
  <c r="P481" i="5"/>
  <c r="P482" i="5"/>
  <c r="P483" i="5"/>
  <c r="P484" i="5"/>
  <c r="P485" i="5"/>
  <c r="P486" i="5"/>
  <c r="P487" i="5"/>
  <c r="P488" i="5"/>
  <c r="P489" i="5"/>
  <c r="P490" i="5"/>
  <c r="P491" i="5"/>
  <c r="P492" i="5"/>
  <c r="P493" i="5"/>
  <c r="P494" i="5"/>
  <c r="P495" i="5"/>
  <c r="P496" i="5"/>
  <c r="P497" i="5"/>
  <c r="P498" i="5"/>
  <c r="P499" i="5"/>
  <c r="P500" i="5"/>
  <c r="P501" i="5"/>
  <c r="P502" i="5"/>
  <c r="P503" i="5"/>
  <c r="P504" i="5"/>
  <c r="P505" i="5"/>
  <c r="P506" i="5"/>
  <c r="P507" i="5"/>
  <c r="P508" i="5"/>
  <c r="P509" i="5"/>
  <c r="P510" i="5"/>
  <c r="P511" i="5"/>
  <c r="P512" i="5"/>
  <c r="P513" i="5"/>
  <c r="P514" i="5"/>
  <c r="P515" i="5"/>
  <c r="P516" i="5"/>
  <c r="P517" i="5"/>
  <c r="P518" i="5"/>
  <c r="P519" i="5"/>
  <c r="P520" i="5"/>
  <c r="P521" i="5"/>
  <c r="P522" i="5"/>
  <c r="P523" i="5"/>
  <c r="P524" i="5"/>
  <c r="P525" i="5"/>
  <c r="P526" i="5"/>
  <c r="P527" i="5"/>
  <c r="P528" i="5"/>
  <c r="P529" i="5"/>
  <c r="P530" i="5"/>
  <c r="P531" i="5"/>
  <c r="P532" i="5"/>
  <c r="P533" i="5"/>
  <c r="P534" i="5"/>
  <c r="P535" i="5"/>
  <c r="P536" i="5"/>
  <c r="P537" i="5"/>
  <c r="P538" i="5"/>
  <c r="P539" i="5"/>
  <c r="P540" i="5"/>
  <c r="P541" i="5"/>
  <c r="P542" i="5"/>
  <c r="P543" i="5"/>
  <c r="P544" i="5"/>
  <c r="P545" i="5"/>
  <c r="P546" i="5"/>
  <c r="P547" i="5"/>
  <c r="P548" i="5"/>
  <c r="P549" i="5"/>
  <c r="P550" i="5"/>
  <c r="P551" i="5"/>
  <c r="P552" i="5"/>
  <c r="P553" i="5"/>
  <c r="P554" i="5"/>
  <c r="P555" i="5"/>
  <c r="P556" i="5"/>
  <c r="P557" i="5"/>
  <c r="P558" i="5"/>
  <c r="P559" i="5"/>
  <c r="P560" i="5"/>
  <c r="P561" i="5"/>
  <c r="P562" i="5"/>
  <c r="P563" i="5"/>
  <c r="P564" i="5"/>
  <c r="P565" i="5"/>
  <c r="P566" i="5"/>
  <c r="P567" i="5"/>
  <c r="P568" i="5"/>
  <c r="P569" i="5"/>
  <c r="P570" i="5"/>
  <c r="P571" i="5"/>
  <c r="P572" i="5"/>
  <c r="P573" i="5"/>
  <c r="P574" i="5"/>
  <c r="P575" i="5"/>
  <c r="P576" i="5"/>
  <c r="P577" i="5"/>
  <c r="P578" i="5"/>
  <c r="P579" i="5"/>
  <c r="P580" i="5"/>
  <c r="P581" i="5"/>
  <c r="P582" i="5"/>
  <c r="P583" i="5"/>
  <c r="P584" i="5"/>
  <c r="P585" i="5"/>
  <c r="P586" i="5"/>
  <c r="P587" i="5"/>
  <c r="P588" i="5"/>
  <c r="P589" i="5"/>
  <c r="P590" i="5"/>
  <c r="P591" i="5"/>
  <c r="P592" i="5"/>
  <c r="P593" i="5"/>
  <c r="P594" i="5"/>
  <c r="P595" i="5"/>
  <c r="P596" i="5"/>
  <c r="P597" i="5"/>
  <c r="P598" i="5"/>
  <c r="P599" i="5"/>
  <c r="P600" i="5"/>
  <c r="P601" i="5"/>
  <c r="P602" i="5"/>
  <c r="P603" i="5"/>
  <c r="P604" i="5"/>
  <c r="P605" i="5"/>
  <c r="P606" i="5"/>
  <c r="P607" i="5"/>
  <c r="P608" i="5"/>
  <c r="P609" i="5"/>
  <c r="P610" i="5"/>
  <c r="P611" i="5"/>
  <c r="P612" i="5"/>
  <c r="P613" i="5"/>
  <c r="P614" i="5"/>
  <c r="P615" i="5"/>
  <c r="P616" i="5"/>
  <c r="P617" i="5"/>
  <c r="P618" i="5"/>
  <c r="P619" i="5"/>
  <c r="P620" i="5"/>
  <c r="P621" i="5"/>
  <c r="P622" i="5"/>
  <c r="P623" i="5"/>
  <c r="P624" i="5"/>
  <c r="P625" i="5"/>
  <c r="P626" i="5"/>
  <c r="P627" i="5"/>
  <c r="P628" i="5"/>
  <c r="P629" i="5"/>
  <c r="P630" i="5"/>
  <c r="P631" i="5"/>
  <c r="P632" i="5"/>
  <c r="P633" i="5"/>
  <c r="P634" i="5"/>
  <c r="P635" i="5"/>
  <c r="P636" i="5"/>
  <c r="P637" i="5"/>
  <c r="P638" i="5"/>
  <c r="P639" i="5"/>
  <c r="P640" i="5"/>
  <c r="P641" i="5"/>
  <c r="P642" i="5"/>
  <c r="P643" i="5"/>
  <c r="P644" i="5"/>
  <c r="P645" i="5"/>
  <c r="P646" i="5"/>
  <c r="P647" i="5"/>
  <c r="P648" i="5"/>
  <c r="P649" i="5"/>
  <c r="P650" i="5"/>
  <c r="P651" i="5"/>
  <c r="P652" i="5"/>
  <c r="P653" i="5"/>
  <c r="P654" i="5"/>
  <c r="P655" i="5"/>
  <c r="P656" i="5"/>
  <c r="P657" i="5"/>
  <c r="P658" i="5"/>
  <c r="P659" i="5"/>
  <c r="P660" i="5"/>
  <c r="P661" i="5"/>
  <c r="P662" i="5"/>
  <c r="P663" i="5"/>
  <c r="P664" i="5"/>
  <c r="P665" i="5"/>
  <c r="P666" i="5"/>
  <c r="P667" i="5"/>
  <c r="P668" i="5"/>
  <c r="P669" i="5"/>
  <c r="P670" i="5"/>
  <c r="P671" i="5"/>
  <c r="P672" i="5"/>
  <c r="P673" i="5"/>
  <c r="P674" i="5"/>
  <c r="P675" i="5"/>
  <c r="P676" i="5"/>
  <c r="P677" i="5"/>
  <c r="P678" i="5"/>
  <c r="P679" i="5"/>
  <c r="P680" i="5"/>
  <c r="P681" i="5"/>
  <c r="P682" i="5"/>
  <c r="P683" i="5"/>
  <c r="P684" i="5"/>
  <c r="P685" i="5"/>
  <c r="P686" i="5"/>
  <c r="P687" i="5"/>
  <c r="P688" i="5"/>
  <c r="P689" i="5"/>
  <c r="P690" i="5"/>
  <c r="P691" i="5"/>
  <c r="P692" i="5"/>
  <c r="P693" i="5"/>
  <c r="P694" i="5"/>
  <c r="P695" i="5"/>
  <c r="P696" i="5"/>
  <c r="P697" i="5"/>
  <c r="P698" i="5"/>
  <c r="P699" i="5"/>
  <c r="P700" i="5"/>
  <c r="P701" i="5"/>
  <c r="P702" i="5"/>
  <c r="P703" i="5"/>
  <c r="P704" i="5"/>
  <c r="P705" i="5"/>
  <c r="P706" i="5"/>
  <c r="P707" i="5"/>
  <c r="P708" i="5"/>
  <c r="P709" i="5"/>
  <c r="P710" i="5"/>
  <c r="P711" i="5"/>
  <c r="P712" i="5"/>
  <c r="P713" i="5"/>
  <c r="P714" i="5"/>
  <c r="P715" i="5"/>
  <c r="P716" i="5"/>
  <c r="P717" i="5"/>
  <c r="P718" i="5"/>
  <c r="P719" i="5"/>
  <c r="P720" i="5"/>
  <c r="P721" i="5"/>
  <c r="P722" i="5"/>
  <c r="P723" i="5"/>
  <c r="P724" i="5"/>
  <c r="P725" i="5"/>
  <c r="P726" i="5"/>
  <c r="P727" i="5"/>
  <c r="P728" i="5"/>
  <c r="P729" i="5"/>
  <c r="P730" i="5"/>
  <c r="P731" i="5"/>
  <c r="P732" i="5"/>
  <c r="P733" i="5"/>
  <c r="P734" i="5"/>
  <c r="P735" i="5"/>
  <c r="P736" i="5"/>
  <c r="P737" i="5"/>
  <c r="P738" i="5"/>
  <c r="P739" i="5"/>
  <c r="P740" i="5"/>
  <c r="P741" i="5"/>
  <c r="P742" i="5"/>
  <c r="P743" i="5"/>
  <c r="P744" i="5"/>
  <c r="P745" i="5"/>
  <c r="P746" i="5"/>
  <c r="P747" i="5"/>
  <c r="P748" i="5"/>
  <c r="P749" i="5"/>
  <c r="P750" i="5"/>
  <c r="P751" i="5"/>
  <c r="P752" i="5"/>
  <c r="P753" i="5"/>
  <c r="P754" i="5"/>
  <c r="P755" i="5"/>
  <c r="P756" i="5"/>
  <c r="P757" i="5"/>
  <c r="P758" i="5"/>
  <c r="P759" i="5"/>
  <c r="P760" i="5"/>
  <c r="P761" i="5"/>
  <c r="P762" i="5"/>
  <c r="P763" i="5"/>
  <c r="P764" i="5"/>
  <c r="P765" i="5"/>
  <c r="P766" i="5"/>
  <c r="P767" i="5"/>
  <c r="P768" i="5"/>
  <c r="P769" i="5"/>
  <c r="P770" i="5"/>
  <c r="P771" i="5"/>
  <c r="P772" i="5"/>
  <c r="P773" i="5"/>
  <c r="P774" i="5"/>
  <c r="P775" i="5"/>
  <c r="P776" i="5"/>
  <c r="P777" i="5"/>
  <c r="P778" i="5"/>
  <c r="P779" i="5"/>
  <c r="P780" i="5"/>
  <c r="P781" i="5"/>
  <c r="P782" i="5"/>
  <c r="P783" i="5"/>
  <c r="P784" i="5"/>
  <c r="P785" i="5"/>
  <c r="P786" i="5"/>
  <c r="P787" i="5"/>
  <c r="P788" i="5"/>
  <c r="P789" i="5"/>
  <c r="P790" i="5"/>
  <c r="P791" i="5"/>
  <c r="P792" i="5"/>
  <c r="P793" i="5"/>
  <c r="P794" i="5"/>
  <c r="P795" i="5"/>
  <c r="P796" i="5"/>
  <c r="P797" i="5"/>
  <c r="P798" i="5"/>
  <c r="P799" i="5"/>
  <c r="P800" i="5"/>
  <c r="P801" i="5"/>
  <c r="P802" i="5"/>
  <c r="P803" i="5"/>
  <c r="P804" i="5"/>
  <c r="P805" i="5"/>
  <c r="P806" i="5"/>
  <c r="P807" i="5"/>
  <c r="P808" i="5"/>
  <c r="P809" i="5"/>
  <c r="P810" i="5"/>
  <c r="P811" i="5"/>
  <c r="P812" i="5"/>
  <c r="P813" i="5"/>
  <c r="P814" i="5"/>
  <c r="P815" i="5"/>
  <c r="P816" i="5"/>
  <c r="P817" i="5"/>
  <c r="P818" i="5"/>
  <c r="P819" i="5"/>
  <c r="P820" i="5"/>
  <c r="P821" i="5"/>
  <c r="P822" i="5"/>
  <c r="P823" i="5"/>
  <c r="P824" i="5"/>
  <c r="P825" i="5"/>
  <c r="P826" i="5"/>
  <c r="P827" i="5"/>
  <c r="P828" i="5"/>
  <c r="P829" i="5"/>
  <c r="P830" i="5"/>
  <c r="P831" i="5"/>
  <c r="P832" i="5"/>
  <c r="P833" i="5"/>
  <c r="P834" i="5"/>
  <c r="P835" i="5"/>
  <c r="P836" i="5"/>
  <c r="P837" i="5"/>
  <c r="P838" i="5"/>
  <c r="P839" i="5"/>
  <c r="P840" i="5"/>
  <c r="P841" i="5"/>
  <c r="P842" i="5"/>
  <c r="P843" i="5"/>
  <c r="P844" i="5"/>
  <c r="P845" i="5"/>
  <c r="P846" i="5"/>
  <c r="P847" i="5"/>
  <c r="P848" i="5"/>
  <c r="P849" i="5"/>
  <c r="P850" i="5"/>
  <c r="P851" i="5"/>
  <c r="P852" i="5"/>
  <c r="P853" i="5"/>
  <c r="P854" i="5"/>
  <c r="P855" i="5"/>
  <c r="P856" i="5"/>
  <c r="P857" i="5"/>
  <c r="P858" i="5"/>
  <c r="P859" i="5"/>
  <c r="P860" i="5"/>
  <c r="P861" i="5"/>
  <c r="P862" i="5"/>
  <c r="P863" i="5"/>
  <c r="P864" i="5"/>
  <c r="P865" i="5"/>
  <c r="P866" i="5"/>
  <c r="P867" i="5"/>
  <c r="P868" i="5"/>
  <c r="P869" i="5"/>
  <c r="P870" i="5"/>
  <c r="P871" i="5"/>
  <c r="P872" i="5"/>
  <c r="P873" i="5"/>
  <c r="P874" i="5"/>
  <c r="P875" i="5"/>
  <c r="P876" i="5"/>
  <c r="P877" i="5"/>
  <c r="P878" i="5"/>
  <c r="P879" i="5"/>
  <c r="P880" i="5"/>
  <c r="P881" i="5"/>
  <c r="P882" i="5"/>
  <c r="P883" i="5"/>
  <c r="P884" i="5"/>
  <c r="P885" i="5"/>
  <c r="P886" i="5"/>
  <c r="P887" i="5"/>
  <c r="P888" i="5"/>
  <c r="P889" i="5"/>
  <c r="P890" i="5"/>
  <c r="P891" i="5"/>
  <c r="P892" i="5"/>
  <c r="P893" i="5"/>
  <c r="P894" i="5"/>
  <c r="P895" i="5"/>
  <c r="P896" i="5"/>
  <c r="P897" i="5"/>
  <c r="P898" i="5"/>
  <c r="P899" i="5"/>
  <c r="P900" i="5"/>
  <c r="P901" i="5"/>
  <c r="P902" i="5"/>
  <c r="P903" i="5"/>
  <c r="P904" i="5"/>
  <c r="P905" i="5"/>
  <c r="P906" i="5"/>
  <c r="P907" i="5"/>
  <c r="P908" i="5"/>
  <c r="P909" i="5"/>
  <c r="P910" i="5"/>
  <c r="P911" i="5"/>
  <c r="P912" i="5"/>
  <c r="P913" i="5"/>
  <c r="P914" i="5"/>
  <c r="P915" i="5"/>
  <c r="P916" i="5"/>
  <c r="P917" i="5"/>
  <c r="P918" i="5"/>
  <c r="P919" i="5"/>
  <c r="P920" i="5"/>
  <c r="P921" i="5"/>
  <c r="P922" i="5"/>
  <c r="P923" i="5"/>
  <c r="P924" i="5"/>
  <c r="P925" i="5"/>
  <c r="P926" i="5"/>
  <c r="P927" i="5"/>
  <c r="P928" i="5"/>
  <c r="P929" i="5"/>
  <c r="P930" i="5"/>
  <c r="P931" i="5"/>
  <c r="P932" i="5"/>
  <c r="P933" i="5"/>
  <c r="P934" i="5"/>
  <c r="P935" i="5"/>
  <c r="P936" i="5"/>
  <c r="P937" i="5"/>
  <c r="P938" i="5"/>
  <c r="P939" i="5"/>
  <c r="P940" i="5"/>
  <c r="P941" i="5"/>
  <c r="P942" i="5"/>
  <c r="P943" i="5"/>
  <c r="P944" i="5"/>
  <c r="P945" i="5"/>
  <c r="P946" i="5"/>
  <c r="P947" i="5"/>
  <c r="P948" i="5"/>
  <c r="P949" i="5"/>
  <c r="P950" i="5"/>
  <c r="P951" i="5"/>
  <c r="P952" i="5"/>
  <c r="P953" i="5"/>
  <c r="P954" i="5"/>
  <c r="P955" i="5"/>
  <c r="P956" i="5"/>
  <c r="P957" i="5"/>
  <c r="P958" i="5"/>
  <c r="P959" i="5"/>
  <c r="P960" i="5"/>
  <c r="P961" i="5"/>
  <c r="P962" i="5"/>
  <c r="P963" i="5"/>
  <c r="P964" i="5"/>
  <c r="P965" i="5"/>
  <c r="P966" i="5"/>
  <c r="P967" i="5"/>
  <c r="P968" i="5"/>
  <c r="P969" i="5"/>
  <c r="P970" i="5"/>
  <c r="P971" i="5"/>
  <c r="P972" i="5"/>
  <c r="P973" i="5"/>
  <c r="P974" i="5"/>
  <c r="P975" i="5"/>
  <c r="P976" i="5"/>
  <c r="P977" i="5"/>
  <c r="P978" i="5"/>
  <c r="P979" i="5"/>
  <c r="P980" i="5"/>
  <c r="P981" i="5"/>
  <c r="P982" i="5"/>
  <c r="P983" i="5"/>
  <c r="P984" i="5"/>
  <c r="P985" i="5"/>
  <c r="P986" i="5"/>
  <c r="P987" i="5"/>
  <c r="P988" i="5"/>
  <c r="P989" i="5"/>
  <c r="P990" i="5"/>
  <c r="P991" i="5"/>
  <c r="P992" i="5"/>
  <c r="P993" i="5"/>
  <c r="P994" i="5"/>
  <c r="P995" i="5"/>
  <c r="P996" i="5"/>
  <c r="P997" i="5"/>
  <c r="P998" i="5"/>
  <c r="P999" i="5"/>
  <c r="P1000" i="5"/>
  <c r="P1001" i="5"/>
  <c r="P1002" i="5"/>
  <c r="P1003" i="5"/>
  <c r="P1004" i="5"/>
  <c r="P1005" i="5"/>
  <c r="P1006" i="5"/>
  <c r="P1007" i="5"/>
  <c r="P1008" i="5"/>
  <c r="P1009" i="5"/>
  <c r="P1010" i="5"/>
  <c r="P1011" i="5"/>
  <c r="P1012" i="5"/>
  <c r="P1013" i="5"/>
  <c r="P1014" i="5"/>
  <c r="P1015" i="5"/>
  <c r="P1016" i="5"/>
  <c r="P1017" i="5"/>
  <c r="P1018" i="5"/>
  <c r="P1019" i="5"/>
  <c r="P1020" i="5"/>
  <c r="P1021" i="5"/>
  <c r="P1022" i="5"/>
  <c r="P1023" i="5"/>
  <c r="P1024" i="5"/>
  <c r="P1025" i="5"/>
  <c r="P1026" i="5"/>
  <c r="P1027" i="5"/>
  <c r="P1028" i="5"/>
  <c r="P1029" i="5"/>
  <c r="P1030" i="5"/>
  <c r="P1031" i="5"/>
  <c r="P1032" i="5"/>
  <c r="P1033" i="5"/>
  <c r="P1034" i="5"/>
  <c r="P1035" i="5"/>
  <c r="P1036" i="5"/>
  <c r="P1037" i="5"/>
  <c r="P1038" i="5"/>
  <c r="P1039" i="5"/>
  <c r="P1040" i="5"/>
  <c r="P1041" i="5"/>
  <c r="P1042" i="5"/>
  <c r="P1043" i="5"/>
  <c r="P1044" i="5"/>
  <c r="P1045" i="5"/>
  <c r="P1046" i="5"/>
  <c r="P1047" i="5"/>
  <c r="P1048" i="5"/>
  <c r="P1049" i="5"/>
  <c r="P1050" i="5"/>
  <c r="P1051" i="5"/>
  <c r="P1052" i="5"/>
  <c r="P1053" i="5"/>
  <c r="P1054" i="5"/>
  <c r="P1055" i="5"/>
  <c r="P1056" i="5"/>
  <c r="P1057" i="5"/>
  <c r="P1058" i="5"/>
  <c r="P1059" i="5"/>
  <c r="P1060" i="5"/>
  <c r="P1061" i="5"/>
  <c r="P1062" i="5"/>
  <c r="P1063" i="5"/>
  <c r="P1064" i="5"/>
  <c r="P1065" i="5"/>
  <c r="P1066" i="5"/>
  <c r="P1067" i="5"/>
  <c r="P1068" i="5"/>
  <c r="P1069" i="5"/>
  <c r="P1070" i="5"/>
  <c r="P1071" i="5"/>
  <c r="P1072" i="5"/>
  <c r="P1073" i="5"/>
  <c r="P1074" i="5"/>
  <c r="P1075" i="5"/>
  <c r="P1076" i="5"/>
  <c r="P1077" i="5"/>
  <c r="P1078" i="5"/>
  <c r="P1079" i="5"/>
  <c r="P1080" i="5"/>
  <c r="P1081" i="5"/>
  <c r="P1082" i="5"/>
  <c r="P1083" i="5"/>
  <c r="P1084" i="5"/>
  <c r="P1085" i="5"/>
  <c r="P1086" i="5"/>
  <c r="P1087" i="5"/>
  <c r="P1088" i="5"/>
  <c r="P1089" i="5"/>
  <c r="P1090" i="5"/>
  <c r="P1091" i="5"/>
  <c r="P1092" i="5"/>
  <c r="P1093" i="5"/>
  <c r="P1094" i="5"/>
  <c r="P1095" i="5"/>
  <c r="P1096" i="5"/>
  <c r="P1097" i="5"/>
  <c r="P1098" i="5"/>
  <c r="P1099" i="5"/>
  <c r="P1100" i="5"/>
  <c r="P1101" i="5"/>
  <c r="P1102" i="5"/>
  <c r="P1103" i="5"/>
  <c r="P1104" i="5"/>
  <c r="P1105" i="5"/>
  <c r="P1106" i="5"/>
  <c r="P1107" i="5"/>
  <c r="P1108" i="5"/>
  <c r="P1109" i="5"/>
  <c r="P1110" i="5"/>
  <c r="P1111" i="5"/>
  <c r="P1112" i="5"/>
  <c r="P1113" i="5"/>
  <c r="P1114" i="5"/>
  <c r="P1115" i="5"/>
  <c r="P1116" i="5"/>
  <c r="P1117" i="5"/>
  <c r="P1118" i="5"/>
  <c r="P1119" i="5"/>
  <c r="P1120" i="5"/>
  <c r="P1121" i="5"/>
  <c r="P1122" i="5"/>
  <c r="P1123" i="5"/>
  <c r="P1124" i="5"/>
  <c r="P1125" i="5"/>
  <c r="P1126" i="5"/>
  <c r="P1127" i="5"/>
  <c r="P1128" i="5"/>
  <c r="P1129" i="5"/>
  <c r="P1130" i="5"/>
  <c r="P1131" i="5"/>
  <c r="P1132" i="5"/>
  <c r="P1133" i="5"/>
  <c r="P1134" i="5"/>
  <c r="P1135" i="5"/>
  <c r="P1136" i="5"/>
  <c r="P1137" i="5"/>
  <c r="P1138" i="5"/>
  <c r="P1139" i="5"/>
  <c r="P1140" i="5"/>
  <c r="P1141" i="5"/>
  <c r="P1142" i="5"/>
  <c r="P1143" i="5"/>
  <c r="P1144" i="5"/>
  <c r="P1145" i="5"/>
  <c r="P1146" i="5"/>
  <c r="P1147" i="5"/>
  <c r="P1148" i="5"/>
  <c r="P1149" i="5"/>
  <c r="P1150" i="5"/>
  <c r="P1151" i="5"/>
  <c r="P1152" i="5"/>
  <c r="P1153" i="5"/>
  <c r="P1154" i="5"/>
  <c r="P1155" i="5"/>
  <c r="P1156" i="5"/>
  <c r="P1157" i="5"/>
  <c r="P1158" i="5"/>
  <c r="P1159" i="5"/>
  <c r="P1160" i="5"/>
  <c r="P1161" i="5"/>
  <c r="P1162" i="5"/>
  <c r="P1163" i="5"/>
  <c r="P1164" i="5"/>
  <c r="P1165" i="5"/>
  <c r="P1166" i="5"/>
  <c r="P1167" i="5"/>
  <c r="P1168" i="5"/>
  <c r="P1169" i="5"/>
  <c r="P1170" i="5"/>
  <c r="P1171" i="5"/>
  <c r="P1172" i="5"/>
  <c r="P1173" i="5"/>
  <c r="P1174" i="5"/>
  <c r="P1175" i="5"/>
  <c r="P1176" i="5"/>
  <c r="P1177" i="5"/>
  <c r="P1178" i="5"/>
  <c r="P1179" i="5"/>
  <c r="P1180" i="5"/>
  <c r="P1181" i="5"/>
  <c r="P1182" i="5"/>
  <c r="P1183" i="5"/>
  <c r="P1184" i="5"/>
  <c r="P1185" i="5"/>
  <c r="P1186" i="5"/>
  <c r="P1187" i="5"/>
  <c r="P1188" i="5"/>
  <c r="P1189" i="5"/>
  <c r="P1190" i="5"/>
  <c r="P1191" i="5"/>
  <c r="P1192" i="5"/>
  <c r="P1193" i="5"/>
  <c r="P1194" i="5"/>
  <c r="P1195" i="5"/>
  <c r="P1196" i="5"/>
  <c r="P1197" i="5"/>
  <c r="P1198" i="5"/>
  <c r="P1199" i="5"/>
  <c r="P1200" i="5"/>
  <c r="P1201" i="5"/>
  <c r="P1202" i="5"/>
  <c r="P1203" i="5"/>
  <c r="P1204" i="5"/>
  <c r="P1205" i="5"/>
  <c r="P1206" i="5"/>
  <c r="P1207" i="5"/>
  <c r="P1208" i="5"/>
  <c r="P1209" i="5"/>
  <c r="P1210" i="5"/>
  <c r="P1211" i="5"/>
  <c r="P1212" i="5"/>
  <c r="P1213" i="5"/>
  <c r="P1214" i="5"/>
  <c r="P1215" i="5"/>
  <c r="P1216" i="5"/>
  <c r="P1217" i="5"/>
  <c r="P1218" i="5"/>
  <c r="P1219" i="5"/>
  <c r="P1220" i="5"/>
  <c r="P1221" i="5"/>
  <c r="P1222" i="5"/>
  <c r="P1223" i="5"/>
  <c r="P1224" i="5"/>
  <c r="P1225" i="5"/>
  <c r="P1226" i="5"/>
  <c r="P1227" i="5"/>
  <c r="P1228" i="5"/>
  <c r="P1229" i="5"/>
  <c r="P1230" i="5"/>
  <c r="P1231" i="5"/>
  <c r="P1232" i="5"/>
  <c r="P1233" i="5"/>
  <c r="P1234" i="5"/>
  <c r="P1235" i="5"/>
  <c r="P1236" i="5"/>
  <c r="P1237" i="5"/>
  <c r="P1238" i="5"/>
  <c r="P1239" i="5"/>
  <c r="P1240" i="5"/>
  <c r="P1241" i="5"/>
  <c r="P1242" i="5"/>
  <c r="P1243" i="5"/>
  <c r="P1244" i="5"/>
  <c r="P1245" i="5"/>
  <c r="P1246" i="5"/>
  <c r="P1247" i="5"/>
  <c r="P1248" i="5"/>
  <c r="P1249" i="5"/>
  <c r="P1250" i="5"/>
  <c r="P1251" i="5"/>
  <c r="P1252" i="5"/>
  <c r="P1253" i="5"/>
  <c r="P1254" i="5"/>
  <c r="P1255" i="5"/>
  <c r="P1256" i="5"/>
  <c r="P1257" i="5"/>
  <c r="P1258" i="5"/>
  <c r="P1259" i="5"/>
  <c r="P1260" i="5"/>
  <c r="P1261" i="5"/>
  <c r="P1262" i="5"/>
  <c r="P1263" i="5"/>
  <c r="P1264" i="5"/>
  <c r="P1265" i="5"/>
  <c r="P1266" i="5"/>
  <c r="P1267" i="5"/>
  <c r="P1268" i="5"/>
  <c r="P1269" i="5"/>
  <c r="P1270" i="5"/>
  <c r="P1271" i="5"/>
  <c r="P1272" i="5"/>
  <c r="P1273" i="5"/>
  <c r="P1274" i="5"/>
  <c r="P1275" i="5"/>
  <c r="P1276" i="5"/>
  <c r="P1277" i="5"/>
  <c r="P1278" i="5"/>
  <c r="P1279" i="5"/>
  <c r="P1280" i="5"/>
  <c r="P1281" i="5"/>
  <c r="P1282" i="5"/>
  <c r="P1283" i="5"/>
  <c r="P1284" i="5"/>
  <c r="P1285" i="5"/>
  <c r="P1286" i="5"/>
  <c r="P1287" i="5"/>
  <c r="P1288" i="5"/>
  <c r="P1289" i="5"/>
  <c r="P1290" i="5"/>
  <c r="P1291" i="5"/>
  <c r="P1292" i="5"/>
  <c r="P1293" i="5"/>
  <c r="P1294" i="5"/>
  <c r="P1295" i="5"/>
  <c r="P1296" i="5"/>
  <c r="P1297" i="5"/>
  <c r="P1298" i="5"/>
  <c r="P1299" i="5"/>
  <c r="P1300" i="5"/>
  <c r="P1301" i="5"/>
  <c r="P1302" i="5"/>
  <c r="P1303" i="5"/>
  <c r="P1304" i="5"/>
  <c r="P1305" i="5"/>
  <c r="P1306" i="5"/>
  <c r="P1307" i="5"/>
  <c r="P1308" i="5"/>
  <c r="P1309" i="5"/>
  <c r="P1310" i="5"/>
  <c r="P1311" i="5"/>
  <c r="P1312" i="5"/>
  <c r="P1313" i="5"/>
  <c r="P1314" i="5"/>
  <c r="P1315" i="5"/>
  <c r="P1316" i="5"/>
  <c r="P1317" i="5"/>
  <c r="P1318" i="5"/>
  <c r="P1319" i="5"/>
  <c r="P1320" i="5"/>
  <c r="P1321" i="5"/>
  <c r="P1322" i="5"/>
  <c r="P1323" i="5"/>
  <c r="P1324" i="5"/>
  <c r="P1325" i="5"/>
  <c r="P1326" i="5"/>
  <c r="P1327" i="5"/>
  <c r="P1328" i="5"/>
  <c r="P1329" i="5"/>
  <c r="P1330" i="5"/>
  <c r="P1331" i="5"/>
  <c r="P1332" i="5"/>
  <c r="P1333" i="5"/>
  <c r="P1334" i="5"/>
  <c r="P1335" i="5"/>
  <c r="P1336" i="5"/>
  <c r="P1337" i="5"/>
  <c r="P1338" i="5"/>
  <c r="P1339" i="5"/>
  <c r="P1340" i="5"/>
  <c r="P1341" i="5"/>
  <c r="P1342" i="5"/>
  <c r="P1343" i="5"/>
  <c r="P1344" i="5"/>
  <c r="P1345" i="5"/>
  <c r="P1346" i="5"/>
  <c r="P1347" i="5"/>
  <c r="P1348" i="5"/>
  <c r="P1349" i="5"/>
  <c r="P1350" i="5"/>
  <c r="P1351" i="5"/>
  <c r="P1352" i="5"/>
  <c r="P1353" i="5"/>
  <c r="P1354" i="5"/>
  <c r="P1355" i="5"/>
  <c r="P1356" i="5"/>
  <c r="P1357" i="5"/>
  <c r="P1358" i="5"/>
  <c r="P1359" i="5"/>
  <c r="P1360" i="5"/>
  <c r="P1361" i="5"/>
  <c r="P1362" i="5"/>
  <c r="P1363" i="5"/>
  <c r="P1364" i="5"/>
  <c r="P1365" i="5"/>
  <c r="P1366" i="5"/>
  <c r="P1367" i="5"/>
  <c r="P1368" i="5"/>
  <c r="P1369" i="5"/>
  <c r="P1370" i="5"/>
  <c r="P1371" i="5"/>
  <c r="P1372" i="5"/>
  <c r="P1373" i="5"/>
  <c r="P1374" i="5"/>
  <c r="P1375" i="5"/>
  <c r="P1376" i="5"/>
  <c r="P1377" i="5"/>
  <c r="P1378" i="5"/>
  <c r="P1379" i="5"/>
  <c r="P1380" i="5"/>
  <c r="P1381" i="5"/>
  <c r="P1382" i="5"/>
  <c r="P1383" i="5"/>
  <c r="P1384" i="5"/>
  <c r="P1385" i="5"/>
  <c r="P1386" i="5"/>
  <c r="P1387" i="5"/>
  <c r="P1388" i="5"/>
  <c r="P1389" i="5"/>
  <c r="P1390" i="5"/>
  <c r="P1391" i="5"/>
  <c r="P1392" i="5"/>
  <c r="P1393" i="5"/>
  <c r="P1394" i="5"/>
  <c r="P1395" i="5"/>
  <c r="P1396" i="5"/>
  <c r="P1397" i="5"/>
  <c r="P1398" i="5"/>
  <c r="P1399" i="5"/>
  <c r="P1400" i="5"/>
  <c r="P1401" i="5"/>
  <c r="P1402" i="5"/>
  <c r="P1403" i="5"/>
  <c r="P1404" i="5"/>
  <c r="P1405" i="5"/>
  <c r="P1406" i="5"/>
  <c r="P1407" i="5"/>
  <c r="P1408" i="5"/>
  <c r="P1409" i="5"/>
  <c r="P1410" i="5"/>
  <c r="P1411" i="5"/>
  <c r="P1412" i="5"/>
  <c r="P1413" i="5"/>
  <c r="P1414" i="5"/>
  <c r="P1415" i="5"/>
  <c r="P1416" i="5"/>
  <c r="P1417" i="5"/>
  <c r="P1418" i="5"/>
  <c r="P1419" i="5"/>
  <c r="P1420" i="5"/>
  <c r="P1421" i="5"/>
  <c r="P1422" i="5"/>
  <c r="P1423" i="5"/>
  <c r="P1424" i="5"/>
  <c r="P1425" i="5"/>
  <c r="P1426" i="5"/>
  <c r="P1427" i="5"/>
  <c r="P1428" i="5"/>
  <c r="P1429" i="5"/>
  <c r="P1430" i="5"/>
  <c r="P1431" i="5"/>
  <c r="P1432" i="5"/>
  <c r="P1433" i="5"/>
  <c r="P1434" i="5"/>
  <c r="P1435" i="5"/>
  <c r="P1436" i="5"/>
  <c r="P1437" i="5"/>
  <c r="P1438" i="5"/>
  <c r="P1439" i="5"/>
  <c r="P1440" i="5"/>
  <c r="P1441" i="5"/>
  <c r="P1442" i="5"/>
  <c r="P1443" i="5"/>
  <c r="P1444" i="5"/>
  <c r="P1445" i="5"/>
  <c r="P1446" i="5"/>
  <c r="P1447" i="5"/>
  <c r="P1448" i="5"/>
  <c r="P1449" i="5"/>
  <c r="P1450" i="5"/>
  <c r="P1451" i="5"/>
  <c r="P1452" i="5"/>
  <c r="P1453" i="5"/>
  <c r="P1454" i="5"/>
  <c r="P1455" i="5"/>
  <c r="P1456" i="5"/>
  <c r="P1457" i="5"/>
  <c r="P1458" i="5"/>
  <c r="P1459" i="5"/>
  <c r="P1460" i="5"/>
  <c r="P1461" i="5"/>
  <c r="P1462" i="5"/>
  <c r="P1463" i="5"/>
  <c r="P1464" i="5"/>
  <c r="P1465" i="5"/>
  <c r="P1466" i="5"/>
  <c r="P1467" i="5"/>
  <c r="P1468" i="5"/>
  <c r="P1469" i="5"/>
  <c r="P1470" i="5"/>
  <c r="P1471" i="5"/>
  <c r="P1472" i="5"/>
  <c r="P1473" i="5"/>
  <c r="P1474" i="5"/>
  <c r="P1475" i="5"/>
  <c r="P1476" i="5"/>
  <c r="P1477" i="5"/>
  <c r="P1478" i="5"/>
  <c r="P1479" i="5"/>
  <c r="P1480" i="5"/>
  <c r="P1481" i="5"/>
  <c r="P1482" i="5"/>
  <c r="P1483" i="5"/>
  <c r="P1484" i="5"/>
  <c r="P1485" i="5"/>
  <c r="P1486" i="5"/>
  <c r="P1487" i="5"/>
  <c r="P1488" i="5"/>
  <c r="P1489" i="5"/>
  <c r="P1490" i="5"/>
  <c r="P1491" i="5"/>
  <c r="P1492" i="5"/>
  <c r="P1493" i="5"/>
  <c r="P1494" i="5"/>
  <c r="P1495" i="5"/>
  <c r="P1496" i="5"/>
  <c r="P1497" i="5"/>
  <c r="P1498" i="5"/>
  <c r="P1499" i="5"/>
  <c r="P1500" i="5"/>
  <c r="P1501" i="5"/>
  <c r="P1502" i="5"/>
  <c r="P1503" i="5"/>
  <c r="J2" i="5"/>
  <c r="J3" i="5"/>
  <c r="J4" i="5"/>
  <c r="J5" i="5"/>
  <c r="J6" i="5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J66" i="5"/>
  <c r="J67" i="5"/>
  <c r="J68" i="5"/>
  <c r="J69" i="5"/>
  <c r="J70" i="5"/>
  <c r="J71" i="5"/>
  <c r="J72" i="5"/>
  <c r="J73" i="5"/>
  <c r="J74" i="5"/>
  <c r="J75" i="5"/>
  <c r="J76" i="5"/>
  <c r="J77" i="5"/>
  <c r="J78" i="5"/>
  <c r="J79" i="5"/>
  <c r="J80" i="5"/>
  <c r="J81" i="5"/>
  <c r="J82" i="5"/>
  <c r="J83" i="5"/>
  <c r="J84" i="5"/>
  <c r="J85" i="5"/>
  <c r="J86" i="5"/>
  <c r="J87" i="5"/>
  <c r="J88" i="5"/>
  <c r="J89" i="5"/>
  <c r="J90" i="5"/>
  <c r="J91" i="5"/>
  <c r="J92" i="5"/>
  <c r="J93" i="5"/>
  <c r="J94" i="5"/>
  <c r="J95" i="5"/>
  <c r="J96" i="5"/>
  <c r="J97" i="5"/>
  <c r="J98" i="5"/>
  <c r="J99" i="5"/>
  <c r="J100" i="5"/>
  <c r="J101" i="5"/>
  <c r="J102" i="5"/>
  <c r="J103" i="5"/>
  <c r="J104" i="5"/>
  <c r="J105" i="5"/>
  <c r="J106" i="5"/>
  <c r="J107" i="5"/>
  <c r="J108" i="5"/>
  <c r="J109" i="5"/>
  <c r="J110" i="5"/>
  <c r="J111" i="5"/>
  <c r="J112" i="5"/>
  <c r="J113" i="5"/>
  <c r="J114" i="5"/>
  <c r="J115" i="5"/>
  <c r="J116" i="5"/>
  <c r="J117" i="5"/>
  <c r="J118" i="5"/>
  <c r="J119" i="5"/>
  <c r="J120" i="5"/>
  <c r="J121" i="5"/>
  <c r="J122" i="5"/>
  <c r="J123" i="5"/>
  <c r="J124" i="5"/>
  <c r="J125" i="5"/>
  <c r="J126" i="5"/>
  <c r="J127" i="5"/>
  <c r="J128" i="5"/>
  <c r="J129" i="5"/>
  <c r="J130" i="5"/>
  <c r="J131" i="5"/>
  <c r="J132" i="5"/>
  <c r="J133" i="5"/>
  <c r="J134" i="5"/>
  <c r="J135" i="5"/>
  <c r="J136" i="5"/>
  <c r="J137" i="5"/>
  <c r="J138" i="5"/>
  <c r="J139" i="5"/>
  <c r="J140" i="5"/>
  <c r="J141" i="5"/>
  <c r="J142" i="5"/>
  <c r="J143" i="5"/>
  <c r="J144" i="5"/>
  <c r="J145" i="5"/>
  <c r="J146" i="5"/>
  <c r="J147" i="5"/>
  <c r="J148" i="5"/>
  <c r="J149" i="5"/>
  <c r="J150" i="5"/>
  <c r="J151" i="5"/>
  <c r="J152" i="5"/>
  <c r="J153" i="5"/>
  <c r="J154" i="5"/>
  <c r="J155" i="5"/>
  <c r="J156" i="5"/>
  <c r="J157" i="5"/>
  <c r="J158" i="5"/>
  <c r="J159" i="5"/>
  <c r="J160" i="5"/>
  <c r="J161" i="5"/>
  <c r="J162" i="5"/>
  <c r="J163" i="5"/>
  <c r="J164" i="5"/>
  <c r="J165" i="5"/>
  <c r="J166" i="5"/>
  <c r="J167" i="5"/>
  <c r="J168" i="5"/>
  <c r="J169" i="5"/>
  <c r="J170" i="5"/>
  <c r="J171" i="5"/>
  <c r="J172" i="5"/>
  <c r="J173" i="5"/>
  <c r="J174" i="5"/>
  <c r="J175" i="5"/>
  <c r="J176" i="5"/>
  <c r="J177" i="5"/>
  <c r="J178" i="5"/>
  <c r="J179" i="5"/>
  <c r="J180" i="5"/>
  <c r="J181" i="5"/>
  <c r="J182" i="5"/>
  <c r="J183" i="5"/>
  <c r="J184" i="5"/>
  <c r="J185" i="5"/>
  <c r="J186" i="5"/>
  <c r="J187" i="5"/>
  <c r="J188" i="5"/>
  <c r="J189" i="5"/>
  <c r="J190" i="5"/>
  <c r="J191" i="5"/>
  <c r="J192" i="5"/>
  <c r="J193" i="5"/>
  <c r="J194" i="5"/>
  <c r="J195" i="5"/>
  <c r="J196" i="5"/>
  <c r="J197" i="5"/>
  <c r="J198" i="5"/>
  <c r="J199" i="5"/>
  <c r="J200" i="5"/>
  <c r="J201" i="5"/>
  <c r="J202" i="5"/>
  <c r="J203" i="5"/>
  <c r="J204" i="5"/>
  <c r="J205" i="5"/>
  <c r="J206" i="5"/>
  <c r="J207" i="5"/>
  <c r="J208" i="5"/>
  <c r="J209" i="5"/>
  <c r="J210" i="5"/>
  <c r="J211" i="5"/>
  <c r="J212" i="5"/>
  <c r="J213" i="5"/>
  <c r="J214" i="5"/>
  <c r="J215" i="5"/>
  <c r="J216" i="5"/>
  <c r="J217" i="5"/>
  <c r="J218" i="5"/>
  <c r="J219" i="5"/>
  <c r="J220" i="5"/>
  <c r="J221" i="5"/>
  <c r="J222" i="5"/>
  <c r="J223" i="5"/>
  <c r="J224" i="5"/>
  <c r="J225" i="5"/>
  <c r="J226" i="5"/>
  <c r="J227" i="5"/>
  <c r="J228" i="5"/>
  <c r="J229" i="5"/>
  <c r="J230" i="5"/>
  <c r="J231" i="5"/>
  <c r="J232" i="5"/>
  <c r="J233" i="5"/>
  <c r="J234" i="5"/>
  <c r="J235" i="5"/>
  <c r="J236" i="5"/>
  <c r="J237" i="5"/>
  <c r="J238" i="5"/>
  <c r="J239" i="5"/>
  <c r="J240" i="5"/>
  <c r="J241" i="5"/>
  <c r="J242" i="5"/>
  <c r="J243" i="5"/>
  <c r="J244" i="5"/>
  <c r="J245" i="5"/>
  <c r="J246" i="5"/>
  <c r="J247" i="5"/>
  <c r="J248" i="5"/>
  <c r="J249" i="5"/>
  <c r="J250" i="5"/>
  <c r="J251" i="5"/>
  <c r="J252" i="5"/>
  <c r="J253" i="5"/>
  <c r="J254" i="5"/>
  <c r="J255" i="5"/>
  <c r="J256" i="5"/>
  <c r="J257" i="5"/>
  <c r="J258" i="5"/>
  <c r="J259" i="5"/>
  <c r="J260" i="5"/>
  <c r="J261" i="5"/>
  <c r="J262" i="5"/>
  <c r="J263" i="5"/>
  <c r="J264" i="5"/>
  <c r="J265" i="5"/>
  <c r="J266" i="5"/>
  <c r="J267" i="5"/>
  <c r="J268" i="5"/>
  <c r="J269" i="5"/>
  <c r="J270" i="5"/>
  <c r="J271" i="5"/>
  <c r="J272" i="5"/>
  <c r="J273" i="5"/>
  <c r="J274" i="5"/>
  <c r="J275" i="5"/>
  <c r="J276" i="5"/>
  <c r="J277" i="5"/>
  <c r="J278" i="5"/>
  <c r="J279" i="5"/>
  <c r="J280" i="5"/>
  <c r="J281" i="5"/>
  <c r="J282" i="5"/>
  <c r="J283" i="5"/>
  <c r="J284" i="5"/>
  <c r="J285" i="5"/>
  <c r="J286" i="5"/>
  <c r="J287" i="5"/>
  <c r="J288" i="5"/>
  <c r="J289" i="5"/>
  <c r="J290" i="5"/>
  <c r="J291" i="5"/>
  <c r="J292" i="5"/>
  <c r="J293" i="5"/>
  <c r="J294" i="5"/>
  <c r="J295" i="5"/>
  <c r="J296" i="5"/>
  <c r="J297" i="5"/>
  <c r="J298" i="5"/>
  <c r="J299" i="5"/>
  <c r="J300" i="5"/>
  <c r="J301" i="5"/>
  <c r="J302" i="5"/>
  <c r="J303" i="5"/>
  <c r="J304" i="5"/>
  <c r="J305" i="5"/>
  <c r="J306" i="5"/>
  <c r="J307" i="5"/>
  <c r="J308" i="5"/>
  <c r="J309" i="5"/>
  <c r="J310" i="5"/>
  <c r="J311" i="5"/>
  <c r="J312" i="5"/>
  <c r="J313" i="5"/>
  <c r="J314" i="5"/>
  <c r="J315" i="5"/>
  <c r="J316" i="5"/>
  <c r="J317" i="5"/>
  <c r="J318" i="5"/>
  <c r="J319" i="5"/>
  <c r="J320" i="5"/>
  <c r="J321" i="5"/>
  <c r="J322" i="5"/>
  <c r="J323" i="5"/>
  <c r="J324" i="5"/>
  <c r="J325" i="5"/>
  <c r="J326" i="5"/>
  <c r="J327" i="5"/>
  <c r="J328" i="5"/>
  <c r="J329" i="5"/>
  <c r="J330" i="5"/>
  <c r="J331" i="5"/>
  <c r="J332" i="5"/>
  <c r="J333" i="5"/>
  <c r="J334" i="5"/>
  <c r="J335" i="5"/>
  <c r="J336" i="5"/>
  <c r="J337" i="5"/>
  <c r="J338" i="5"/>
  <c r="J339" i="5"/>
  <c r="J340" i="5"/>
  <c r="J341" i="5"/>
  <c r="J342" i="5"/>
  <c r="J343" i="5"/>
  <c r="J344" i="5"/>
  <c r="J345" i="5"/>
  <c r="J346" i="5"/>
  <c r="J347" i="5"/>
  <c r="J348" i="5"/>
  <c r="J349" i="5"/>
  <c r="J350" i="5"/>
  <c r="J351" i="5"/>
  <c r="J352" i="5"/>
  <c r="J353" i="5"/>
  <c r="J354" i="5"/>
  <c r="J355" i="5"/>
  <c r="J356" i="5"/>
  <c r="J357" i="5"/>
  <c r="J358" i="5"/>
  <c r="J359" i="5"/>
  <c r="J360" i="5"/>
  <c r="J361" i="5"/>
  <c r="J362" i="5"/>
  <c r="J363" i="5"/>
  <c r="J364" i="5"/>
  <c r="J365" i="5"/>
  <c r="J366" i="5"/>
  <c r="J367" i="5"/>
  <c r="J368" i="5"/>
  <c r="J369" i="5"/>
  <c r="J370" i="5"/>
  <c r="J371" i="5"/>
  <c r="J372" i="5"/>
  <c r="J373" i="5"/>
  <c r="J374" i="5"/>
  <c r="J375" i="5"/>
  <c r="J376" i="5"/>
  <c r="J377" i="5"/>
  <c r="J378" i="5"/>
  <c r="J379" i="5"/>
  <c r="J380" i="5"/>
  <c r="J381" i="5"/>
  <c r="J382" i="5"/>
  <c r="J383" i="5"/>
  <c r="J384" i="5"/>
  <c r="J385" i="5"/>
  <c r="J386" i="5"/>
  <c r="J387" i="5"/>
  <c r="J388" i="5"/>
  <c r="J389" i="5"/>
  <c r="J390" i="5"/>
  <c r="J391" i="5"/>
  <c r="J392" i="5"/>
  <c r="J393" i="5"/>
  <c r="J394" i="5"/>
  <c r="J395" i="5"/>
  <c r="J396" i="5"/>
  <c r="J397" i="5"/>
  <c r="J398" i="5"/>
  <c r="J399" i="5"/>
  <c r="J400" i="5"/>
  <c r="J401" i="5"/>
  <c r="J402" i="5"/>
  <c r="J403" i="5"/>
  <c r="J404" i="5"/>
  <c r="J405" i="5"/>
  <c r="J406" i="5"/>
  <c r="J407" i="5"/>
  <c r="J408" i="5"/>
  <c r="J409" i="5"/>
  <c r="J410" i="5"/>
  <c r="J411" i="5"/>
  <c r="J412" i="5"/>
  <c r="J413" i="5"/>
  <c r="J414" i="5"/>
  <c r="J415" i="5"/>
  <c r="J416" i="5"/>
  <c r="J417" i="5"/>
  <c r="J418" i="5"/>
  <c r="J419" i="5"/>
  <c r="J420" i="5"/>
  <c r="J421" i="5"/>
  <c r="J422" i="5"/>
  <c r="J423" i="5"/>
  <c r="J424" i="5"/>
  <c r="J425" i="5"/>
  <c r="J426" i="5"/>
  <c r="J427" i="5"/>
  <c r="J428" i="5"/>
  <c r="J429" i="5"/>
  <c r="J430" i="5"/>
  <c r="J431" i="5"/>
  <c r="J432" i="5"/>
  <c r="J433" i="5"/>
  <c r="J434" i="5"/>
  <c r="J435" i="5"/>
  <c r="J436" i="5"/>
  <c r="J437" i="5"/>
  <c r="J438" i="5"/>
  <c r="J439" i="5"/>
  <c r="J440" i="5"/>
  <c r="J441" i="5"/>
  <c r="J442" i="5"/>
  <c r="J443" i="5"/>
  <c r="J444" i="5"/>
  <c r="J445" i="5"/>
  <c r="J446" i="5"/>
  <c r="J447" i="5"/>
  <c r="J448" i="5"/>
  <c r="J449" i="5"/>
  <c r="J450" i="5"/>
  <c r="J451" i="5"/>
  <c r="J452" i="5"/>
  <c r="J453" i="5"/>
  <c r="J454" i="5"/>
  <c r="J455" i="5"/>
  <c r="J456" i="5"/>
  <c r="J457" i="5"/>
  <c r="J458" i="5"/>
  <c r="J459" i="5"/>
  <c r="J460" i="5"/>
  <c r="J461" i="5"/>
  <c r="J462" i="5"/>
  <c r="J463" i="5"/>
  <c r="J464" i="5"/>
  <c r="J465" i="5"/>
  <c r="J466" i="5"/>
  <c r="J467" i="5"/>
  <c r="J468" i="5"/>
  <c r="J469" i="5"/>
  <c r="J470" i="5"/>
  <c r="J471" i="5"/>
  <c r="J472" i="5"/>
  <c r="J473" i="5"/>
  <c r="J474" i="5"/>
  <c r="J475" i="5"/>
  <c r="J476" i="5"/>
  <c r="J477" i="5"/>
  <c r="J478" i="5"/>
  <c r="J479" i="5"/>
  <c r="J480" i="5"/>
  <c r="J481" i="5"/>
  <c r="J482" i="5"/>
  <c r="J483" i="5"/>
  <c r="J484" i="5"/>
  <c r="J485" i="5"/>
  <c r="J486" i="5"/>
  <c r="J487" i="5"/>
  <c r="J488" i="5"/>
  <c r="J489" i="5"/>
  <c r="J490" i="5"/>
  <c r="J491" i="5"/>
  <c r="J492" i="5"/>
  <c r="J493" i="5"/>
  <c r="J494" i="5"/>
  <c r="J495" i="5"/>
  <c r="J496" i="5"/>
  <c r="J497" i="5"/>
  <c r="J498" i="5"/>
  <c r="J499" i="5"/>
  <c r="J500" i="5"/>
  <c r="J501" i="5"/>
  <c r="J502" i="5"/>
  <c r="J503" i="5"/>
  <c r="J504" i="5"/>
  <c r="J505" i="5"/>
  <c r="J506" i="5"/>
  <c r="J507" i="5"/>
  <c r="J508" i="5"/>
  <c r="J509" i="5"/>
  <c r="J510" i="5"/>
  <c r="J511" i="5"/>
  <c r="J512" i="5"/>
  <c r="J513" i="5"/>
  <c r="J514" i="5"/>
  <c r="J515" i="5"/>
  <c r="J516" i="5"/>
  <c r="J517" i="5"/>
  <c r="J518" i="5"/>
  <c r="J519" i="5"/>
  <c r="J520" i="5"/>
  <c r="J521" i="5"/>
  <c r="J522" i="5"/>
  <c r="J523" i="5"/>
  <c r="J524" i="5"/>
  <c r="J525" i="5"/>
  <c r="J526" i="5"/>
  <c r="J527" i="5"/>
  <c r="J528" i="5"/>
  <c r="J529" i="5"/>
  <c r="J530" i="5"/>
  <c r="J531" i="5"/>
  <c r="J532" i="5"/>
  <c r="J533" i="5"/>
  <c r="J534" i="5"/>
  <c r="J535" i="5"/>
  <c r="J536" i="5"/>
  <c r="J537" i="5"/>
  <c r="J538" i="5"/>
  <c r="J539" i="5"/>
  <c r="J540" i="5"/>
  <c r="J541" i="5"/>
  <c r="J542" i="5"/>
  <c r="J543" i="5"/>
  <c r="J544" i="5"/>
  <c r="J545" i="5"/>
  <c r="J546" i="5"/>
  <c r="J547" i="5"/>
  <c r="J548" i="5"/>
  <c r="J549" i="5"/>
  <c r="J550" i="5"/>
  <c r="J551" i="5"/>
  <c r="J552" i="5"/>
  <c r="J553" i="5"/>
  <c r="J554" i="5"/>
  <c r="J555" i="5"/>
  <c r="J556" i="5"/>
  <c r="J557" i="5"/>
  <c r="J558" i="5"/>
  <c r="J559" i="5"/>
  <c r="J560" i="5"/>
  <c r="J561" i="5"/>
  <c r="J562" i="5"/>
  <c r="J563" i="5"/>
  <c r="J564" i="5"/>
  <c r="J565" i="5"/>
  <c r="J566" i="5"/>
  <c r="J567" i="5"/>
  <c r="J568" i="5"/>
  <c r="J569" i="5"/>
  <c r="J570" i="5"/>
  <c r="J571" i="5"/>
  <c r="J572" i="5"/>
  <c r="J573" i="5"/>
  <c r="J574" i="5"/>
  <c r="J575" i="5"/>
  <c r="J576" i="5"/>
  <c r="J577" i="5"/>
  <c r="J578" i="5"/>
  <c r="J579" i="5"/>
  <c r="J580" i="5"/>
  <c r="J581" i="5"/>
  <c r="J582" i="5"/>
  <c r="J583" i="5"/>
  <c r="J584" i="5"/>
  <c r="J585" i="5"/>
  <c r="J586" i="5"/>
  <c r="J587" i="5"/>
  <c r="J588" i="5"/>
  <c r="J589" i="5"/>
  <c r="J590" i="5"/>
  <c r="J591" i="5"/>
  <c r="J592" i="5"/>
  <c r="J593" i="5"/>
  <c r="J594" i="5"/>
  <c r="J595" i="5"/>
  <c r="J596" i="5"/>
  <c r="J597" i="5"/>
  <c r="J598" i="5"/>
  <c r="J599" i="5"/>
  <c r="J600" i="5"/>
  <c r="J601" i="5"/>
  <c r="J602" i="5"/>
  <c r="J603" i="5"/>
  <c r="J604" i="5"/>
  <c r="J605" i="5"/>
  <c r="J606" i="5"/>
  <c r="J607" i="5"/>
  <c r="J608" i="5"/>
  <c r="J609" i="5"/>
  <c r="J610" i="5"/>
  <c r="J611" i="5"/>
  <c r="J612" i="5"/>
  <c r="J613" i="5"/>
  <c r="J614" i="5"/>
  <c r="J615" i="5"/>
  <c r="J616" i="5"/>
  <c r="J617" i="5"/>
  <c r="J618" i="5"/>
  <c r="J619" i="5"/>
  <c r="J620" i="5"/>
  <c r="J621" i="5"/>
  <c r="J622" i="5"/>
  <c r="J623" i="5"/>
  <c r="J624" i="5"/>
  <c r="J625" i="5"/>
  <c r="J626" i="5"/>
  <c r="J627" i="5"/>
  <c r="J628" i="5"/>
  <c r="J629" i="5"/>
  <c r="J630" i="5"/>
  <c r="J631" i="5"/>
  <c r="J632" i="5"/>
  <c r="J633" i="5"/>
  <c r="J634" i="5"/>
  <c r="J635" i="5"/>
  <c r="J636" i="5"/>
  <c r="J637" i="5"/>
  <c r="J638" i="5"/>
  <c r="J639" i="5"/>
  <c r="J640" i="5"/>
  <c r="J641" i="5"/>
  <c r="J642" i="5"/>
  <c r="J643" i="5"/>
  <c r="J644" i="5"/>
  <c r="J645" i="5"/>
  <c r="J646" i="5"/>
  <c r="J647" i="5"/>
  <c r="J648" i="5"/>
  <c r="J649" i="5"/>
  <c r="J650" i="5"/>
  <c r="J651" i="5"/>
  <c r="J652" i="5"/>
  <c r="J653" i="5"/>
  <c r="J654" i="5"/>
  <c r="J655" i="5"/>
  <c r="J656" i="5"/>
  <c r="J657" i="5"/>
  <c r="J658" i="5"/>
  <c r="J659" i="5"/>
  <c r="J660" i="5"/>
  <c r="J661" i="5"/>
  <c r="J662" i="5"/>
  <c r="J663" i="5"/>
  <c r="J664" i="5"/>
  <c r="J665" i="5"/>
  <c r="J666" i="5"/>
  <c r="J667" i="5"/>
  <c r="J668" i="5"/>
  <c r="J669" i="5"/>
  <c r="J670" i="5"/>
  <c r="J671" i="5"/>
  <c r="J672" i="5"/>
  <c r="J673" i="5"/>
  <c r="J674" i="5"/>
  <c r="J675" i="5"/>
  <c r="J676" i="5"/>
  <c r="J677" i="5"/>
  <c r="J678" i="5"/>
  <c r="J679" i="5"/>
  <c r="J680" i="5"/>
  <c r="J681" i="5"/>
  <c r="J682" i="5"/>
  <c r="J683" i="5"/>
  <c r="J684" i="5"/>
  <c r="J685" i="5"/>
  <c r="J686" i="5"/>
  <c r="J687" i="5"/>
  <c r="J688" i="5"/>
  <c r="J689" i="5"/>
  <c r="J690" i="5"/>
  <c r="J691" i="5"/>
  <c r="J692" i="5"/>
  <c r="J693" i="5"/>
  <c r="J694" i="5"/>
  <c r="J695" i="5"/>
  <c r="J696" i="5"/>
  <c r="J697" i="5"/>
  <c r="J698" i="5"/>
  <c r="J699" i="5"/>
  <c r="J700" i="5"/>
  <c r="J701" i="5"/>
  <c r="J702" i="5"/>
  <c r="J703" i="5"/>
  <c r="J704" i="5"/>
  <c r="J705" i="5"/>
  <c r="J706" i="5"/>
  <c r="J707" i="5"/>
  <c r="J708" i="5"/>
  <c r="J709" i="5"/>
  <c r="J710" i="5"/>
  <c r="J711" i="5"/>
  <c r="J712" i="5"/>
  <c r="J713" i="5"/>
  <c r="J714" i="5"/>
  <c r="J715" i="5"/>
  <c r="J716" i="5"/>
  <c r="J717" i="5"/>
  <c r="J718" i="5"/>
  <c r="J719" i="5"/>
  <c r="J720" i="5"/>
  <c r="J721" i="5"/>
  <c r="J722" i="5"/>
  <c r="J723" i="5"/>
  <c r="J724" i="5"/>
  <c r="J725" i="5"/>
  <c r="J726" i="5"/>
  <c r="J727" i="5"/>
  <c r="J728" i="5"/>
  <c r="J729" i="5"/>
  <c r="J730" i="5"/>
  <c r="J731" i="5"/>
  <c r="J732" i="5"/>
  <c r="J733" i="5"/>
  <c r="J734" i="5"/>
  <c r="J735" i="5"/>
  <c r="J736" i="5"/>
  <c r="J737" i="5"/>
  <c r="J738" i="5"/>
  <c r="J739" i="5"/>
  <c r="J740" i="5"/>
  <c r="J741" i="5"/>
  <c r="J742" i="5"/>
  <c r="J743" i="5"/>
  <c r="J744" i="5"/>
  <c r="J745" i="5"/>
  <c r="J746" i="5"/>
  <c r="J747" i="5"/>
  <c r="J748" i="5"/>
  <c r="J749" i="5"/>
  <c r="J750" i="5"/>
  <c r="J751" i="5"/>
  <c r="J752" i="5"/>
  <c r="J753" i="5"/>
  <c r="J754" i="5"/>
  <c r="J755" i="5"/>
  <c r="J756" i="5"/>
  <c r="J757" i="5"/>
  <c r="J758" i="5"/>
  <c r="J759" i="5"/>
  <c r="J760" i="5"/>
  <c r="J761" i="5"/>
  <c r="J762" i="5"/>
  <c r="J763" i="5"/>
  <c r="J764" i="5"/>
  <c r="J765" i="5"/>
  <c r="J766" i="5"/>
  <c r="J767" i="5"/>
  <c r="J768" i="5"/>
  <c r="J769" i="5"/>
  <c r="J770" i="5"/>
  <c r="J771" i="5"/>
  <c r="J772" i="5"/>
  <c r="J773" i="5"/>
  <c r="J774" i="5"/>
  <c r="J775" i="5"/>
  <c r="J776" i="5"/>
  <c r="J777" i="5"/>
  <c r="J778" i="5"/>
  <c r="J779" i="5"/>
  <c r="J780" i="5"/>
  <c r="J781" i="5"/>
  <c r="J782" i="5"/>
  <c r="J783" i="5"/>
  <c r="J784" i="5"/>
  <c r="J785" i="5"/>
  <c r="J786" i="5"/>
  <c r="J787" i="5"/>
  <c r="J788" i="5"/>
  <c r="J789" i="5"/>
  <c r="J790" i="5"/>
  <c r="J791" i="5"/>
  <c r="J792" i="5"/>
  <c r="J793" i="5"/>
  <c r="J794" i="5"/>
  <c r="J795" i="5"/>
  <c r="J796" i="5"/>
  <c r="J797" i="5"/>
  <c r="J798" i="5"/>
  <c r="J799" i="5"/>
  <c r="J800" i="5"/>
  <c r="J801" i="5"/>
  <c r="J802" i="5"/>
  <c r="J803" i="5"/>
  <c r="J804" i="5"/>
  <c r="J805" i="5"/>
  <c r="J806" i="5"/>
  <c r="J807" i="5"/>
  <c r="J808" i="5"/>
  <c r="J809" i="5"/>
  <c r="J810" i="5"/>
  <c r="J811" i="5"/>
  <c r="J812" i="5"/>
  <c r="J813" i="5"/>
  <c r="J814" i="5"/>
  <c r="J815" i="5"/>
  <c r="J816" i="5"/>
  <c r="J817" i="5"/>
  <c r="J818" i="5"/>
  <c r="J819" i="5"/>
  <c r="J820" i="5"/>
  <c r="J821" i="5"/>
  <c r="J822" i="5"/>
  <c r="J823" i="5"/>
  <c r="J824" i="5"/>
  <c r="J825" i="5"/>
  <c r="J826" i="5"/>
  <c r="J827" i="5"/>
  <c r="J828" i="5"/>
  <c r="J829" i="5"/>
  <c r="J830" i="5"/>
  <c r="J831" i="5"/>
  <c r="J832" i="5"/>
  <c r="J833" i="5"/>
  <c r="J834" i="5"/>
  <c r="J835" i="5"/>
  <c r="J836" i="5"/>
  <c r="J837" i="5"/>
  <c r="J838" i="5"/>
  <c r="J839" i="5"/>
  <c r="J840" i="5"/>
  <c r="J841" i="5"/>
  <c r="J842" i="5"/>
  <c r="J843" i="5"/>
  <c r="J844" i="5"/>
  <c r="J845" i="5"/>
  <c r="J846" i="5"/>
  <c r="J847" i="5"/>
  <c r="J848" i="5"/>
  <c r="J849" i="5"/>
  <c r="J850" i="5"/>
  <c r="J851" i="5"/>
  <c r="J852" i="5"/>
  <c r="J853" i="5"/>
  <c r="J854" i="5"/>
  <c r="J855" i="5"/>
  <c r="J856" i="5"/>
  <c r="J857" i="5"/>
  <c r="J858" i="5"/>
  <c r="J859" i="5"/>
  <c r="J860" i="5"/>
  <c r="J861" i="5"/>
  <c r="J862" i="5"/>
  <c r="J863" i="5"/>
  <c r="J864" i="5"/>
  <c r="J865" i="5"/>
  <c r="J866" i="5"/>
  <c r="J867" i="5"/>
  <c r="J868" i="5"/>
  <c r="J869" i="5"/>
  <c r="J870" i="5"/>
  <c r="J871" i="5"/>
  <c r="J872" i="5"/>
  <c r="J873" i="5"/>
  <c r="J874" i="5"/>
  <c r="J875" i="5"/>
  <c r="J876" i="5"/>
  <c r="J877" i="5"/>
  <c r="J878" i="5"/>
  <c r="J879" i="5"/>
  <c r="J880" i="5"/>
  <c r="J881" i="5"/>
  <c r="J882" i="5"/>
  <c r="J883" i="5"/>
  <c r="J884" i="5"/>
  <c r="J885" i="5"/>
  <c r="J886" i="5"/>
  <c r="J887" i="5"/>
  <c r="J888" i="5"/>
  <c r="J889" i="5"/>
  <c r="J890" i="5"/>
  <c r="J891" i="5"/>
  <c r="J892" i="5"/>
  <c r="J893" i="5"/>
  <c r="J894" i="5"/>
  <c r="J895" i="5"/>
  <c r="J896" i="5"/>
  <c r="J897" i="5"/>
  <c r="J898" i="5"/>
  <c r="J899" i="5"/>
  <c r="J900" i="5"/>
  <c r="J901" i="5"/>
  <c r="J902" i="5"/>
  <c r="J903" i="5"/>
  <c r="J904" i="5"/>
  <c r="J905" i="5"/>
  <c r="J906" i="5"/>
  <c r="J907" i="5"/>
  <c r="J908" i="5"/>
  <c r="J909" i="5"/>
  <c r="J910" i="5"/>
  <c r="J911" i="5"/>
  <c r="J912" i="5"/>
  <c r="J913" i="5"/>
  <c r="J914" i="5"/>
  <c r="J915" i="5"/>
  <c r="J916" i="5"/>
  <c r="J917" i="5"/>
  <c r="J918" i="5"/>
  <c r="J919" i="5"/>
  <c r="J920" i="5"/>
  <c r="J921" i="5"/>
  <c r="J922" i="5"/>
  <c r="J923" i="5"/>
  <c r="J924" i="5"/>
  <c r="J925" i="5"/>
  <c r="J926" i="5"/>
  <c r="J927" i="5"/>
  <c r="J928" i="5"/>
  <c r="J929" i="5"/>
  <c r="J930" i="5"/>
  <c r="J931" i="5"/>
  <c r="J932" i="5"/>
  <c r="J933" i="5"/>
  <c r="J934" i="5"/>
  <c r="J935" i="5"/>
  <c r="J936" i="5"/>
  <c r="J937" i="5"/>
  <c r="J938" i="5"/>
  <c r="J939" i="5"/>
  <c r="J940" i="5"/>
  <c r="J941" i="5"/>
  <c r="J942" i="5"/>
  <c r="J943" i="5"/>
  <c r="J944" i="5"/>
  <c r="J945" i="5"/>
  <c r="J946" i="5"/>
  <c r="J947" i="5"/>
  <c r="J948" i="5"/>
  <c r="J949" i="5"/>
  <c r="J950" i="5"/>
  <c r="J951" i="5"/>
  <c r="J952" i="5"/>
  <c r="J953" i="5"/>
  <c r="J954" i="5"/>
  <c r="J955" i="5"/>
  <c r="J956" i="5"/>
  <c r="J957" i="5"/>
  <c r="J958" i="5"/>
  <c r="J959" i="5"/>
  <c r="J960" i="5"/>
  <c r="J961" i="5"/>
  <c r="J962" i="5"/>
  <c r="J963" i="5"/>
  <c r="J964" i="5"/>
  <c r="J965" i="5"/>
  <c r="J966" i="5"/>
  <c r="J967" i="5"/>
  <c r="J968" i="5"/>
  <c r="J969" i="5"/>
  <c r="J970" i="5"/>
  <c r="J971" i="5"/>
  <c r="J972" i="5"/>
  <c r="J973" i="5"/>
  <c r="J974" i="5"/>
  <c r="J975" i="5"/>
  <c r="J976" i="5"/>
  <c r="J977" i="5"/>
  <c r="J978" i="5"/>
  <c r="J979" i="5"/>
  <c r="J980" i="5"/>
  <c r="J981" i="5"/>
  <c r="J982" i="5"/>
  <c r="J983" i="5"/>
  <c r="J984" i="5"/>
  <c r="J985" i="5"/>
  <c r="J986" i="5"/>
  <c r="J987" i="5"/>
  <c r="J988" i="5"/>
  <c r="J989" i="5"/>
  <c r="J990" i="5"/>
  <c r="J991" i="5"/>
  <c r="J992" i="5"/>
  <c r="J993" i="5"/>
  <c r="J994" i="5"/>
  <c r="J995" i="5"/>
  <c r="J996" i="5"/>
  <c r="J997" i="5"/>
  <c r="J998" i="5"/>
  <c r="J999" i="5"/>
  <c r="J1000" i="5"/>
  <c r="J1001" i="5"/>
  <c r="J1002" i="5"/>
  <c r="J1003" i="5"/>
  <c r="J1004" i="5"/>
  <c r="J1005" i="5"/>
  <c r="J1006" i="5"/>
  <c r="J1007" i="5"/>
  <c r="J1008" i="5"/>
  <c r="J1009" i="5"/>
  <c r="J1010" i="5"/>
  <c r="J1011" i="5"/>
  <c r="J1012" i="5"/>
  <c r="J1013" i="5"/>
  <c r="J1014" i="5"/>
  <c r="J1015" i="5"/>
  <c r="J1016" i="5"/>
  <c r="J1017" i="5"/>
  <c r="J1018" i="5"/>
  <c r="J1019" i="5"/>
  <c r="J1020" i="5"/>
  <c r="J1021" i="5"/>
  <c r="J1022" i="5"/>
  <c r="J1023" i="5"/>
  <c r="J1024" i="5"/>
  <c r="J1025" i="5"/>
  <c r="J1026" i="5"/>
  <c r="J1027" i="5"/>
  <c r="J1028" i="5"/>
  <c r="J1029" i="5"/>
  <c r="J1030" i="5"/>
  <c r="J1031" i="5"/>
  <c r="J1032" i="5"/>
  <c r="J1033" i="5"/>
  <c r="J1034" i="5"/>
  <c r="J1035" i="5"/>
  <c r="J1036" i="5"/>
  <c r="J1037" i="5"/>
  <c r="J1038" i="5"/>
  <c r="J1039" i="5"/>
  <c r="J1040" i="5"/>
  <c r="J1041" i="5"/>
  <c r="J1042" i="5"/>
  <c r="J1043" i="5"/>
  <c r="J1044" i="5"/>
  <c r="J1045" i="5"/>
  <c r="J1046" i="5"/>
  <c r="J1047" i="5"/>
  <c r="J1048" i="5"/>
  <c r="J1049" i="5"/>
  <c r="J1050" i="5"/>
  <c r="J1051" i="5"/>
  <c r="J1052" i="5"/>
  <c r="J1053" i="5"/>
  <c r="J1054" i="5"/>
  <c r="J1055" i="5"/>
  <c r="J1056" i="5"/>
  <c r="J1057" i="5"/>
  <c r="J1058" i="5"/>
  <c r="J1059" i="5"/>
  <c r="J1060" i="5"/>
  <c r="J1061" i="5"/>
  <c r="J1062" i="5"/>
  <c r="J1063" i="5"/>
  <c r="J1064" i="5"/>
  <c r="J1065" i="5"/>
  <c r="J1066" i="5"/>
  <c r="J1067" i="5"/>
  <c r="J1068" i="5"/>
  <c r="J1069" i="5"/>
  <c r="J1070" i="5"/>
  <c r="J1071" i="5"/>
  <c r="J1072" i="5"/>
  <c r="J1073" i="5"/>
  <c r="J1074" i="5"/>
  <c r="J1075" i="5"/>
  <c r="J1076" i="5"/>
  <c r="J1077" i="5"/>
  <c r="J1078" i="5"/>
  <c r="J1079" i="5"/>
  <c r="J1080" i="5"/>
  <c r="J1081" i="5"/>
  <c r="J1082" i="5"/>
  <c r="J1083" i="5"/>
  <c r="J1084" i="5"/>
  <c r="J1085" i="5"/>
  <c r="J1086" i="5"/>
  <c r="J1087" i="5"/>
  <c r="J1088" i="5"/>
  <c r="J1089" i="5"/>
  <c r="J1090" i="5"/>
  <c r="J1091" i="5"/>
  <c r="J1092" i="5"/>
  <c r="J1093" i="5"/>
  <c r="J1094" i="5"/>
  <c r="J1095" i="5"/>
  <c r="J1096" i="5"/>
  <c r="J1097" i="5"/>
  <c r="J1098" i="5"/>
  <c r="J1099" i="5"/>
  <c r="J1100" i="5"/>
  <c r="J1101" i="5"/>
  <c r="J1102" i="5"/>
  <c r="J1103" i="5"/>
  <c r="J1104" i="5"/>
  <c r="J1105" i="5"/>
  <c r="J1106" i="5"/>
  <c r="J1107" i="5"/>
  <c r="J1108" i="5"/>
  <c r="J1109" i="5"/>
  <c r="J1110" i="5"/>
  <c r="J1111" i="5"/>
  <c r="J1112" i="5"/>
  <c r="J1113" i="5"/>
  <c r="J1114" i="5"/>
  <c r="J1115" i="5"/>
  <c r="J1116" i="5"/>
  <c r="J1117" i="5"/>
  <c r="J1118" i="5"/>
  <c r="J1119" i="5"/>
  <c r="J1120" i="5"/>
  <c r="J1121" i="5"/>
  <c r="J1122" i="5"/>
  <c r="J1123" i="5"/>
  <c r="J1124" i="5"/>
  <c r="J1125" i="5"/>
  <c r="J1126" i="5"/>
  <c r="J1127" i="5"/>
  <c r="J1128" i="5"/>
  <c r="J1129" i="5"/>
  <c r="J1130" i="5"/>
  <c r="J1131" i="5"/>
  <c r="J1132" i="5"/>
  <c r="J1133" i="5"/>
  <c r="J1134" i="5"/>
  <c r="J1135" i="5"/>
  <c r="J1136" i="5"/>
  <c r="J1137" i="5"/>
  <c r="J1138" i="5"/>
  <c r="J1139" i="5"/>
  <c r="J1140" i="5"/>
  <c r="J1141" i="5"/>
  <c r="J1142" i="5"/>
  <c r="J1143" i="5"/>
  <c r="J1144" i="5"/>
  <c r="J1145" i="5"/>
  <c r="J1146" i="5"/>
  <c r="J1147" i="5"/>
  <c r="J1148" i="5"/>
  <c r="J1149" i="5"/>
  <c r="J1150" i="5"/>
  <c r="J1151" i="5"/>
  <c r="J1152" i="5"/>
  <c r="J1153" i="5"/>
  <c r="J1154" i="5"/>
  <c r="J1155" i="5"/>
  <c r="J1156" i="5"/>
  <c r="J1157" i="5"/>
  <c r="J1158" i="5"/>
  <c r="J1159" i="5"/>
  <c r="J1160" i="5"/>
  <c r="J1161" i="5"/>
  <c r="J1162" i="5"/>
  <c r="J1163" i="5"/>
  <c r="J1164" i="5"/>
  <c r="J1165" i="5"/>
  <c r="J1166" i="5"/>
  <c r="J1167" i="5"/>
  <c r="J1168" i="5"/>
  <c r="J1169" i="5"/>
  <c r="J1170" i="5"/>
  <c r="J1171" i="5"/>
  <c r="J1172" i="5"/>
  <c r="J1173" i="5"/>
  <c r="J1174" i="5"/>
  <c r="J1175" i="5"/>
  <c r="J1176" i="5"/>
  <c r="J1177" i="5"/>
  <c r="J1178" i="5"/>
  <c r="J1179" i="5"/>
  <c r="J1180" i="5"/>
  <c r="J1181" i="5"/>
  <c r="J1182" i="5"/>
  <c r="J1183" i="5"/>
  <c r="J1184" i="5"/>
  <c r="J1185" i="5"/>
  <c r="J1186" i="5"/>
  <c r="J1187" i="5"/>
  <c r="J1188" i="5"/>
  <c r="J1189" i="5"/>
  <c r="J1190" i="5"/>
  <c r="J1191" i="5"/>
  <c r="J1192" i="5"/>
  <c r="J1193" i="5"/>
  <c r="J1194" i="5"/>
  <c r="J1195" i="5"/>
  <c r="J1196" i="5"/>
  <c r="J1197" i="5"/>
  <c r="J1198" i="5"/>
  <c r="J1199" i="5"/>
  <c r="J1200" i="5"/>
  <c r="J1201" i="5"/>
  <c r="J1202" i="5"/>
  <c r="J1203" i="5"/>
  <c r="J1204" i="5"/>
  <c r="J1205" i="5"/>
  <c r="J1206" i="5"/>
  <c r="J1207" i="5"/>
  <c r="J1208" i="5"/>
  <c r="J1209" i="5"/>
  <c r="J1210" i="5"/>
  <c r="J1211" i="5"/>
  <c r="J1212" i="5"/>
  <c r="J1213" i="5"/>
  <c r="J1214" i="5"/>
  <c r="J1215" i="5"/>
  <c r="J1216" i="5"/>
  <c r="J1217" i="5"/>
  <c r="J1218" i="5"/>
  <c r="J1219" i="5"/>
  <c r="J1220" i="5"/>
  <c r="J1221" i="5"/>
  <c r="J1222" i="5"/>
  <c r="J1223" i="5"/>
  <c r="J1224" i="5"/>
  <c r="J1225" i="5"/>
  <c r="J1226" i="5"/>
  <c r="J1227" i="5"/>
  <c r="J1228" i="5"/>
  <c r="J1229" i="5"/>
  <c r="J1230" i="5"/>
  <c r="J1231" i="5"/>
  <c r="J1232" i="5"/>
  <c r="J1233" i="5"/>
  <c r="J1234" i="5"/>
  <c r="J1235" i="5"/>
  <c r="J1236" i="5"/>
  <c r="J1237" i="5"/>
  <c r="J1238" i="5"/>
  <c r="J1239" i="5"/>
  <c r="J1240" i="5"/>
  <c r="J1241" i="5"/>
  <c r="J1242" i="5"/>
  <c r="J1243" i="5"/>
  <c r="J1244" i="5"/>
  <c r="J1245" i="5"/>
  <c r="J1246" i="5"/>
  <c r="J1247" i="5"/>
  <c r="J1248" i="5"/>
  <c r="J1249" i="5"/>
  <c r="J1250" i="5"/>
  <c r="J1251" i="5"/>
  <c r="J1252" i="5"/>
  <c r="J1253" i="5"/>
  <c r="J1254" i="5"/>
  <c r="J1255" i="5"/>
  <c r="J1256" i="5"/>
  <c r="J1257" i="5"/>
  <c r="J1258" i="5"/>
  <c r="J1259" i="5"/>
  <c r="J1260" i="5"/>
  <c r="J1261" i="5"/>
  <c r="J1262" i="5"/>
  <c r="J1263" i="5"/>
  <c r="J1264" i="5"/>
  <c r="J1265" i="5"/>
  <c r="J1266" i="5"/>
  <c r="J1267" i="5"/>
  <c r="J1268" i="5"/>
  <c r="J1269" i="5"/>
  <c r="J1270" i="5"/>
  <c r="J1271" i="5"/>
  <c r="J1272" i="5"/>
  <c r="J1273" i="5"/>
  <c r="J1274" i="5"/>
  <c r="J1275" i="5"/>
  <c r="J1276" i="5"/>
  <c r="J1277" i="5"/>
  <c r="J1278" i="5"/>
  <c r="J1279" i="5"/>
  <c r="J1280" i="5"/>
  <c r="J1281" i="5"/>
  <c r="J1282" i="5"/>
  <c r="J1283" i="5"/>
  <c r="J1284" i="5"/>
  <c r="J1285" i="5"/>
  <c r="J1286" i="5"/>
  <c r="J1287" i="5"/>
  <c r="J1288" i="5"/>
  <c r="J1289" i="5"/>
  <c r="J1290" i="5"/>
  <c r="J1291" i="5"/>
  <c r="J1292" i="5"/>
  <c r="J1293" i="5"/>
  <c r="J1294" i="5"/>
  <c r="J1295" i="5"/>
  <c r="J1296" i="5"/>
  <c r="J1297" i="5"/>
  <c r="J1298" i="5"/>
  <c r="J1299" i="5"/>
  <c r="J1300" i="5"/>
  <c r="J1301" i="5"/>
  <c r="J1302" i="5"/>
  <c r="J1303" i="5"/>
  <c r="J1304" i="5"/>
  <c r="J1305" i="5"/>
  <c r="J1306" i="5"/>
  <c r="J1307" i="5"/>
  <c r="J1308" i="5"/>
  <c r="J1309" i="5"/>
  <c r="J1310" i="5"/>
  <c r="J1311" i="5"/>
  <c r="J1312" i="5"/>
  <c r="J1313" i="5"/>
  <c r="J1314" i="5"/>
  <c r="J1315" i="5"/>
  <c r="J1316" i="5"/>
  <c r="J1317" i="5"/>
  <c r="J1318" i="5"/>
  <c r="J1319" i="5"/>
  <c r="J1320" i="5"/>
  <c r="J1321" i="5"/>
  <c r="J1322" i="5"/>
  <c r="J1323" i="5"/>
  <c r="J1324" i="5"/>
  <c r="J1325" i="5"/>
  <c r="J1326" i="5"/>
  <c r="J1327" i="5"/>
  <c r="J1328" i="5"/>
  <c r="J1329" i="5"/>
  <c r="J1330" i="5"/>
  <c r="J1331" i="5"/>
  <c r="J1332" i="5"/>
  <c r="J1333" i="5"/>
  <c r="J1334" i="5"/>
  <c r="J1335" i="5"/>
  <c r="J1336" i="5"/>
  <c r="J1337" i="5"/>
  <c r="J1338" i="5"/>
  <c r="J1339" i="5"/>
  <c r="J1340" i="5"/>
  <c r="J1341" i="5"/>
  <c r="J1342" i="5"/>
  <c r="J1343" i="5"/>
  <c r="J1344" i="5"/>
  <c r="J1345" i="5"/>
  <c r="J1346" i="5"/>
  <c r="J1347" i="5"/>
  <c r="J1348" i="5"/>
  <c r="J1349" i="5"/>
  <c r="J1350" i="5"/>
  <c r="J1351" i="5"/>
  <c r="J1352" i="5"/>
  <c r="J1353" i="5"/>
  <c r="J1354" i="5"/>
  <c r="J1355" i="5"/>
  <c r="J1356" i="5"/>
  <c r="J1357" i="5"/>
  <c r="J1358" i="5"/>
  <c r="J1359" i="5"/>
  <c r="J1360" i="5"/>
  <c r="J1361" i="5"/>
  <c r="J1362" i="5"/>
  <c r="J1363" i="5"/>
  <c r="J1364" i="5"/>
  <c r="J1365" i="5"/>
  <c r="J1366" i="5"/>
  <c r="J1367" i="5"/>
  <c r="J1368" i="5"/>
  <c r="J1369" i="5"/>
  <c r="J1370" i="5"/>
  <c r="J1371" i="5"/>
  <c r="J1372" i="5"/>
  <c r="J1373" i="5"/>
  <c r="J1374" i="5"/>
  <c r="J1375" i="5"/>
  <c r="J1376" i="5"/>
  <c r="J1377" i="5"/>
  <c r="J1378" i="5"/>
  <c r="J1379" i="5"/>
  <c r="J1380" i="5"/>
  <c r="J1381" i="5"/>
  <c r="J1382" i="5"/>
  <c r="J1383" i="5"/>
  <c r="J1384" i="5"/>
  <c r="J1385" i="5"/>
  <c r="J1386" i="5"/>
  <c r="J1387" i="5"/>
  <c r="J1388" i="5"/>
  <c r="J1389" i="5"/>
  <c r="J1390" i="5"/>
  <c r="J1391" i="5"/>
  <c r="J1392" i="5"/>
  <c r="J1393" i="5"/>
  <c r="J1394" i="5"/>
  <c r="J1395" i="5"/>
  <c r="J1396" i="5"/>
  <c r="J1397" i="5"/>
  <c r="J1398" i="5"/>
  <c r="J1399" i="5"/>
  <c r="J1400" i="5"/>
  <c r="J1401" i="5"/>
  <c r="J1402" i="5"/>
  <c r="J1403" i="5"/>
  <c r="J1404" i="5"/>
  <c r="J1405" i="5"/>
  <c r="J1406" i="5"/>
  <c r="J1407" i="5"/>
  <c r="J1408" i="5"/>
  <c r="J1409" i="5"/>
  <c r="J1410" i="5"/>
  <c r="J1411" i="5"/>
  <c r="J1412" i="5"/>
  <c r="J1413" i="5"/>
  <c r="J1414" i="5"/>
  <c r="J1415" i="5"/>
  <c r="J1416" i="5"/>
  <c r="J1417" i="5"/>
  <c r="J1418" i="5"/>
  <c r="J1419" i="5"/>
  <c r="J1420" i="5"/>
  <c r="J1421" i="5"/>
  <c r="J1422" i="5"/>
  <c r="J1423" i="5"/>
  <c r="J1424" i="5"/>
  <c r="J1425" i="5"/>
  <c r="J1426" i="5"/>
  <c r="J1427" i="5"/>
  <c r="J1428" i="5"/>
  <c r="J1429" i="5"/>
  <c r="J1430" i="5"/>
  <c r="J1431" i="5"/>
  <c r="J1432" i="5"/>
  <c r="J1433" i="5"/>
  <c r="J1434" i="5"/>
  <c r="J1435" i="5"/>
  <c r="J1436" i="5"/>
  <c r="J1437" i="5"/>
  <c r="J1438" i="5"/>
  <c r="J1439" i="5"/>
  <c r="J1440" i="5"/>
  <c r="J1441" i="5"/>
  <c r="J1442" i="5"/>
  <c r="J1443" i="5"/>
  <c r="J1444" i="5"/>
  <c r="J1445" i="5"/>
  <c r="J1446" i="5"/>
  <c r="J1447" i="5"/>
  <c r="J1448" i="5"/>
  <c r="J1449" i="5"/>
  <c r="J1450" i="5"/>
  <c r="J1451" i="5"/>
  <c r="J1452" i="5"/>
  <c r="J1453" i="5"/>
  <c r="J1454" i="5"/>
  <c r="J1455" i="5"/>
  <c r="J1456" i="5"/>
  <c r="J1457" i="5"/>
  <c r="J1458" i="5"/>
  <c r="J1459" i="5"/>
  <c r="J1460" i="5"/>
  <c r="J1461" i="5"/>
  <c r="J1462" i="5"/>
  <c r="J1463" i="5"/>
  <c r="J1464" i="5"/>
  <c r="J1465" i="5"/>
  <c r="J1466" i="5"/>
  <c r="J1467" i="5"/>
  <c r="J1468" i="5"/>
  <c r="J1469" i="5"/>
  <c r="J1470" i="5"/>
  <c r="J1471" i="5"/>
  <c r="J1472" i="5"/>
  <c r="J1473" i="5"/>
  <c r="J1474" i="5"/>
  <c r="J1475" i="5"/>
  <c r="J1476" i="5"/>
  <c r="J1477" i="5"/>
  <c r="J1478" i="5"/>
  <c r="J1479" i="5"/>
  <c r="J1480" i="5"/>
  <c r="J1481" i="5"/>
  <c r="J1482" i="5"/>
  <c r="J1483" i="5"/>
  <c r="J1484" i="5"/>
  <c r="J1485" i="5"/>
  <c r="J1486" i="5"/>
  <c r="J1487" i="5"/>
  <c r="J1488" i="5"/>
  <c r="J1489" i="5"/>
  <c r="J1490" i="5"/>
  <c r="J1491" i="5"/>
  <c r="J1492" i="5"/>
  <c r="J1493" i="5"/>
  <c r="J1494" i="5"/>
  <c r="J1495" i="5"/>
  <c r="J1496" i="5"/>
  <c r="J1497" i="5"/>
  <c r="J1498" i="5"/>
  <c r="J1499" i="5"/>
  <c r="J1500" i="5"/>
  <c r="J1501" i="5"/>
  <c r="J1502" i="5"/>
  <c r="J1503" i="5"/>
  <c r="I2" i="5"/>
  <c r="I3" i="5"/>
  <c r="I4" i="5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72" i="5"/>
  <c r="I73" i="5"/>
  <c r="I74" i="5"/>
  <c r="I75" i="5"/>
  <c r="I76" i="5"/>
  <c r="I77" i="5"/>
  <c r="I78" i="5"/>
  <c r="I79" i="5"/>
  <c r="I80" i="5"/>
  <c r="I81" i="5"/>
  <c r="I82" i="5"/>
  <c r="I83" i="5"/>
  <c r="I84" i="5"/>
  <c r="I85" i="5"/>
  <c r="I86" i="5"/>
  <c r="I87" i="5"/>
  <c r="I88" i="5"/>
  <c r="I89" i="5"/>
  <c r="I90" i="5"/>
  <c r="I91" i="5"/>
  <c r="I92" i="5"/>
  <c r="I93" i="5"/>
  <c r="I94" i="5"/>
  <c r="I95" i="5"/>
  <c r="I96" i="5"/>
  <c r="I97" i="5"/>
  <c r="I98" i="5"/>
  <c r="I99" i="5"/>
  <c r="I100" i="5"/>
  <c r="I101" i="5"/>
  <c r="I102" i="5"/>
  <c r="I103" i="5"/>
  <c r="I104" i="5"/>
  <c r="I105" i="5"/>
  <c r="I106" i="5"/>
  <c r="I107" i="5"/>
  <c r="I108" i="5"/>
  <c r="I109" i="5"/>
  <c r="I110" i="5"/>
  <c r="I111" i="5"/>
  <c r="I112" i="5"/>
  <c r="I113" i="5"/>
  <c r="I114" i="5"/>
  <c r="I115" i="5"/>
  <c r="I116" i="5"/>
  <c r="I117" i="5"/>
  <c r="I118" i="5"/>
  <c r="I119" i="5"/>
  <c r="I120" i="5"/>
  <c r="I121" i="5"/>
  <c r="I122" i="5"/>
  <c r="I123" i="5"/>
  <c r="I124" i="5"/>
  <c r="I125" i="5"/>
  <c r="I126" i="5"/>
  <c r="I127" i="5"/>
  <c r="I128" i="5"/>
  <c r="I129" i="5"/>
  <c r="I130" i="5"/>
  <c r="I131" i="5"/>
  <c r="I132" i="5"/>
  <c r="I133" i="5"/>
  <c r="I134" i="5"/>
  <c r="I135" i="5"/>
  <c r="I136" i="5"/>
  <c r="I137" i="5"/>
  <c r="I138" i="5"/>
  <c r="I139" i="5"/>
  <c r="I140" i="5"/>
  <c r="I141" i="5"/>
  <c r="I142" i="5"/>
  <c r="I143" i="5"/>
  <c r="I144" i="5"/>
  <c r="I145" i="5"/>
  <c r="I146" i="5"/>
  <c r="I147" i="5"/>
  <c r="I148" i="5"/>
  <c r="I149" i="5"/>
  <c r="I150" i="5"/>
  <c r="I151" i="5"/>
  <c r="I152" i="5"/>
  <c r="I153" i="5"/>
  <c r="I154" i="5"/>
  <c r="I155" i="5"/>
  <c r="I156" i="5"/>
  <c r="I157" i="5"/>
  <c r="I158" i="5"/>
  <c r="I159" i="5"/>
  <c r="I160" i="5"/>
  <c r="I161" i="5"/>
  <c r="I162" i="5"/>
  <c r="I163" i="5"/>
  <c r="I164" i="5"/>
  <c r="I165" i="5"/>
  <c r="I166" i="5"/>
  <c r="I167" i="5"/>
  <c r="I168" i="5"/>
  <c r="I169" i="5"/>
  <c r="I170" i="5"/>
  <c r="I171" i="5"/>
  <c r="I172" i="5"/>
  <c r="I173" i="5"/>
  <c r="I174" i="5"/>
  <c r="I175" i="5"/>
  <c r="I176" i="5"/>
  <c r="I177" i="5"/>
  <c r="I178" i="5"/>
  <c r="I179" i="5"/>
  <c r="I180" i="5"/>
  <c r="I181" i="5"/>
  <c r="I182" i="5"/>
  <c r="I183" i="5"/>
  <c r="I184" i="5"/>
  <c r="I185" i="5"/>
  <c r="I186" i="5"/>
  <c r="I187" i="5"/>
  <c r="I188" i="5"/>
  <c r="I189" i="5"/>
  <c r="I190" i="5"/>
  <c r="I191" i="5"/>
  <c r="I192" i="5"/>
  <c r="I193" i="5"/>
  <c r="I194" i="5"/>
  <c r="I195" i="5"/>
  <c r="I196" i="5"/>
  <c r="I197" i="5"/>
  <c r="I198" i="5"/>
  <c r="I199" i="5"/>
  <c r="I200" i="5"/>
  <c r="I201" i="5"/>
  <c r="I202" i="5"/>
  <c r="I203" i="5"/>
  <c r="I204" i="5"/>
  <c r="I205" i="5"/>
  <c r="I206" i="5"/>
  <c r="I207" i="5"/>
  <c r="I208" i="5"/>
  <c r="I209" i="5"/>
  <c r="I210" i="5"/>
  <c r="I211" i="5"/>
  <c r="I212" i="5"/>
  <c r="I213" i="5"/>
  <c r="I214" i="5"/>
  <c r="I215" i="5"/>
  <c r="I216" i="5"/>
  <c r="I217" i="5"/>
  <c r="I218" i="5"/>
  <c r="I219" i="5"/>
  <c r="I220" i="5"/>
  <c r="I221" i="5"/>
  <c r="I222" i="5"/>
  <c r="I223" i="5"/>
  <c r="I224" i="5"/>
  <c r="I225" i="5"/>
  <c r="I226" i="5"/>
  <c r="I227" i="5"/>
  <c r="I228" i="5"/>
  <c r="I229" i="5"/>
  <c r="I230" i="5"/>
  <c r="I231" i="5"/>
  <c r="I232" i="5"/>
  <c r="I233" i="5"/>
  <c r="I234" i="5"/>
  <c r="I235" i="5"/>
  <c r="I236" i="5"/>
  <c r="I237" i="5"/>
  <c r="I238" i="5"/>
  <c r="I239" i="5"/>
  <c r="I240" i="5"/>
  <c r="I241" i="5"/>
  <c r="I242" i="5"/>
  <c r="I243" i="5"/>
  <c r="I244" i="5"/>
  <c r="I245" i="5"/>
  <c r="I246" i="5"/>
  <c r="I247" i="5"/>
  <c r="I248" i="5"/>
  <c r="I249" i="5"/>
  <c r="I250" i="5"/>
  <c r="I251" i="5"/>
  <c r="I252" i="5"/>
  <c r="I253" i="5"/>
  <c r="I254" i="5"/>
  <c r="I255" i="5"/>
  <c r="I256" i="5"/>
  <c r="I257" i="5"/>
  <c r="I258" i="5"/>
  <c r="I259" i="5"/>
  <c r="I260" i="5"/>
  <c r="I261" i="5"/>
  <c r="I262" i="5"/>
  <c r="I263" i="5"/>
  <c r="I264" i="5"/>
  <c r="I265" i="5"/>
  <c r="I266" i="5"/>
  <c r="I267" i="5"/>
  <c r="I268" i="5"/>
  <c r="I269" i="5"/>
  <c r="I270" i="5"/>
  <c r="I271" i="5"/>
  <c r="I272" i="5"/>
  <c r="I273" i="5"/>
  <c r="I274" i="5"/>
  <c r="I275" i="5"/>
  <c r="I276" i="5"/>
  <c r="I277" i="5"/>
  <c r="I278" i="5"/>
  <c r="I279" i="5"/>
  <c r="I280" i="5"/>
  <c r="I281" i="5"/>
  <c r="I282" i="5"/>
  <c r="I283" i="5"/>
  <c r="I284" i="5"/>
  <c r="I285" i="5"/>
  <c r="I286" i="5"/>
  <c r="I287" i="5"/>
  <c r="I288" i="5"/>
  <c r="I289" i="5"/>
  <c r="I290" i="5"/>
  <c r="I291" i="5"/>
  <c r="I292" i="5"/>
  <c r="I293" i="5"/>
  <c r="I294" i="5"/>
  <c r="I295" i="5"/>
  <c r="I296" i="5"/>
  <c r="I297" i="5"/>
  <c r="I298" i="5"/>
  <c r="I299" i="5"/>
  <c r="I300" i="5"/>
  <c r="I301" i="5"/>
  <c r="I302" i="5"/>
  <c r="I303" i="5"/>
  <c r="I304" i="5"/>
  <c r="I305" i="5"/>
  <c r="I306" i="5"/>
  <c r="I307" i="5"/>
  <c r="I308" i="5"/>
  <c r="I309" i="5"/>
  <c r="I310" i="5"/>
  <c r="I311" i="5"/>
  <c r="I312" i="5"/>
  <c r="I313" i="5"/>
  <c r="I314" i="5"/>
  <c r="I315" i="5"/>
  <c r="I316" i="5"/>
  <c r="I317" i="5"/>
  <c r="I318" i="5"/>
  <c r="I319" i="5"/>
  <c r="I320" i="5"/>
  <c r="I321" i="5"/>
  <c r="I322" i="5"/>
  <c r="I323" i="5"/>
  <c r="I324" i="5"/>
  <c r="I325" i="5"/>
  <c r="I326" i="5"/>
  <c r="I327" i="5"/>
  <c r="I328" i="5"/>
  <c r="I329" i="5"/>
  <c r="I330" i="5"/>
  <c r="I331" i="5"/>
  <c r="I332" i="5"/>
  <c r="I333" i="5"/>
  <c r="I334" i="5"/>
  <c r="I335" i="5"/>
  <c r="I336" i="5"/>
  <c r="I337" i="5"/>
  <c r="I338" i="5"/>
  <c r="I339" i="5"/>
  <c r="I340" i="5"/>
  <c r="I341" i="5"/>
  <c r="I342" i="5"/>
  <c r="I343" i="5"/>
  <c r="I344" i="5"/>
  <c r="I345" i="5"/>
  <c r="I346" i="5"/>
  <c r="I347" i="5"/>
  <c r="I348" i="5"/>
  <c r="I349" i="5"/>
  <c r="I350" i="5"/>
  <c r="I351" i="5"/>
  <c r="I352" i="5"/>
  <c r="I353" i="5"/>
  <c r="I354" i="5"/>
  <c r="I355" i="5"/>
  <c r="I356" i="5"/>
  <c r="I357" i="5"/>
  <c r="I358" i="5"/>
  <c r="I359" i="5"/>
  <c r="I360" i="5"/>
  <c r="I361" i="5"/>
  <c r="I362" i="5"/>
  <c r="I363" i="5"/>
  <c r="I364" i="5"/>
  <c r="I365" i="5"/>
  <c r="I366" i="5"/>
  <c r="I367" i="5"/>
  <c r="I368" i="5"/>
  <c r="I369" i="5"/>
  <c r="I370" i="5"/>
  <c r="I371" i="5"/>
  <c r="I372" i="5"/>
  <c r="I373" i="5"/>
  <c r="I374" i="5"/>
  <c r="I375" i="5"/>
  <c r="I376" i="5"/>
  <c r="I377" i="5"/>
  <c r="I378" i="5"/>
  <c r="I379" i="5"/>
  <c r="I380" i="5"/>
  <c r="I381" i="5"/>
  <c r="I382" i="5"/>
  <c r="I383" i="5"/>
  <c r="I384" i="5"/>
  <c r="I385" i="5"/>
  <c r="I386" i="5"/>
  <c r="I387" i="5"/>
  <c r="I388" i="5"/>
  <c r="I389" i="5"/>
  <c r="I390" i="5"/>
  <c r="I391" i="5"/>
  <c r="I392" i="5"/>
  <c r="I393" i="5"/>
  <c r="I394" i="5"/>
  <c r="I395" i="5"/>
  <c r="I396" i="5"/>
  <c r="I397" i="5"/>
  <c r="I398" i="5"/>
  <c r="I399" i="5"/>
  <c r="I400" i="5"/>
  <c r="I401" i="5"/>
  <c r="I402" i="5"/>
  <c r="I403" i="5"/>
  <c r="I404" i="5"/>
  <c r="I405" i="5"/>
  <c r="I406" i="5"/>
  <c r="I407" i="5"/>
  <c r="I408" i="5"/>
  <c r="I409" i="5"/>
  <c r="I410" i="5"/>
  <c r="I411" i="5"/>
  <c r="I412" i="5"/>
  <c r="I413" i="5"/>
  <c r="I414" i="5"/>
  <c r="I415" i="5"/>
  <c r="I416" i="5"/>
  <c r="I417" i="5"/>
  <c r="I418" i="5"/>
  <c r="I419" i="5"/>
  <c r="I420" i="5"/>
  <c r="I421" i="5"/>
  <c r="I422" i="5"/>
  <c r="I423" i="5"/>
  <c r="I424" i="5"/>
  <c r="I425" i="5"/>
  <c r="I426" i="5"/>
  <c r="I427" i="5"/>
  <c r="I428" i="5"/>
  <c r="I429" i="5"/>
  <c r="I430" i="5"/>
  <c r="I431" i="5"/>
  <c r="I432" i="5"/>
  <c r="I433" i="5"/>
  <c r="I434" i="5"/>
  <c r="I435" i="5"/>
  <c r="I436" i="5"/>
  <c r="I437" i="5"/>
  <c r="I438" i="5"/>
  <c r="I439" i="5"/>
  <c r="I440" i="5"/>
  <c r="I441" i="5"/>
  <c r="I442" i="5"/>
  <c r="I443" i="5"/>
  <c r="I444" i="5"/>
  <c r="I445" i="5"/>
  <c r="I446" i="5"/>
  <c r="I447" i="5"/>
  <c r="I448" i="5"/>
  <c r="I449" i="5"/>
  <c r="I450" i="5"/>
  <c r="I451" i="5"/>
  <c r="I452" i="5"/>
  <c r="I453" i="5"/>
  <c r="I454" i="5"/>
  <c r="I455" i="5"/>
  <c r="I456" i="5"/>
  <c r="I457" i="5"/>
  <c r="I458" i="5"/>
  <c r="I459" i="5"/>
  <c r="I460" i="5"/>
  <c r="I461" i="5"/>
  <c r="I462" i="5"/>
  <c r="I463" i="5"/>
  <c r="I464" i="5"/>
  <c r="I465" i="5"/>
  <c r="I466" i="5"/>
  <c r="I467" i="5"/>
  <c r="I468" i="5"/>
  <c r="I469" i="5"/>
  <c r="I470" i="5"/>
  <c r="I471" i="5"/>
  <c r="I472" i="5"/>
  <c r="I473" i="5"/>
  <c r="I474" i="5"/>
  <c r="I475" i="5"/>
  <c r="I476" i="5"/>
  <c r="I477" i="5"/>
  <c r="I478" i="5"/>
  <c r="I479" i="5"/>
  <c r="I480" i="5"/>
  <c r="I481" i="5"/>
  <c r="I482" i="5"/>
  <c r="I483" i="5"/>
  <c r="I484" i="5"/>
  <c r="I485" i="5"/>
  <c r="I486" i="5"/>
  <c r="I487" i="5"/>
  <c r="I488" i="5"/>
  <c r="I489" i="5"/>
  <c r="I490" i="5"/>
  <c r="I491" i="5"/>
  <c r="I492" i="5"/>
  <c r="I493" i="5"/>
  <c r="I494" i="5"/>
  <c r="I495" i="5"/>
  <c r="I496" i="5"/>
  <c r="I497" i="5"/>
  <c r="I498" i="5"/>
  <c r="I499" i="5"/>
  <c r="I500" i="5"/>
  <c r="I501" i="5"/>
  <c r="I502" i="5"/>
  <c r="I503" i="5"/>
  <c r="I504" i="5"/>
  <c r="I505" i="5"/>
  <c r="I506" i="5"/>
  <c r="I507" i="5"/>
  <c r="I508" i="5"/>
  <c r="I509" i="5"/>
  <c r="I510" i="5"/>
  <c r="I511" i="5"/>
  <c r="I512" i="5"/>
  <c r="I513" i="5"/>
  <c r="I514" i="5"/>
  <c r="I515" i="5"/>
  <c r="I516" i="5"/>
  <c r="I517" i="5"/>
  <c r="I518" i="5"/>
  <c r="I519" i="5"/>
  <c r="I520" i="5"/>
  <c r="I521" i="5"/>
  <c r="I522" i="5"/>
  <c r="I523" i="5"/>
  <c r="I524" i="5"/>
  <c r="I525" i="5"/>
  <c r="I526" i="5"/>
  <c r="I527" i="5"/>
  <c r="I528" i="5"/>
  <c r="I529" i="5"/>
  <c r="I530" i="5"/>
  <c r="I531" i="5"/>
  <c r="I532" i="5"/>
  <c r="I533" i="5"/>
  <c r="I534" i="5"/>
  <c r="I535" i="5"/>
  <c r="I536" i="5"/>
  <c r="I537" i="5"/>
  <c r="I538" i="5"/>
  <c r="I539" i="5"/>
  <c r="I540" i="5"/>
  <c r="I541" i="5"/>
  <c r="I542" i="5"/>
  <c r="I543" i="5"/>
  <c r="I544" i="5"/>
  <c r="I545" i="5"/>
  <c r="I546" i="5"/>
  <c r="I547" i="5"/>
  <c r="I548" i="5"/>
  <c r="I549" i="5"/>
  <c r="I550" i="5"/>
  <c r="I551" i="5"/>
  <c r="I552" i="5"/>
  <c r="I553" i="5"/>
  <c r="I554" i="5"/>
  <c r="I555" i="5"/>
  <c r="I556" i="5"/>
  <c r="I557" i="5"/>
  <c r="I558" i="5"/>
  <c r="I559" i="5"/>
  <c r="I560" i="5"/>
  <c r="I561" i="5"/>
  <c r="I562" i="5"/>
  <c r="I563" i="5"/>
  <c r="I564" i="5"/>
  <c r="I565" i="5"/>
  <c r="I566" i="5"/>
  <c r="I567" i="5"/>
  <c r="I568" i="5"/>
  <c r="I569" i="5"/>
  <c r="I570" i="5"/>
  <c r="I571" i="5"/>
  <c r="I572" i="5"/>
  <c r="I573" i="5"/>
  <c r="I574" i="5"/>
  <c r="I575" i="5"/>
  <c r="I576" i="5"/>
  <c r="I577" i="5"/>
  <c r="I578" i="5"/>
  <c r="I579" i="5"/>
  <c r="I580" i="5"/>
  <c r="I581" i="5"/>
  <c r="I582" i="5"/>
  <c r="I583" i="5"/>
  <c r="I584" i="5"/>
  <c r="I585" i="5"/>
  <c r="I586" i="5"/>
  <c r="I587" i="5"/>
  <c r="I588" i="5"/>
  <c r="I589" i="5"/>
  <c r="I590" i="5"/>
  <c r="I591" i="5"/>
  <c r="I592" i="5"/>
  <c r="I593" i="5"/>
  <c r="I594" i="5"/>
  <c r="I595" i="5"/>
  <c r="I596" i="5"/>
  <c r="I597" i="5"/>
  <c r="I598" i="5"/>
  <c r="I599" i="5"/>
  <c r="I600" i="5"/>
  <c r="I601" i="5"/>
  <c r="I602" i="5"/>
  <c r="I603" i="5"/>
  <c r="I604" i="5"/>
  <c r="I605" i="5"/>
  <c r="I606" i="5"/>
  <c r="I607" i="5"/>
  <c r="I608" i="5"/>
  <c r="I609" i="5"/>
  <c r="I610" i="5"/>
  <c r="I611" i="5"/>
  <c r="I612" i="5"/>
  <c r="I613" i="5"/>
  <c r="I614" i="5"/>
  <c r="I615" i="5"/>
  <c r="I616" i="5"/>
  <c r="I617" i="5"/>
  <c r="I618" i="5"/>
  <c r="I619" i="5"/>
  <c r="I620" i="5"/>
  <c r="I621" i="5"/>
  <c r="I622" i="5"/>
  <c r="I623" i="5"/>
  <c r="I624" i="5"/>
  <c r="I625" i="5"/>
  <c r="I626" i="5"/>
  <c r="I627" i="5"/>
  <c r="I628" i="5"/>
  <c r="I629" i="5"/>
  <c r="I630" i="5"/>
  <c r="I631" i="5"/>
  <c r="I632" i="5"/>
  <c r="I633" i="5"/>
  <c r="I634" i="5"/>
  <c r="I635" i="5"/>
  <c r="I636" i="5"/>
  <c r="I637" i="5"/>
  <c r="I638" i="5"/>
  <c r="I639" i="5"/>
  <c r="I640" i="5"/>
  <c r="I641" i="5"/>
  <c r="I642" i="5"/>
  <c r="I643" i="5"/>
  <c r="I644" i="5"/>
  <c r="I645" i="5"/>
  <c r="I646" i="5"/>
  <c r="I647" i="5"/>
  <c r="I648" i="5"/>
  <c r="I649" i="5"/>
  <c r="I650" i="5"/>
  <c r="I651" i="5"/>
  <c r="I652" i="5"/>
  <c r="I653" i="5"/>
  <c r="I654" i="5"/>
  <c r="I655" i="5"/>
  <c r="I656" i="5"/>
  <c r="I657" i="5"/>
  <c r="I658" i="5"/>
  <c r="I659" i="5"/>
  <c r="I660" i="5"/>
  <c r="I661" i="5"/>
  <c r="I662" i="5"/>
  <c r="I663" i="5"/>
  <c r="I664" i="5"/>
  <c r="I665" i="5"/>
  <c r="I666" i="5"/>
  <c r="I667" i="5"/>
  <c r="I668" i="5"/>
  <c r="I669" i="5"/>
  <c r="I670" i="5"/>
  <c r="I671" i="5"/>
  <c r="I672" i="5"/>
  <c r="I673" i="5"/>
  <c r="I674" i="5"/>
  <c r="I675" i="5"/>
  <c r="I676" i="5"/>
  <c r="I677" i="5"/>
  <c r="I678" i="5"/>
  <c r="I679" i="5"/>
  <c r="I680" i="5"/>
  <c r="I681" i="5"/>
  <c r="I682" i="5"/>
  <c r="I683" i="5"/>
  <c r="I684" i="5"/>
  <c r="I685" i="5"/>
  <c r="I686" i="5"/>
  <c r="I687" i="5"/>
  <c r="I688" i="5"/>
  <c r="I689" i="5"/>
  <c r="I690" i="5"/>
  <c r="I691" i="5"/>
  <c r="I692" i="5"/>
  <c r="I693" i="5"/>
  <c r="I694" i="5"/>
  <c r="I695" i="5"/>
  <c r="I696" i="5"/>
  <c r="I697" i="5"/>
  <c r="I698" i="5"/>
  <c r="I699" i="5"/>
  <c r="I700" i="5"/>
  <c r="I701" i="5"/>
  <c r="I702" i="5"/>
  <c r="I703" i="5"/>
  <c r="I704" i="5"/>
  <c r="I705" i="5"/>
  <c r="I706" i="5"/>
  <c r="I707" i="5"/>
  <c r="I708" i="5"/>
  <c r="I709" i="5"/>
  <c r="I710" i="5"/>
  <c r="I711" i="5"/>
  <c r="I712" i="5"/>
  <c r="I713" i="5"/>
  <c r="I714" i="5"/>
  <c r="I715" i="5"/>
  <c r="I716" i="5"/>
  <c r="I717" i="5"/>
  <c r="I718" i="5"/>
  <c r="I719" i="5"/>
  <c r="I720" i="5"/>
  <c r="I721" i="5"/>
  <c r="I722" i="5"/>
  <c r="I723" i="5"/>
  <c r="I724" i="5"/>
  <c r="I725" i="5"/>
  <c r="I726" i="5"/>
  <c r="I727" i="5"/>
  <c r="I728" i="5"/>
  <c r="I729" i="5"/>
  <c r="I730" i="5"/>
  <c r="I731" i="5"/>
  <c r="I732" i="5"/>
  <c r="I733" i="5"/>
  <c r="I734" i="5"/>
  <c r="I735" i="5"/>
  <c r="I736" i="5"/>
  <c r="I737" i="5"/>
  <c r="I738" i="5"/>
  <c r="I739" i="5"/>
  <c r="I740" i="5"/>
  <c r="I741" i="5"/>
  <c r="I742" i="5"/>
  <c r="I743" i="5"/>
  <c r="I744" i="5"/>
  <c r="I745" i="5"/>
  <c r="I746" i="5"/>
  <c r="I747" i="5"/>
  <c r="I748" i="5"/>
  <c r="I749" i="5"/>
  <c r="I750" i="5"/>
  <c r="I751" i="5"/>
  <c r="I752" i="5"/>
  <c r="I753" i="5"/>
  <c r="I754" i="5"/>
  <c r="I755" i="5"/>
  <c r="I756" i="5"/>
  <c r="I757" i="5"/>
  <c r="I758" i="5"/>
  <c r="I759" i="5"/>
  <c r="I760" i="5"/>
  <c r="I761" i="5"/>
  <c r="I762" i="5"/>
  <c r="I763" i="5"/>
  <c r="I764" i="5"/>
  <c r="I765" i="5"/>
  <c r="I766" i="5"/>
  <c r="I767" i="5"/>
  <c r="I768" i="5"/>
  <c r="I769" i="5"/>
  <c r="I770" i="5"/>
  <c r="I771" i="5"/>
  <c r="I772" i="5"/>
  <c r="I773" i="5"/>
  <c r="I774" i="5"/>
  <c r="I775" i="5"/>
  <c r="I776" i="5"/>
  <c r="I777" i="5"/>
  <c r="I778" i="5"/>
  <c r="I779" i="5"/>
  <c r="I780" i="5"/>
  <c r="I781" i="5"/>
  <c r="I782" i="5"/>
  <c r="I783" i="5"/>
  <c r="I784" i="5"/>
  <c r="I785" i="5"/>
  <c r="I786" i="5"/>
  <c r="I787" i="5"/>
  <c r="I788" i="5"/>
  <c r="I789" i="5"/>
  <c r="I790" i="5"/>
  <c r="I791" i="5"/>
  <c r="I792" i="5"/>
  <c r="I793" i="5"/>
  <c r="I794" i="5"/>
  <c r="I795" i="5"/>
  <c r="I796" i="5"/>
  <c r="I797" i="5"/>
  <c r="I798" i="5"/>
  <c r="I799" i="5"/>
  <c r="I800" i="5"/>
  <c r="I801" i="5"/>
  <c r="I802" i="5"/>
  <c r="I803" i="5"/>
  <c r="I804" i="5"/>
  <c r="I805" i="5"/>
  <c r="I806" i="5"/>
  <c r="I807" i="5"/>
  <c r="I808" i="5"/>
  <c r="I809" i="5"/>
  <c r="I810" i="5"/>
  <c r="I811" i="5"/>
  <c r="I812" i="5"/>
  <c r="I813" i="5"/>
  <c r="I814" i="5"/>
  <c r="I815" i="5"/>
  <c r="I816" i="5"/>
  <c r="I817" i="5"/>
  <c r="I818" i="5"/>
  <c r="I819" i="5"/>
  <c r="I820" i="5"/>
  <c r="I821" i="5"/>
  <c r="I822" i="5"/>
  <c r="I823" i="5"/>
  <c r="I824" i="5"/>
  <c r="I825" i="5"/>
  <c r="I826" i="5"/>
  <c r="I827" i="5"/>
  <c r="I828" i="5"/>
  <c r="I829" i="5"/>
  <c r="I830" i="5"/>
  <c r="I831" i="5"/>
  <c r="I832" i="5"/>
  <c r="I833" i="5"/>
  <c r="I834" i="5"/>
  <c r="I835" i="5"/>
  <c r="I836" i="5"/>
  <c r="I837" i="5"/>
  <c r="I838" i="5"/>
  <c r="I839" i="5"/>
  <c r="I840" i="5"/>
  <c r="I841" i="5"/>
  <c r="I842" i="5"/>
  <c r="I843" i="5"/>
  <c r="I844" i="5"/>
  <c r="I845" i="5"/>
  <c r="I846" i="5"/>
  <c r="I847" i="5"/>
  <c r="I848" i="5"/>
  <c r="I849" i="5"/>
  <c r="I850" i="5"/>
  <c r="I851" i="5"/>
  <c r="I852" i="5"/>
  <c r="I853" i="5"/>
  <c r="I854" i="5"/>
  <c r="I855" i="5"/>
  <c r="I856" i="5"/>
  <c r="I857" i="5"/>
  <c r="I858" i="5"/>
  <c r="I859" i="5"/>
  <c r="I860" i="5"/>
  <c r="I861" i="5"/>
  <c r="I862" i="5"/>
  <c r="I863" i="5"/>
  <c r="I864" i="5"/>
  <c r="I865" i="5"/>
  <c r="I866" i="5"/>
  <c r="I867" i="5"/>
  <c r="I868" i="5"/>
  <c r="I869" i="5"/>
  <c r="I870" i="5"/>
  <c r="I871" i="5"/>
  <c r="I872" i="5"/>
  <c r="I873" i="5"/>
  <c r="I874" i="5"/>
  <c r="I875" i="5"/>
  <c r="I876" i="5"/>
  <c r="I877" i="5"/>
  <c r="I878" i="5"/>
  <c r="I879" i="5"/>
  <c r="I880" i="5"/>
  <c r="I881" i="5"/>
  <c r="I882" i="5"/>
  <c r="I883" i="5"/>
  <c r="I884" i="5"/>
  <c r="I885" i="5"/>
  <c r="I886" i="5"/>
  <c r="I887" i="5"/>
  <c r="I888" i="5"/>
  <c r="I889" i="5"/>
  <c r="I890" i="5"/>
  <c r="I891" i="5"/>
  <c r="I892" i="5"/>
  <c r="I893" i="5"/>
  <c r="I894" i="5"/>
  <c r="I895" i="5"/>
  <c r="I896" i="5"/>
  <c r="I897" i="5"/>
  <c r="I898" i="5"/>
  <c r="I899" i="5"/>
  <c r="I900" i="5"/>
  <c r="I901" i="5"/>
  <c r="I902" i="5"/>
  <c r="I903" i="5"/>
  <c r="I904" i="5"/>
  <c r="I905" i="5"/>
  <c r="I906" i="5"/>
  <c r="I907" i="5"/>
  <c r="I908" i="5"/>
  <c r="I909" i="5"/>
  <c r="I910" i="5"/>
  <c r="I911" i="5"/>
  <c r="I912" i="5"/>
  <c r="I913" i="5"/>
  <c r="I914" i="5"/>
  <c r="I915" i="5"/>
  <c r="I916" i="5"/>
  <c r="I917" i="5"/>
  <c r="I918" i="5"/>
  <c r="I919" i="5"/>
  <c r="I920" i="5"/>
  <c r="I921" i="5"/>
  <c r="I922" i="5"/>
  <c r="I923" i="5"/>
  <c r="I924" i="5"/>
  <c r="I925" i="5"/>
  <c r="I926" i="5"/>
  <c r="I927" i="5"/>
  <c r="I928" i="5"/>
  <c r="I929" i="5"/>
  <c r="I930" i="5"/>
  <c r="I931" i="5"/>
  <c r="I932" i="5"/>
  <c r="I933" i="5"/>
  <c r="I934" i="5"/>
  <c r="I935" i="5"/>
  <c r="I936" i="5"/>
  <c r="I937" i="5"/>
  <c r="I938" i="5"/>
  <c r="I939" i="5"/>
  <c r="I940" i="5"/>
  <c r="I941" i="5"/>
  <c r="I942" i="5"/>
  <c r="I943" i="5"/>
  <c r="I944" i="5"/>
  <c r="I945" i="5"/>
  <c r="I946" i="5"/>
  <c r="I947" i="5"/>
  <c r="I948" i="5"/>
  <c r="I949" i="5"/>
  <c r="I950" i="5"/>
  <c r="I951" i="5"/>
  <c r="I952" i="5"/>
  <c r="I953" i="5"/>
  <c r="I954" i="5"/>
  <c r="I955" i="5"/>
  <c r="I956" i="5"/>
  <c r="I957" i="5"/>
  <c r="I958" i="5"/>
  <c r="I959" i="5"/>
  <c r="I960" i="5"/>
  <c r="I961" i="5"/>
  <c r="I962" i="5"/>
  <c r="I963" i="5"/>
  <c r="I964" i="5"/>
  <c r="I965" i="5"/>
  <c r="I966" i="5"/>
  <c r="I967" i="5"/>
  <c r="I968" i="5"/>
  <c r="I969" i="5"/>
  <c r="I970" i="5"/>
  <c r="I971" i="5"/>
  <c r="I972" i="5"/>
  <c r="I973" i="5"/>
  <c r="I974" i="5"/>
  <c r="I975" i="5"/>
  <c r="I976" i="5"/>
  <c r="I977" i="5"/>
  <c r="I978" i="5"/>
  <c r="I979" i="5"/>
  <c r="I980" i="5"/>
  <c r="I981" i="5"/>
  <c r="I982" i="5"/>
  <c r="I983" i="5"/>
  <c r="I984" i="5"/>
  <c r="I985" i="5"/>
  <c r="I986" i="5"/>
  <c r="I987" i="5"/>
  <c r="I988" i="5"/>
  <c r="I989" i="5"/>
  <c r="I990" i="5"/>
  <c r="I991" i="5"/>
  <c r="I992" i="5"/>
  <c r="I993" i="5"/>
  <c r="I994" i="5"/>
  <c r="I995" i="5"/>
  <c r="I996" i="5"/>
  <c r="I997" i="5"/>
  <c r="I998" i="5"/>
  <c r="I999" i="5"/>
  <c r="I1000" i="5"/>
  <c r="I1001" i="5"/>
  <c r="I1002" i="5"/>
  <c r="I1003" i="5"/>
  <c r="I1004" i="5"/>
  <c r="I1005" i="5"/>
  <c r="I1006" i="5"/>
  <c r="I1007" i="5"/>
  <c r="I1008" i="5"/>
  <c r="I1009" i="5"/>
  <c r="I1010" i="5"/>
  <c r="I1011" i="5"/>
  <c r="I1012" i="5"/>
  <c r="I1013" i="5"/>
  <c r="I1014" i="5"/>
  <c r="I1015" i="5"/>
  <c r="I1016" i="5"/>
  <c r="I1017" i="5"/>
  <c r="I1018" i="5"/>
  <c r="I1019" i="5"/>
  <c r="I1020" i="5"/>
  <c r="I1021" i="5"/>
  <c r="I1022" i="5"/>
  <c r="I1023" i="5"/>
  <c r="I1024" i="5"/>
  <c r="I1025" i="5"/>
  <c r="I1026" i="5"/>
  <c r="I1027" i="5"/>
  <c r="I1028" i="5"/>
  <c r="I1029" i="5"/>
  <c r="I1030" i="5"/>
  <c r="I1031" i="5"/>
  <c r="I1032" i="5"/>
  <c r="I1033" i="5"/>
  <c r="I1034" i="5"/>
  <c r="I1035" i="5"/>
  <c r="I1036" i="5"/>
  <c r="I1037" i="5"/>
  <c r="I1038" i="5"/>
  <c r="I1039" i="5"/>
  <c r="I1040" i="5"/>
  <c r="I1041" i="5"/>
  <c r="I1042" i="5"/>
  <c r="I1043" i="5"/>
  <c r="I1044" i="5"/>
  <c r="I1045" i="5"/>
  <c r="I1046" i="5"/>
  <c r="I1047" i="5"/>
  <c r="I1048" i="5"/>
  <c r="I1049" i="5"/>
  <c r="I1050" i="5"/>
  <c r="I1051" i="5"/>
  <c r="I1052" i="5"/>
  <c r="I1053" i="5"/>
  <c r="I1054" i="5"/>
  <c r="I1055" i="5"/>
  <c r="I1056" i="5"/>
  <c r="I1057" i="5"/>
  <c r="I1058" i="5"/>
  <c r="I1059" i="5"/>
  <c r="I1060" i="5"/>
  <c r="I1061" i="5"/>
  <c r="I1062" i="5"/>
  <c r="I1063" i="5"/>
  <c r="I1064" i="5"/>
  <c r="I1065" i="5"/>
  <c r="I1066" i="5"/>
  <c r="I1067" i="5"/>
  <c r="I1068" i="5"/>
  <c r="I1069" i="5"/>
  <c r="I1070" i="5"/>
  <c r="I1071" i="5"/>
  <c r="I1072" i="5"/>
  <c r="I1073" i="5"/>
  <c r="I1074" i="5"/>
  <c r="I1075" i="5"/>
  <c r="I1076" i="5"/>
  <c r="I1077" i="5"/>
  <c r="I1078" i="5"/>
  <c r="I1079" i="5"/>
  <c r="I1080" i="5"/>
  <c r="I1081" i="5"/>
  <c r="I1082" i="5"/>
  <c r="I1083" i="5"/>
  <c r="I1084" i="5"/>
  <c r="I1085" i="5"/>
  <c r="I1086" i="5"/>
  <c r="I1087" i="5"/>
  <c r="I1088" i="5"/>
  <c r="I1089" i="5"/>
  <c r="I1090" i="5"/>
  <c r="I1091" i="5"/>
  <c r="I1092" i="5"/>
  <c r="I1093" i="5"/>
  <c r="I1094" i="5"/>
  <c r="I1095" i="5"/>
  <c r="I1096" i="5"/>
  <c r="I1097" i="5"/>
  <c r="I1098" i="5"/>
  <c r="I1099" i="5"/>
  <c r="I1100" i="5"/>
  <c r="I1101" i="5"/>
  <c r="I1102" i="5"/>
  <c r="I1103" i="5"/>
  <c r="I1104" i="5"/>
  <c r="I1105" i="5"/>
  <c r="I1106" i="5"/>
  <c r="I1107" i="5"/>
  <c r="I1108" i="5"/>
  <c r="I1109" i="5"/>
  <c r="I1110" i="5"/>
  <c r="I1111" i="5"/>
  <c r="I1112" i="5"/>
  <c r="I1113" i="5"/>
  <c r="I1114" i="5"/>
  <c r="I1115" i="5"/>
  <c r="I1116" i="5"/>
  <c r="I1117" i="5"/>
  <c r="I1118" i="5"/>
  <c r="I1119" i="5"/>
  <c r="I1120" i="5"/>
  <c r="I1121" i="5"/>
  <c r="I1122" i="5"/>
  <c r="I1123" i="5"/>
  <c r="I1124" i="5"/>
  <c r="I1125" i="5"/>
  <c r="I1126" i="5"/>
  <c r="I1127" i="5"/>
  <c r="I1128" i="5"/>
  <c r="I1129" i="5"/>
  <c r="I1130" i="5"/>
  <c r="I1131" i="5"/>
  <c r="I1132" i="5"/>
  <c r="I1133" i="5"/>
  <c r="I1134" i="5"/>
  <c r="I1135" i="5"/>
  <c r="I1136" i="5"/>
  <c r="I1137" i="5"/>
  <c r="I1138" i="5"/>
  <c r="I1139" i="5"/>
  <c r="I1140" i="5"/>
  <c r="I1141" i="5"/>
  <c r="I1142" i="5"/>
  <c r="I1143" i="5"/>
  <c r="I1144" i="5"/>
  <c r="I1145" i="5"/>
  <c r="I1146" i="5"/>
  <c r="I1147" i="5"/>
  <c r="I1148" i="5"/>
  <c r="I1149" i="5"/>
  <c r="I1150" i="5"/>
  <c r="I1151" i="5"/>
  <c r="I1152" i="5"/>
  <c r="I1153" i="5"/>
  <c r="I1154" i="5"/>
  <c r="I1155" i="5"/>
  <c r="I1156" i="5"/>
  <c r="I1157" i="5"/>
  <c r="I1158" i="5"/>
  <c r="I1159" i="5"/>
  <c r="I1160" i="5"/>
  <c r="I1161" i="5"/>
  <c r="I1162" i="5"/>
  <c r="I1163" i="5"/>
  <c r="I1164" i="5"/>
  <c r="I1165" i="5"/>
  <c r="I1166" i="5"/>
  <c r="I1167" i="5"/>
  <c r="I1168" i="5"/>
  <c r="I1169" i="5"/>
  <c r="I1170" i="5"/>
  <c r="I1171" i="5"/>
  <c r="I1172" i="5"/>
  <c r="I1173" i="5"/>
  <c r="I1174" i="5"/>
  <c r="I1175" i="5"/>
  <c r="I1176" i="5"/>
  <c r="I1177" i="5"/>
  <c r="I1178" i="5"/>
  <c r="I1179" i="5"/>
  <c r="I1180" i="5"/>
  <c r="I1181" i="5"/>
  <c r="I1182" i="5"/>
  <c r="I1183" i="5"/>
  <c r="I1184" i="5"/>
  <c r="I1185" i="5"/>
  <c r="I1186" i="5"/>
  <c r="I1187" i="5"/>
  <c r="I1188" i="5"/>
  <c r="I1189" i="5"/>
  <c r="I1190" i="5"/>
  <c r="I1191" i="5"/>
  <c r="I1192" i="5"/>
  <c r="I1193" i="5"/>
  <c r="I1194" i="5"/>
  <c r="I1195" i="5"/>
  <c r="I1196" i="5"/>
  <c r="I1197" i="5"/>
  <c r="I1198" i="5"/>
  <c r="I1199" i="5"/>
  <c r="I1200" i="5"/>
  <c r="I1201" i="5"/>
  <c r="I1202" i="5"/>
  <c r="I1203" i="5"/>
  <c r="I1204" i="5"/>
  <c r="I1205" i="5"/>
  <c r="I1206" i="5"/>
  <c r="I1207" i="5"/>
  <c r="I1208" i="5"/>
  <c r="I1209" i="5"/>
  <c r="I1210" i="5"/>
  <c r="I1211" i="5"/>
  <c r="I1212" i="5"/>
  <c r="I1213" i="5"/>
  <c r="I1214" i="5"/>
  <c r="I1215" i="5"/>
  <c r="I1216" i="5"/>
  <c r="I1217" i="5"/>
  <c r="I1218" i="5"/>
  <c r="I1219" i="5"/>
  <c r="I1220" i="5"/>
  <c r="I1221" i="5"/>
  <c r="I1222" i="5"/>
  <c r="I1223" i="5"/>
  <c r="I1224" i="5"/>
  <c r="I1225" i="5"/>
  <c r="I1226" i="5"/>
  <c r="I1227" i="5"/>
  <c r="I1228" i="5"/>
  <c r="I1229" i="5"/>
  <c r="I1230" i="5"/>
  <c r="I1231" i="5"/>
  <c r="I1232" i="5"/>
  <c r="I1233" i="5"/>
  <c r="I1234" i="5"/>
  <c r="I1235" i="5"/>
  <c r="I1236" i="5"/>
  <c r="I1237" i="5"/>
  <c r="I1238" i="5"/>
  <c r="I1239" i="5"/>
  <c r="I1240" i="5"/>
  <c r="I1241" i="5"/>
  <c r="I1242" i="5"/>
  <c r="I1243" i="5"/>
  <c r="I1244" i="5"/>
  <c r="I1245" i="5"/>
  <c r="I1246" i="5"/>
  <c r="I1247" i="5"/>
  <c r="I1248" i="5"/>
  <c r="I1249" i="5"/>
  <c r="I1250" i="5"/>
  <c r="I1251" i="5"/>
  <c r="I1252" i="5"/>
  <c r="I1253" i="5"/>
  <c r="I1254" i="5"/>
  <c r="I1255" i="5"/>
  <c r="I1256" i="5"/>
  <c r="I1257" i="5"/>
  <c r="I1258" i="5"/>
  <c r="I1259" i="5"/>
  <c r="I1260" i="5"/>
  <c r="I1261" i="5"/>
  <c r="I1262" i="5"/>
  <c r="I1263" i="5"/>
  <c r="I1264" i="5"/>
  <c r="I1265" i="5"/>
  <c r="I1266" i="5"/>
  <c r="I1267" i="5"/>
  <c r="I1268" i="5"/>
  <c r="I1269" i="5"/>
  <c r="I1270" i="5"/>
  <c r="I1271" i="5"/>
  <c r="I1272" i="5"/>
  <c r="I1273" i="5"/>
  <c r="I1274" i="5"/>
  <c r="I1275" i="5"/>
  <c r="I1276" i="5"/>
  <c r="I1277" i="5"/>
  <c r="I1278" i="5"/>
  <c r="I1279" i="5"/>
  <c r="I1280" i="5"/>
  <c r="I1281" i="5"/>
  <c r="I1282" i="5"/>
  <c r="I1283" i="5"/>
  <c r="I1284" i="5"/>
  <c r="I1285" i="5"/>
  <c r="I1286" i="5"/>
  <c r="I1287" i="5"/>
  <c r="I1288" i="5"/>
  <c r="I1289" i="5"/>
  <c r="I1290" i="5"/>
  <c r="I1291" i="5"/>
  <c r="I1292" i="5"/>
  <c r="I1293" i="5"/>
  <c r="I1294" i="5"/>
  <c r="I1295" i="5"/>
  <c r="I1296" i="5"/>
  <c r="I1297" i="5"/>
  <c r="I1298" i="5"/>
  <c r="I1299" i="5"/>
  <c r="I1300" i="5"/>
  <c r="I1301" i="5"/>
  <c r="I1302" i="5"/>
  <c r="I1303" i="5"/>
  <c r="I1304" i="5"/>
  <c r="I1305" i="5"/>
  <c r="I1306" i="5"/>
  <c r="I1307" i="5"/>
  <c r="I1308" i="5"/>
  <c r="I1309" i="5"/>
  <c r="I1310" i="5"/>
  <c r="I1311" i="5"/>
  <c r="I1312" i="5"/>
  <c r="I1313" i="5"/>
  <c r="I1314" i="5"/>
  <c r="I1315" i="5"/>
  <c r="I1316" i="5"/>
  <c r="I1317" i="5"/>
  <c r="I1318" i="5"/>
  <c r="I1319" i="5"/>
  <c r="I1320" i="5"/>
  <c r="I1321" i="5"/>
  <c r="I1322" i="5"/>
  <c r="I1323" i="5"/>
  <c r="I1324" i="5"/>
  <c r="I1325" i="5"/>
  <c r="I1326" i="5"/>
  <c r="I1327" i="5"/>
  <c r="I1328" i="5"/>
  <c r="I1329" i="5"/>
  <c r="I1330" i="5"/>
  <c r="I1331" i="5"/>
  <c r="I1332" i="5"/>
  <c r="I1333" i="5"/>
  <c r="I1334" i="5"/>
  <c r="I1335" i="5"/>
  <c r="I1336" i="5"/>
  <c r="I1337" i="5"/>
  <c r="I1338" i="5"/>
  <c r="I1339" i="5"/>
  <c r="I1340" i="5"/>
  <c r="I1341" i="5"/>
  <c r="I1342" i="5"/>
  <c r="I1343" i="5"/>
  <c r="I1344" i="5"/>
  <c r="I1345" i="5"/>
  <c r="I1346" i="5"/>
  <c r="I1347" i="5"/>
  <c r="I1348" i="5"/>
  <c r="I1349" i="5"/>
  <c r="I1350" i="5"/>
  <c r="I1351" i="5"/>
  <c r="I1352" i="5"/>
  <c r="I1353" i="5"/>
  <c r="I1354" i="5"/>
  <c r="I1355" i="5"/>
  <c r="I1356" i="5"/>
  <c r="I1357" i="5"/>
  <c r="I1358" i="5"/>
  <c r="I1359" i="5"/>
  <c r="I1360" i="5"/>
  <c r="I1361" i="5"/>
  <c r="I1362" i="5"/>
  <c r="I1363" i="5"/>
  <c r="I1364" i="5"/>
  <c r="I1365" i="5"/>
  <c r="I1366" i="5"/>
  <c r="I1367" i="5"/>
  <c r="I1368" i="5"/>
  <c r="I1369" i="5"/>
  <c r="I1370" i="5"/>
  <c r="I1371" i="5"/>
  <c r="I1372" i="5"/>
  <c r="I1373" i="5"/>
  <c r="I1374" i="5"/>
  <c r="I1375" i="5"/>
  <c r="I1376" i="5"/>
  <c r="I1377" i="5"/>
  <c r="I1378" i="5"/>
  <c r="I1379" i="5"/>
  <c r="I1380" i="5"/>
  <c r="I1381" i="5"/>
  <c r="I1382" i="5"/>
  <c r="I1383" i="5"/>
  <c r="I1384" i="5"/>
  <c r="I1385" i="5"/>
  <c r="I1386" i="5"/>
  <c r="I1387" i="5"/>
  <c r="I1388" i="5"/>
  <c r="I1389" i="5"/>
  <c r="I1390" i="5"/>
  <c r="I1391" i="5"/>
  <c r="I1392" i="5"/>
  <c r="I1393" i="5"/>
  <c r="I1394" i="5"/>
  <c r="I1395" i="5"/>
  <c r="I1396" i="5"/>
  <c r="I1397" i="5"/>
  <c r="I1398" i="5"/>
  <c r="I1399" i="5"/>
  <c r="I1400" i="5"/>
  <c r="I1401" i="5"/>
  <c r="I1402" i="5"/>
  <c r="I1403" i="5"/>
  <c r="I1404" i="5"/>
  <c r="I1405" i="5"/>
  <c r="I1406" i="5"/>
  <c r="I1407" i="5"/>
  <c r="I1408" i="5"/>
  <c r="I1409" i="5"/>
  <c r="I1410" i="5"/>
  <c r="I1411" i="5"/>
  <c r="I1412" i="5"/>
  <c r="I1413" i="5"/>
  <c r="I1414" i="5"/>
  <c r="I1415" i="5"/>
  <c r="I1416" i="5"/>
  <c r="I1417" i="5"/>
  <c r="I1418" i="5"/>
  <c r="I1419" i="5"/>
  <c r="I1420" i="5"/>
  <c r="I1421" i="5"/>
  <c r="I1422" i="5"/>
  <c r="I1423" i="5"/>
  <c r="I1424" i="5"/>
  <c r="I1425" i="5"/>
  <c r="I1426" i="5"/>
  <c r="I1427" i="5"/>
  <c r="I1428" i="5"/>
  <c r="I1429" i="5"/>
  <c r="I1430" i="5"/>
  <c r="I1431" i="5"/>
  <c r="I1432" i="5"/>
  <c r="I1433" i="5"/>
  <c r="I1434" i="5"/>
  <c r="I1435" i="5"/>
  <c r="I1436" i="5"/>
  <c r="I1437" i="5"/>
  <c r="I1438" i="5"/>
  <c r="I1439" i="5"/>
  <c r="I1440" i="5"/>
  <c r="I1441" i="5"/>
  <c r="I1442" i="5"/>
  <c r="I1443" i="5"/>
  <c r="I1444" i="5"/>
  <c r="I1445" i="5"/>
  <c r="I1446" i="5"/>
  <c r="I1447" i="5"/>
  <c r="I1448" i="5"/>
  <c r="I1449" i="5"/>
  <c r="I1450" i="5"/>
  <c r="I1451" i="5"/>
  <c r="I1452" i="5"/>
  <c r="I1453" i="5"/>
  <c r="I1454" i="5"/>
  <c r="I1455" i="5"/>
  <c r="I1456" i="5"/>
  <c r="I1457" i="5"/>
  <c r="I1458" i="5"/>
  <c r="I1459" i="5"/>
  <c r="I1460" i="5"/>
  <c r="I1461" i="5"/>
  <c r="I1462" i="5"/>
  <c r="I1463" i="5"/>
  <c r="I1464" i="5"/>
  <c r="I1465" i="5"/>
  <c r="I1466" i="5"/>
  <c r="I1467" i="5"/>
  <c r="I1468" i="5"/>
  <c r="I1469" i="5"/>
  <c r="I1470" i="5"/>
  <c r="I1471" i="5"/>
  <c r="I1472" i="5"/>
  <c r="I1473" i="5"/>
  <c r="I1474" i="5"/>
  <c r="I1475" i="5"/>
  <c r="I1476" i="5"/>
  <c r="I1477" i="5"/>
  <c r="I1478" i="5"/>
  <c r="I1479" i="5"/>
  <c r="I1480" i="5"/>
  <c r="I1481" i="5"/>
  <c r="I1482" i="5"/>
  <c r="I1483" i="5"/>
  <c r="I1484" i="5"/>
  <c r="I1485" i="5"/>
  <c r="I1486" i="5"/>
  <c r="I1487" i="5"/>
  <c r="I1488" i="5"/>
  <c r="I1489" i="5"/>
  <c r="I1490" i="5"/>
  <c r="I1491" i="5"/>
  <c r="I1492" i="5"/>
  <c r="I1493" i="5"/>
  <c r="I1494" i="5"/>
  <c r="I1495" i="5"/>
  <c r="I1496" i="5"/>
  <c r="I1497" i="5"/>
  <c r="I1498" i="5"/>
  <c r="I1499" i="5"/>
  <c r="I1500" i="5"/>
  <c r="I1501" i="5"/>
  <c r="I1502" i="5"/>
  <c r="I1503" i="5"/>
  <c r="E2" i="5"/>
  <c r="E3" i="5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8" i="5"/>
  <c r="E119" i="5"/>
  <c r="E120" i="5"/>
  <c r="E121" i="5"/>
  <c r="E122" i="5"/>
  <c r="E123" i="5"/>
  <c r="E124" i="5"/>
  <c r="E125" i="5"/>
  <c r="E126" i="5"/>
  <c r="E127" i="5"/>
  <c r="E128" i="5"/>
  <c r="E129" i="5"/>
  <c r="E130" i="5"/>
  <c r="E131" i="5"/>
  <c r="E132" i="5"/>
  <c r="E133" i="5"/>
  <c r="E134" i="5"/>
  <c r="E135" i="5"/>
  <c r="E136" i="5"/>
  <c r="E137" i="5"/>
  <c r="E138" i="5"/>
  <c r="E139" i="5"/>
  <c r="E140" i="5"/>
  <c r="E141" i="5"/>
  <c r="E142" i="5"/>
  <c r="E143" i="5"/>
  <c r="E144" i="5"/>
  <c r="E145" i="5"/>
  <c r="E146" i="5"/>
  <c r="E147" i="5"/>
  <c r="E148" i="5"/>
  <c r="E149" i="5"/>
  <c r="E150" i="5"/>
  <c r="E151" i="5"/>
  <c r="E152" i="5"/>
  <c r="E153" i="5"/>
  <c r="E154" i="5"/>
  <c r="E155" i="5"/>
  <c r="E156" i="5"/>
  <c r="E157" i="5"/>
  <c r="E158" i="5"/>
  <c r="E159" i="5"/>
  <c r="E160" i="5"/>
  <c r="E161" i="5"/>
  <c r="E162" i="5"/>
  <c r="E163" i="5"/>
  <c r="E164" i="5"/>
  <c r="E165" i="5"/>
  <c r="E166" i="5"/>
  <c r="E167" i="5"/>
  <c r="E168" i="5"/>
  <c r="E169" i="5"/>
  <c r="E170" i="5"/>
  <c r="E171" i="5"/>
  <c r="E172" i="5"/>
  <c r="E173" i="5"/>
  <c r="E174" i="5"/>
  <c r="E175" i="5"/>
  <c r="E176" i="5"/>
  <c r="E177" i="5"/>
  <c r="E178" i="5"/>
  <c r="E179" i="5"/>
  <c r="E180" i="5"/>
  <c r="E181" i="5"/>
  <c r="E182" i="5"/>
  <c r="E183" i="5"/>
  <c r="E184" i="5"/>
  <c r="E185" i="5"/>
  <c r="E186" i="5"/>
  <c r="E187" i="5"/>
  <c r="E188" i="5"/>
  <c r="E189" i="5"/>
  <c r="E190" i="5"/>
  <c r="E191" i="5"/>
  <c r="E192" i="5"/>
  <c r="E193" i="5"/>
  <c r="E194" i="5"/>
  <c r="E195" i="5"/>
  <c r="E196" i="5"/>
  <c r="E197" i="5"/>
  <c r="E198" i="5"/>
  <c r="E199" i="5"/>
  <c r="E200" i="5"/>
  <c r="E201" i="5"/>
  <c r="E202" i="5"/>
  <c r="E203" i="5"/>
  <c r="E204" i="5"/>
  <c r="E205" i="5"/>
  <c r="E206" i="5"/>
  <c r="E207" i="5"/>
  <c r="E208" i="5"/>
  <c r="E209" i="5"/>
  <c r="E210" i="5"/>
  <c r="E211" i="5"/>
  <c r="E212" i="5"/>
  <c r="E213" i="5"/>
  <c r="E214" i="5"/>
  <c r="E215" i="5"/>
  <c r="E216" i="5"/>
  <c r="E217" i="5"/>
  <c r="E218" i="5"/>
  <c r="E219" i="5"/>
  <c r="E220" i="5"/>
  <c r="E221" i="5"/>
  <c r="E222" i="5"/>
  <c r="E223" i="5"/>
  <c r="E224" i="5"/>
  <c r="E225" i="5"/>
  <c r="E226" i="5"/>
  <c r="E227" i="5"/>
  <c r="E228" i="5"/>
  <c r="E229" i="5"/>
  <c r="E230" i="5"/>
  <c r="E231" i="5"/>
  <c r="E232" i="5"/>
  <c r="E233" i="5"/>
  <c r="E234" i="5"/>
  <c r="E235" i="5"/>
  <c r="E236" i="5"/>
  <c r="E237" i="5"/>
  <c r="E238" i="5"/>
  <c r="E239" i="5"/>
  <c r="E240" i="5"/>
  <c r="E241" i="5"/>
  <c r="E242" i="5"/>
  <c r="E243" i="5"/>
  <c r="E244" i="5"/>
  <c r="E245" i="5"/>
  <c r="E246" i="5"/>
  <c r="E247" i="5"/>
  <c r="E248" i="5"/>
  <c r="E249" i="5"/>
  <c r="E250" i="5"/>
  <c r="E251" i="5"/>
  <c r="E252" i="5"/>
  <c r="E253" i="5"/>
  <c r="E254" i="5"/>
  <c r="E255" i="5"/>
  <c r="E256" i="5"/>
  <c r="E257" i="5"/>
  <c r="E258" i="5"/>
  <c r="E259" i="5"/>
  <c r="E260" i="5"/>
  <c r="E261" i="5"/>
  <c r="E262" i="5"/>
  <c r="E263" i="5"/>
  <c r="E264" i="5"/>
  <c r="E265" i="5"/>
  <c r="E266" i="5"/>
  <c r="E267" i="5"/>
  <c r="E268" i="5"/>
  <c r="E269" i="5"/>
  <c r="E270" i="5"/>
  <c r="E271" i="5"/>
  <c r="E272" i="5"/>
  <c r="E273" i="5"/>
  <c r="E274" i="5"/>
  <c r="E275" i="5"/>
  <c r="E276" i="5"/>
  <c r="E277" i="5"/>
  <c r="E278" i="5"/>
  <c r="E279" i="5"/>
  <c r="E280" i="5"/>
  <c r="E281" i="5"/>
  <c r="E282" i="5"/>
  <c r="E283" i="5"/>
  <c r="E284" i="5"/>
  <c r="E285" i="5"/>
  <c r="E286" i="5"/>
  <c r="E287" i="5"/>
  <c r="E288" i="5"/>
  <c r="E289" i="5"/>
  <c r="E290" i="5"/>
  <c r="E291" i="5"/>
  <c r="E292" i="5"/>
  <c r="E293" i="5"/>
  <c r="E294" i="5"/>
  <c r="E295" i="5"/>
  <c r="E296" i="5"/>
  <c r="E297" i="5"/>
  <c r="E298" i="5"/>
  <c r="E299" i="5"/>
  <c r="E300" i="5"/>
  <c r="E301" i="5"/>
  <c r="E302" i="5"/>
  <c r="E303" i="5"/>
  <c r="E304" i="5"/>
  <c r="E305" i="5"/>
  <c r="E306" i="5"/>
  <c r="E307" i="5"/>
  <c r="E308" i="5"/>
  <c r="E309" i="5"/>
  <c r="E310" i="5"/>
  <c r="E311" i="5"/>
  <c r="E312" i="5"/>
  <c r="E313" i="5"/>
  <c r="E314" i="5"/>
  <c r="E315" i="5"/>
  <c r="E316" i="5"/>
  <c r="E317" i="5"/>
  <c r="E318" i="5"/>
  <c r="E319" i="5"/>
  <c r="E320" i="5"/>
  <c r="E321" i="5"/>
  <c r="E322" i="5"/>
  <c r="E323" i="5"/>
  <c r="E324" i="5"/>
  <c r="E325" i="5"/>
  <c r="E326" i="5"/>
  <c r="E327" i="5"/>
  <c r="E328" i="5"/>
  <c r="E329" i="5"/>
  <c r="E330" i="5"/>
  <c r="E331" i="5"/>
  <c r="E332" i="5"/>
  <c r="E333" i="5"/>
  <c r="E334" i="5"/>
  <c r="E335" i="5"/>
  <c r="E336" i="5"/>
  <c r="E337" i="5"/>
  <c r="E338" i="5"/>
  <c r="E339" i="5"/>
  <c r="E340" i="5"/>
  <c r="E341" i="5"/>
  <c r="E342" i="5"/>
  <c r="E343" i="5"/>
  <c r="E344" i="5"/>
  <c r="E345" i="5"/>
  <c r="E346" i="5"/>
  <c r="E347" i="5"/>
  <c r="E348" i="5"/>
  <c r="E349" i="5"/>
  <c r="E350" i="5"/>
  <c r="E351" i="5"/>
  <c r="E352" i="5"/>
  <c r="E353" i="5"/>
  <c r="E354" i="5"/>
  <c r="E355" i="5"/>
  <c r="E356" i="5"/>
  <c r="E357" i="5"/>
  <c r="E358" i="5"/>
  <c r="E359" i="5"/>
  <c r="E360" i="5"/>
  <c r="E361" i="5"/>
  <c r="E362" i="5"/>
  <c r="E363" i="5"/>
  <c r="E364" i="5"/>
  <c r="E365" i="5"/>
  <c r="E366" i="5"/>
  <c r="E367" i="5"/>
  <c r="E368" i="5"/>
  <c r="E369" i="5"/>
  <c r="E370" i="5"/>
  <c r="E371" i="5"/>
  <c r="E372" i="5"/>
  <c r="E373" i="5"/>
  <c r="E374" i="5"/>
  <c r="E375" i="5"/>
  <c r="E376" i="5"/>
  <c r="E377" i="5"/>
  <c r="E378" i="5"/>
  <c r="E379" i="5"/>
  <c r="E380" i="5"/>
  <c r="E381" i="5"/>
  <c r="E382" i="5"/>
  <c r="E383" i="5"/>
  <c r="E384" i="5"/>
  <c r="E385" i="5"/>
  <c r="E386" i="5"/>
  <c r="E387" i="5"/>
  <c r="E388" i="5"/>
  <c r="E389" i="5"/>
  <c r="E390" i="5"/>
  <c r="E391" i="5"/>
  <c r="E392" i="5"/>
  <c r="E393" i="5"/>
  <c r="E394" i="5"/>
  <c r="E395" i="5"/>
  <c r="E396" i="5"/>
  <c r="E397" i="5"/>
  <c r="E398" i="5"/>
  <c r="E399" i="5"/>
  <c r="E400" i="5"/>
  <c r="E401" i="5"/>
  <c r="E402" i="5"/>
  <c r="E403" i="5"/>
  <c r="E404" i="5"/>
  <c r="E405" i="5"/>
  <c r="E406" i="5"/>
  <c r="E407" i="5"/>
  <c r="E408" i="5"/>
  <c r="E409" i="5"/>
  <c r="E410" i="5"/>
  <c r="E411" i="5"/>
  <c r="E412" i="5"/>
  <c r="E413" i="5"/>
  <c r="E414" i="5"/>
  <c r="E415" i="5"/>
  <c r="E416" i="5"/>
  <c r="E417" i="5"/>
  <c r="E418" i="5"/>
  <c r="E419" i="5"/>
  <c r="E420" i="5"/>
  <c r="E421" i="5"/>
  <c r="E422" i="5"/>
  <c r="E423" i="5"/>
  <c r="E424" i="5"/>
  <c r="E425" i="5"/>
  <c r="E426" i="5"/>
  <c r="E427" i="5"/>
  <c r="E428" i="5"/>
  <c r="E429" i="5"/>
  <c r="E430" i="5"/>
  <c r="E431" i="5"/>
  <c r="E432" i="5"/>
  <c r="E433" i="5"/>
  <c r="E434" i="5"/>
  <c r="E435" i="5"/>
  <c r="E436" i="5"/>
  <c r="E437" i="5"/>
  <c r="E438" i="5"/>
  <c r="E439" i="5"/>
  <c r="E440" i="5"/>
  <c r="E441" i="5"/>
  <c r="E442" i="5"/>
  <c r="E443" i="5"/>
  <c r="E444" i="5"/>
  <c r="E445" i="5"/>
  <c r="E446" i="5"/>
  <c r="E447" i="5"/>
  <c r="E448" i="5"/>
  <c r="E449" i="5"/>
  <c r="E450" i="5"/>
  <c r="E451" i="5"/>
  <c r="E452" i="5"/>
  <c r="E453" i="5"/>
  <c r="E454" i="5"/>
  <c r="E455" i="5"/>
  <c r="E456" i="5"/>
  <c r="E457" i="5"/>
  <c r="E458" i="5"/>
  <c r="E459" i="5"/>
  <c r="E460" i="5"/>
  <c r="E461" i="5"/>
  <c r="E462" i="5"/>
  <c r="E463" i="5"/>
  <c r="E464" i="5"/>
  <c r="E465" i="5"/>
  <c r="E466" i="5"/>
  <c r="E467" i="5"/>
  <c r="E468" i="5"/>
  <c r="E469" i="5"/>
  <c r="E470" i="5"/>
  <c r="E471" i="5"/>
  <c r="E472" i="5"/>
  <c r="E473" i="5"/>
  <c r="E474" i="5"/>
  <c r="E475" i="5"/>
  <c r="E476" i="5"/>
  <c r="E477" i="5"/>
  <c r="E478" i="5"/>
  <c r="E479" i="5"/>
  <c r="E480" i="5"/>
  <c r="E481" i="5"/>
  <c r="E482" i="5"/>
  <c r="E483" i="5"/>
  <c r="E484" i="5"/>
  <c r="E485" i="5"/>
  <c r="E486" i="5"/>
  <c r="E487" i="5"/>
  <c r="E488" i="5"/>
  <c r="E489" i="5"/>
  <c r="E490" i="5"/>
  <c r="E491" i="5"/>
  <c r="E492" i="5"/>
  <c r="E493" i="5"/>
  <c r="E494" i="5"/>
  <c r="E495" i="5"/>
  <c r="E496" i="5"/>
  <c r="E497" i="5"/>
  <c r="E498" i="5"/>
  <c r="E499" i="5"/>
  <c r="E500" i="5"/>
  <c r="E501" i="5"/>
  <c r="E502" i="5"/>
  <c r="E503" i="5"/>
  <c r="E504" i="5"/>
  <c r="E505" i="5"/>
  <c r="E506" i="5"/>
  <c r="E507" i="5"/>
  <c r="E508" i="5"/>
  <c r="E509" i="5"/>
  <c r="E510" i="5"/>
  <c r="E511" i="5"/>
  <c r="E512" i="5"/>
  <c r="E513" i="5"/>
  <c r="E514" i="5"/>
  <c r="E515" i="5"/>
  <c r="E516" i="5"/>
  <c r="E517" i="5"/>
  <c r="E518" i="5"/>
  <c r="E519" i="5"/>
  <c r="E520" i="5"/>
  <c r="E521" i="5"/>
  <c r="E522" i="5"/>
  <c r="E523" i="5"/>
  <c r="E524" i="5"/>
  <c r="E525" i="5"/>
  <c r="E526" i="5"/>
  <c r="E527" i="5"/>
  <c r="E528" i="5"/>
  <c r="E529" i="5"/>
  <c r="E530" i="5"/>
  <c r="E531" i="5"/>
  <c r="E532" i="5"/>
  <c r="E533" i="5"/>
  <c r="E534" i="5"/>
  <c r="E535" i="5"/>
  <c r="E536" i="5"/>
  <c r="E537" i="5"/>
  <c r="E538" i="5"/>
  <c r="E539" i="5"/>
  <c r="E540" i="5"/>
  <c r="E541" i="5"/>
  <c r="E542" i="5"/>
  <c r="E543" i="5"/>
  <c r="E544" i="5"/>
  <c r="E545" i="5"/>
  <c r="E546" i="5"/>
  <c r="E547" i="5"/>
  <c r="E548" i="5"/>
  <c r="E549" i="5"/>
  <c r="E550" i="5"/>
  <c r="E551" i="5"/>
  <c r="E552" i="5"/>
  <c r="E553" i="5"/>
  <c r="E554" i="5"/>
  <c r="E555" i="5"/>
  <c r="E556" i="5"/>
  <c r="E557" i="5"/>
  <c r="E558" i="5"/>
  <c r="E559" i="5"/>
  <c r="E560" i="5"/>
  <c r="E561" i="5"/>
  <c r="E562" i="5"/>
  <c r="E563" i="5"/>
  <c r="E564" i="5"/>
  <c r="E565" i="5"/>
  <c r="E566" i="5"/>
  <c r="E567" i="5"/>
  <c r="E568" i="5"/>
  <c r="E569" i="5"/>
  <c r="E570" i="5"/>
  <c r="E571" i="5"/>
  <c r="E572" i="5"/>
  <c r="E573" i="5"/>
  <c r="E574" i="5"/>
  <c r="E575" i="5"/>
  <c r="E576" i="5"/>
  <c r="E577" i="5"/>
  <c r="E578" i="5"/>
  <c r="E579" i="5"/>
  <c r="E580" i="5"/>
  <c r="E581" i="5"/>
  <c r="E582" i="5"/>
  <c r="E583" i="5"/>
  <c r="E584" i="5"/>
  <c r="E585" i="5"/>
  <c r="E586" i="5"/>
  <c r="E587" i="5"/>
  <c r="E588" i="5"/>
  <c r="E589" i="5"/>
  <c r="E590" i="5"/>
  <c r="E591" i="5"/>
  <c r="E592" i="5"/>
  <c r="E593" i="5"/>
  <c r="E594" i="5"/>
  <c r="E595" i="5"/>
  <c r="E596" i="5"/>
  <c r="E597" i="5"/>
  <c r="E598" i="5"/>
  <c r="E599" i="5"/>
  <c r="E600" i="5"/>
  <c r="E601" i="5"/>
  <c r="E602" i="5"/>
  <c r="E603" i="5"/>
  <c r="E604" i="5"/>
  <c r="E605" i="5"/>
  <c r="E606" i="5"/>
  <c r="E607" i="5"/>
  <c r="E608" i="5"/>
  <c r="E609" i="5"/>
  <c r="E610" i="5"/>
  <c r="E611" i="5"/>
  <c r="E612" i="5"/>
  <c r="E613" i="5"/>
  <c r="E614" i="5"/>
  <c r="E615" i="5"/>
  <c r="E616" i="5"/>
  <c r="E617" i="5"/>
  <c r="E618" i="5"/>
  <c r="E619" i="5"/>
  <c r="E620" i="5"/>
  <c r="E621" i="5"/>
  <c r="E622" i="5"/>
  <c r="E623" i="5"/>
  <c r="E624" i="5"/>
  <c r="E625" i="5"/>
  <c r="E626" i="5"/>
  <c r="E627" i="5"/>
  <c r="E628" i="5"/>
  <c r="E629" i="5"/>
  <c r="E630" i="5"/>
  <c r="E631" i="5"/>
  <c r="E632" i="5"/>
  <c r="E633" i="5"/>
  <c r="E634" i="5"/>
  <c r="E635" i="5"/>
  <c r="E636" i="5"/>
  <c r="E637" i="5"/>
  <c r="E638" i="5"/>
  <c r="E639" i="5"/>
  <c r="E640" i="5"/>
  <c r="E641" i="5"/>
  <c r="E642" i="5"/>
  <c r="E643" i="5"/>
  <c r="E644" i="5"/>
  <c r="E645" i="5"/>
  <c r="E646" i="5"/>
  <c r="E647" i="5"/>
  <c r="E648" i="5"/>
  <c r="E649" i="5"/>
  <c r="E650" i="5"/>
  <c r="E651" i="5"/>
  <c r="E652" i="5"/>
  <c r="E653" i="5"/>
  <c r="E654" i="5"/>
  <c r="E655" i="5"/>
  <c r="E656" i="5"/>
  <c r="E657" i="5"/>
  <c r="E658" i="5"/>
  <c r="E659" i="5"/>
  <c r="E660" i="5"/>
  <c r="E661" i="5"/>
  <c r="E662" i="5"/>
  <c r="E663" i="5"/>
  <c r="E664" i="5"/>
  <c r="E665" i="5"/>
  <c r="E666" i="5"/>
  <c r="E667" i="5"/>
  <c r="E668" i="5"/>
  <c r="E669" i="5"/>
  <c r="E670" i="5"/>
  <c r="E671" i="5"/>
  <c r="E672" i="5"/>
  <c r="E673" i="5"/>
  <c r="E674" i="5"/>
  <c r="E675" i="5"/>
  <c r="E676" i="5"/>
  <c r="E677" i="5"/>
  <c r="E678" i="5"/>
  <c r="E679" i="5"/>
  <c r="E680" i="5"/>
  <c r="E681" i="5"/>
  <c r="E682" i="5"/>
  <c r="E683" i="5"/>
  <c r="E684" i="5"/>
  <c r="E685" i="5"/>
  <c r="E686" i="5"/>
  <c r="E687" i="5"/>
  <c r="E688" i="5"/>
  <c r="E689" i="5"/>
  <c r="E690" i="5"/>
  <c r="E691" i="5"/>
  <c r="E692" i="5"/>
  <c r="E693" i="5"/>
  <c r="E694" i="5"/>
  <c r="E695" i="5"/>
  <c r="E696" i="5"/>
  <c r="E697" i="5"/>
  <c r="E698" i="5"/>
  <c r="E699" i="5"/>
  <c r="E700" i="5"/>
  <c r="E701" i="5"/>
  <c r="E702" i="5"/>
  <c r="E703" i="5"/>
  <c r="E704" i="5"/>
  <c r="E705" i="5"/>
  <c r="E706" i="5"/>
  <c r="E707" i="5"/>
  <c r="E708" i="5"/>
  <c r="E709" i="5"/>
  <c r="E710" i="5"/>
  <c r="E711" i="5"/>
  <c r="E712" i="5"/>
  <c r="E713" i="5"/>
  <c r="E714" i="5"/>
  <c r="E715" i="5"/>
  <c r="E716" i="5"/>
  <c r="E717" i="5"/>
  <c r="E718" i="5"/>
  <c r="E719" i="5"/>
  <c r="E720" i="5"/>
  <c r="E721" i="5"/>
  <c r="E722" i="5"/>
  <c r="E723" i="5"/>
  <c r="E724" i="5"/>
  <c r="E725" i="5"/>
  <c r="E726" i="5"/>
  <c r="E727" i="5"/>
  <c r="E728" i="5"/>
  <c r="E729" i="5"/>
  <c r="E730" i="5"/>
  <c r="E731" i="5"/>
  <c r="E732" i="5"/>
  <c r="E733" i="5"/>
  <c r="E734" i="5"/>
  <c r="E735" i="5"/>
  <c r="E736" i="5"/>
  <c r="E737" i="5"/>
  <c r="E738" i="5"/>
  <c r="E739" i="5"/>
  <c r="E740" i="5"/>
  <c r="E741" i="5"/>
  <c r="E742" i="5"/>
  <c r="E743" i="5"/>
  <c r="E744" i="5"/>
  <c r="E745" i="5"/>
  <c r="E746" i="5"/>
  <c r="E747" i="5"/>
  <c r="E748" i="5"/>
  <c r="E749" i="5"/>
  <c r="E750" i="5"/>
  <c r="E751" i="5"/>
  <c r="E752" i="5"/>
  <c r="E753" i="5"/>
  <c r="E754" i="5"/>
  <c r="E755" i="5"/>
  <c r="E756" i="5"/>
  <c r="E757" i="5"/>
  <c r="E758" i="5"/>
  <c r="E759" i="5"/>
  <c r="E760" i="5"/>
  <c r="E761" i="5"/>
  <c r="E762" i="5"/>
  <c r="E763" i="5"/>
  <c r="E764" i="5"/>
  <c r="E765" i="5"/>
  <c r="E766" i="5"/>
  <c r="E767" i="5"/>
  <c r="E768" i="5"/>
  <c r="E769" i="5"/>
  <c r="E770" i="5"/>
  <c r="E771" i="5"/>
  <c r="E772" i="5"/>
  <c r="E773" i="5"/>
  <c r="E774" i="5"/>
  <c r="E775" i="5"/>
  <c r="E776" i="5"/>
  <c r="E777" i="5"/>
  <c r="E778" i="5"/>
  <c r="E779" i="5"/>
  <c r="E780" i="5"/>
  <c r="E781" i="5"/>
  <c r="E782" i="5"/>
  <c r="E783" i="5"/>
  <c r="E784" i="5"/>
  <c r="E785" i="5"/>
  <c r="E786" i="5"/>
  <c r="E787" i="5"/>
  <c r="E788" i="5"/>
  <c r="E789" i="5"/>
  <c r="E790" i="5"/>
  <c r="E791" i="5"/>
  <c r="E792" i="5"/>
  <c r="E793" i="5"/>
  <c r="E794" i="5"/>
  <c r="E795" i="5"/>
  <c r="E796" i="5"/>
  <c r="E797" i="5"/>
  <c r="E798" i="5"/>
  <c r="E799" i="5"/>
  <c r="E800" i="5"/>
  <c r="E801" i="5"/>
  <c r="E802" i="5"/>
  <c r="E803" i="5"/>
  <c r="E804" i="5"/>
  <c r="E805" i="5"/>
  <c r="E806" i="5"/>
  <c r="E807" i="5"/>
  <c r="E808" i="5"/>
  <c r="E809" i="5"/>
  <c r="E810" i="5"/>
  <c r="E811" i="5"/>
  <c r="E812" i="5"/>
  <c r="E813" i="5"/>
  <c r="E814" i="5"/>
  <c r="E815" i="5"/>
  <c r="E816" i="5"/>
  <c r="E817" i="5"/>
  <c r="E818" i="5"/>
  <c r="E819" i="5"/>
  <c r="E820" i="5"/>
  <c r="E821" i="5"/>
  <c r="E822" i="5"/>
  <c r="E823" i="5"/>
  <c r="E824" i="5"/>
  <c r="E825" i="5"/>
  <c r="E826" i="5"/>
  <c r="E827" i="5"/>
  <c r="E828" i="5"/>
  <c r="E829" i="5"/>
  <c r="E830" i="5"/>
  <c r="E831" i="5"/>
  <c r="E832" i="5"/>
  <c r="E833" i="5"/>
  <c r="E834" i="5"/>
  <c r="E835" i="5"/>
  <c r="E836" i="5"/>
  <c r="E837" i="5"/>
  <c r="E838" i="5"/>
  <c r="E839" i="5"/>
  <c r="E840" i="5"/>
  <c r="E841" i="5"/>
  <c r="E842" i="5"/>
  <c r="E843" i="5"/>
  <c r="E844" i="5"/>
  <c r="E845" i="5"/>
  <c r="E846" i="5"/>
  <c r="E847" i="5"/>
  <c r="E848" i="5"/>
  <c r="E849" i="5"/>
  <c r="E850" i="5"/>
  <c r="E851" i="5"/>
  <c r="E852" i="5"/>
  <c r="E853" i="5"/>
  <c r="E854" i="5"/>
  <c r="E855" i="5"/>
  <c r="E856" i="5"/>
  <c r="E857" i="5"/>
  <c r="E858" i="5"/>
  <c r="E859" i="5"/>
  <c r="E860" i="5"/>
  <c r="E861" i="5"/>
  <c r="E862" i="5"/>
  <c r="E863" i="5"/>
  <c r="E864" i="5"/>
  <c r="E865" i="5"/>
  <c r="E866" i="5"/>
  <c r="E867" i="5"/>
  <c r="E868" i="5"/>
  <c r="E869" i="5"/>
  <c r="E870" i="5"/>
  <c r="E871" i="5"/>
  <c r="E872" i="5"/>
  <c r="E873" i="5"/>
  <c r="E874" i="5"/>
  <c r="E875" i="5"/>
  <c r="E876" i="5"/>
  <c r="E877" i="5"/>
  <c r="E878" i="5"/>
  <c r="E879" i="5"/>
  <c r="E880" i="5"/>
  <c r="E881" i="5"/>
  <c r="E882" i="5"/>
  <c r="E883" i="5"/>
  <c r="E884" i="5"/>
  <c r="E885" i="5"/>
  <c r="E886" i="5"/>
  <c r="E887" i="5"/>
  <c r="E888" i="5"/>
  <c r="E889" i="5"/>
  <c r="E890" i="5"/>
  <c r="E891" i="5"/>
  <c r="E892" i="5"/>
  <c r="E893" i="5"/>
  <c r="E894" i="5"/>
  <c r="E895" i="5"/>
  <c r="E896" i="5"/>
  <c r="E897" i="5"/>
  <c r="E898" i="5"/>
  <c r="E899" i="5"/>
  <c r="E900" i="5"/>
  <c r="E901" i="5"/>
  <c r="E902" i="5"/>
  <c r="E903" i="5"/>
  <c r="E904" i="5"/>
  <c r="E905" i="5"/>
  <c r="E906" i="5"/>
  <c r="E907" i="5"/>
  <c r="E908" i="5"/>
  <c r="E909" i="5"/>
  <c r="E910" i="5"/>
  <c r="E911" i="5"/>
  <c r="E912" i="5"/>
  <c r="E913" i="5"/>
  <c r="E914" i="5"/>
  <c r="E915" i="5"/>
  <c r="E916" i="5"/>
  <c r="E917" i="5"/>
  <c r="E918" i="5"/>
  <c r="E919" i="5"/>
  <c r="E920" i="5"/>
  <c r="E921" i="5"/>
  <c r="E922" i="5"/>
  <c r="E923" i="5"/>
  <c r="E924" i="5"/>
  <c r="E925" i="5"/>
  <c r="E926" i="5"/>
  <c r="E927" i="5"/>
  <c r="E928" i="5"/>
  <c r="E929" i="5"/>
  <c r="E930" i="5"/>
  <c r="E931" i="5"/>
  <c r="E932" i="5"/>
  <c r="E933" i="5"/>
  <c r="E934" i="5"/>
  <c r="E935" i="5"/>
  <c r="E936" i="5"/>
  <c r="E937" i="5"/>
  <c r="E938" i="5"/>
  <c r="E939" i="5"/>
  <c r="E940" i="5"/>
  <c r="E941" i="5"/>
  <c r="E942" i="5"/>
  <c r="E943" i="5"/>
  <c r="E944" i="5"/>
  <c r="E945" i="5"/>
  <c r="E946" i="5"/>
  <c r="E947" i="5"/>
  <c r="E948" i="5"/>
  <c r="E949" i="5"/>
  <c r="E950" i="5"/>
  <c r="E951" i="5"/>
  <c r="E952" i="5"/>
  <c r="E953" i="5"/>
  <c r="E954" i="5"/>
  <c r="E955" i="5"/>
  <c r="E956" i="5"/>
  <c r="E957" i="5"/>
  <c r="E958" i="5"/>
  <c r="E959" i="5"/>
  <c r="E960" i="5"/>
  <c r="E961" i="5"/>
  <c r="E962" i="5"/>
  <c r="E963" i="5"/>
  <c r="E964" i="5"/>
  <c r="E965" i="5"/>
  <c r="E966" i="5"/>
  <c r="E967" i="5"/>
  <c r="E968" i="5"/>
  <c r="E969" i="5"/>
  <c r="E970" i="5"/>
  <c r="E971" i="5"/>
  <c r="E972" i="5"/>
  <c r="E973" i="5"/>
  <c r="E974" i="5"/>
  <c r="E975" i="5"/>
  <c r="E976" i="5"/>
  <c r="E977" i="5"/>
  <c r="E978" i="5"/>
  <c r="E979" i="5"/>
  <c r="E980" i="5"/>
  <c r="E981" i="5"/>
  <c r="E982" i="5"/>
  <c r="E983" i="5"/>
  <c r="E984" i="5"/>
  <c r="E985" i="5"/>
  <c r="E986" i="5"/>
  <c r="E987" i="5"/>
  <c r="E988" i="5"/>
  <c r="E989" i="5"/>
  <c r="E990" i="5"/>
  <c r="E991" i="5"/>
  <c r="E992" i="5"/>
  <c r="E993" i="5"/>
  <c r="E994" i="5"/>
  <c r="E995" i="5"/>
  <c r="E996" i="5"/>
  <c r="E997" i="5"/>
  <c r="E998" i="5"/>
  <c r="E999" i="5"/>
  <c r="E1000" i="5"/>
  <c r="E1001" i="5"/>
  <c r="E1002" i="5"/>
  <c r="E1003" i="5"/>
  <c r="E1004" i="5"/>
  <c r="E1005" i="5"/>
  <c r="E1006" i="5"/>
  <c r="E1007" i="5"/>
  <c r="E1008" i="5"/>
  <c r="E1009" i="5"/>
  <c r="E1010" i="5"/>
  <c r="E1011" i="5"/>
  <c r="E1012" i="5"/>
  <c r="E1013" i="5"/>
  <c r="E1014" i="5"/>
  <c r="E1015" i="5"/>
  <c r="E1016" i="5"/>
  <c r="E1017" i="5"/>
  <c r="E1018" i="5"/>
  <c r="E1019" i="5"/>
  <c r="E1020" i="5"/>
  <c r="E1021" i="5"/>
  <c r="E1022" i="5"/>
  <c r="E1023" i="5"/>
  <c r="E1024" i="5"/>
  <c r="E1025" i="5"/>
  <c r="E1026" i="5"/>
  <c r="E1027" i="5"/>
  <c r="E1028" i="5"/>
  <c r="E1029" i="5"/>
  <c r="E1030" i="5"/>
  <c r="E1031" i="5"/>
  <c r="E1032" i="5"/>
  <c r="E1033" i="5"/>
  <c r="E1034" i="5"/>
  <c r="E1035" i="5"/>
  <c r="E1036" i="5"/>
  <c r="E1037" i="5"/>
  <c r="E1038" i="5"/>
  <c r="E1039" i="5"/>
  <c r="E1040" i="5"/>
  <c r="E1041" i="5"/>
  <c r="E1042" i="5"/>
  <c r="E1043" i="5"/>
  <c r="E1044" i="5"/>
  <c r="E1045" i="5"/>
  <c r="E1046" i="5"/>
  <c r="E1047" i="5"/>
  <c r="E1048" i="5"/>
  <c r="E1049" i="5"/>
  <c r="E1050" i="5"/>
  <c r="E1051" i="5"/>
  <c r="E1052" i="5"/>
  <c r="E1053" i="5"/>
  <c r="E1054" i="5"/>
  <c r="E1055" i="5"/>
  <c r="E1056" i="5"/>
  <c r="E1057" i="5"/>
  <c r="E1058" i="5"/>
  <c r="E1059" i="5"/>
  <c r="E1060" i="5"/>
  <c r="E1061" i="5"/>
  <c r="E1062" i="5"/>
  <c r="E1063" i="5"/>
  <c r="E1064" i="5"/>
  <c r="E1065" i="5"/>
  <c r="E1066" i="5"/>
  <c r="E1067" i="5"/>
  <c r="E1068" i="5"/>
  <c r="E1069" i="5"/>
  <c r="E1070" i="5"/>
  <c r="E1071" i="5"/>
  <c r="E1072" i="5"/>
  <c r="E1073" i="5"/>
  <c r="E1074" i="5"/>
  <c r="E1075" i="5"/>
  <c r="E1076" i="5"/>
  <c r="E1077" i="5"/>
  <c r="E1078" i="5"/>
  <c r="E1079" i="5"/>
  <c r="E1080" i="5"/>
  <c r="E1081" i="5"/>
  <c r="E1082" i="5"/>
  <c r="E1083" i="5"/>
  <c r="E1084" i="5"/>
  <c r="E1085" i="5"/>
  <c r="E1086" i="5"/>
  <c r="E1087" i="5"/>
  <c r="E1088" i="5"/>
  <c r="E1089" i="5"/>
  <c r="E1090" i="5"/>
  <c r="E1091" i="5"/>
  <c r="E1092" i="5"/>
  <c r="E1093" i="5"/>
  <c r="E1094" i="5"/>
  <c r="E1095" i="5"/>
  <c r="E1096" i="5"/>
  <c r="E1097" i="5"/>
  <c r="E1098" i="5"/>
  <c r="E1099" i="5"/>
  <c r="E1100" i="5"/>
  <c r="E1101" i="5"/>
  <c r="E1102" i="5"/>
  <c r="E1103" i="5"/>
  <c r="E1104" i="5"/>
  <c r="E1105" i="5"/>
  <c r="E1106" i="5"/>
  <c r="E1107" i="5"/>
  <c r="E1108" i="5"/>
  <c r="E1109" i="5"/>
  <c r="E1110" i="5"/>
  <c r="E1111" i="5"/>
  <c r="E1112" i="5"/>
  <c r="E1113" i="5"/>
  <c r="E1114" i="5"/>
  <c r="E1115" i="5"/>
  <c r="E1116" i="5"/>
  <c r="E1117" i="5"/>
  <c r="E1118" i="5"/>
  <c r="E1119" i="5"/>
  <c r="E1120" i="5"/>
  <c r="E1121" i="5"/>
  <c r="E1122" i="5"/>
  <c r="E1123" i="5"/>
  <c r="E1124" i="5"/>
  <c r="E1125" i="5"/>
  <c r="E1126" i="5"/>
  <c r="E1127" i="5"/>
  <c r="E1128" i="5"/>
  <c r="E1129" i="5"/>
  <c r="E1130" i="5"/>
  <c r="E1131" i="5"/>
  <c r="E1132" i="5"/>
  <c r="E1133" i="5"/>
  <c r="E1134" i="5"/>
  <c r="E1135" i="5"/>
  <c r="E1136" i="5"/>
  <c r="E1137" i="5"/>
  <c r="E1138" i="5"/>
  <c r="E1139" i="5"/>
  <c r="E1140" i="5"/>
  <c r="E1141" i="5"/>
  <c r="E1142" i="5"/>
  <c r="E1143" i="5"/>
  <c r="E1144" i="5"/>
  <c r="E1145" i="5"/>
  <c r="E1146" i="5"/>
  <c r="E1147" i="5"/>
  <c r="E1148" i="5"/>
  <c r="E1149" i="5"/>
  <c r="E1150" i="5"/>
  <c r="E1151" i="5"/>
  <c r="E1152" i="5"/>
  <c r="E1153" i="5"/>
  <c r="E1154" i="5"/>
  <c r="E1155" i="5"/>
  <c r="E1156" i="5"/>
  <c r="E1157" i="5"/>
  <c r="E1158" i="5"/>
  <c r="E1159" i="5"/>
  <c r="E1160" i="5"/>
  <c r="E1161" i="5"/>
  <c r="E1162" i="5"/>
  <c r="E1163" i="5"/>
  <c r="E1164" i="5"/>
  <c r="E1165" i="5"/>
  <c r="E1166" i="5"/>
  <c r="E1167" i="5"/>
  <c r="E1168" i="5"/>
  <c r="E1169" i="5"/>
  <c r="E1170" i="5"/>
  <c r="E1171" i="5"/>
  <c r="E1172" i="5"/>
  <c r="E1173" i="5"/>
  <c r="E1174" i="5"/>
  <c r="E1175" i="5"/>
  <c r="E1176" i="5"/>
  <c r="E1177" i="5"/>
  <c r="E1178" i="5"/>
  <c r="E1179" i="5"/>
  <c r="E1180" i="5"/>
  <c r="E1181" i="5"/>
  <c r="E1182" i="5"/>
  <c r="E1183" i="5"/>
  <c r="E1184" i="5"/>
  <c r="E1185" i="5"/>
  <c r="E1186" i="5"/>
  <c r="E1187" i="5"/>
  <c r="E1188" i="5"/>
  <c r="E1189" i="5"/>
  <c r="E1190" i="5"/>
  <c r="E1191" i="5"/>
  <c r="E1192" i="5"/>
  <c r="E1193" i="5"/>
  <c r="E1194" i="5"/>
  <c r="E1195" i="5"/>
  <c r="E1196" i="5"/>
  <c r="E1197" i="5"/>
  <c r="E1198" i="5"/>
  <c r="E1199" i="5"/>
  <c r="E1200" i="5"/>
  <c r="E1201" i="5"/>
  <c r="E1202" i="5"/>
  <c r="E1203" i="5"/>
  <c r="E1204" i="5"/>
  <c r="E1205" i="5"/>
  <c r="E1206" i="5"/>
  <c r="E1207" i="5"/>
  <c r="E1208" i="5"/>
  <c r="E1209" i="5"/>
  <c r="E1210" i="5"/>
  <c r="E1211" i="5"/>
  <c r="E1212" i="5"/>
  <c r="E1213" i="5"/>
  <c r="E1214" i="5"/>
  <c r="E1215" i="5"/>
  <c r="E1216" i="5"/>
  <c r="E1217" i="5"/>
  <c r="E1218" i="5"/>
  <c r="E1219" i="5"/>
  <c r="E1220" i="5"/>
  <c r="E1221" i="5"/>
  <c r="E1222" i="5"/>
  <c r="E1223" i="5"/>
  <c r="E1224" i="5"/>
  <c r="E1225" i="5"/>
  <c r="E1226" i="5"/>
  <c r="E1227" i="5"/>
  <c r="E1228" i="5"/>
  <c r="E1229" i="5"/>
  <c r="E1230" i="5"/>
  <c r="E1231" i="5"/>
  <c r="E1232" i="5"/>
  <c r="E1233" i="5"/>
  <c r="E1234" i="5"/>
  <c r="E1235" i="5"/>
  <c r="E1236" i="5"/>
  <c r="E1237" i="5"/>
  <c r="E1238" i="5"/>
  <c r="E1239" i="5"/>
  <c r="E1240" i="5"/>
  <c r="E1241" i="5"/>
  <c r="E1242" i="5"/>
  <c r="E1243" i="5"/>
  <c r="E1244" i="5"/>
  <c r="E1245" i="5"/>
  <c r="E1246" i="5"/>
  <c r="E1247" i="5"/>
  <c r="E1248" i="5"/>
  <c r="E1249" i="5"/>
  <c r="E1250" i="5"/>
  <c r="E1251" i="5"/>
  <c r="E1252" i="5"/>
  <c r="E1253" i="5"/>
  <c r="E1254" i="5"/>
  <c r="E1255" i="5"/>
  <c r="E1256" i="5"/>
  <c r="E1257" i="5"/>
  <c r="E1258" i="5"/>
  <c r="E1259" i="5"/>
  <c r="E1260" i="5"/>
  <c r="E1261" i="5"/>
  <c r="E1262" i="5"/>
  <c r="E1263" i="5"/>
  <c r="E1264" i="5"/>
  <c r="E1265" i="5"/>
  <c r="E1266" i="5"/>
  <c r="E1267" i="5"/>
  <c r="E1268" i="5"/>
  <c r="E1269" i="5"/>
  <c r="E1270" i="5"/>
  <c r="E1271" i="5"/>
  <c r="E1272" i="5"/>
  <c r="E1273" i="5"/>
  <c r="E1274" i="5"/>
  <c r="E1275" i="5"/>
  <c r="E1276" i="5"/>
  <c r="E1277" i="5"/>
  <c r="E1278" i="5"/>
  <c r="E1279" i="5"/>
  <c r="E1280" i="5"/>
  <c r="E1281" i="5"/>
  <c r="E1282" i="5"/>
  <c r="E1283" i="5"/>
  <c r="E1284" i="5"/>
  <c r="E1285" i="5"/>
  <c r="E1286" i="5"/>
  <c r="E1287" i="5"/>
  <c r="E1288" i="5"/>
  <c r="E1289" i="5"/>
  <c r="E1290" i="5"/>
  <c r="E1291" i="5"/>
  <c r="E1292" i="5"/>
  <c r="E1293" i="5"/>
  <c r="E1294" i="5"/>
  <c r="E1295" i="5"/>
  <c r="E1296" i="5"/>
  <c r="E1297" i="5"/>
  <c r="E1298" i="5"/>
  <c r="E1299" i="5"/>
  <c r="E1300" i="5"/>
  <c r="E1301" i="5"/>
  <c r="E1302" i="5"/>
  <c r="E1303" i="5"/>
  <c r="E1304" i="5"/>
  <c r="E1305" i="5"/>
  <c r="E1306" i="5"/>
  <c r="E1307" i="5"/>
  <c r="E1308" i="5"/>
  <c r="E1309" i="5"/>
  <c r="E1310" i="5"/>
  <c r="E1311" i="5"/>
  <c r="E1312" i="5"/>
  <c r="E1313" i="5"/>
  <c r="E1314" i="5"/>
  <c r="E1315" i="5"/>
  <c r="E1316" i="5"/>
  <c r="E1317" i="5"/>
  <c r="E1318" i="5"/>
  <c r="E1319" i="5"/>
  <c r="E1320" i="5"/>
  <c r="E1321" i="5"/>
  <c r="E1322" i="5"/>
  <c r="E1323" i="5"/>
  <c r="E1324" i="5"/>
  <c r="E1325" i="5"/>
  <c r="E1326" i="5"/>
  <c r="E1327" i="5"/>
  <c r="E1328" i="5"/>
  <c r="E1329" i="5"/>
  <c r="E1330" i="5"/>
  <c r="E1331" i="5"/>
  <c r="E1332" i="5"/>
  <c r="E1333" i="5"/>
  <c r="E1334" i="5"/>
  <c r="E1335" i="5"/>
  <c r="E1336" i="5"/>
  <c r="E1337" i="5"/>
  <c r="E1338" i="5"/>
  <c r="E1339" i="5"/>
  <c r="E1340" i="5"/>
  <c r="E1341" i="5"/>
  <c r="E1342" i="5"/>
  <c r="E1343" i="5"/>
  <c r="E1344" i="5"/>
  <c r="E1345" i="5"/>
  <c r="E1346" i="5"/>
  <c r="E1347" i="5"/>
  <c r="E1348" i="5"/>
  <c r="E1349" i="5"/>
  <c r="E1350" i="5"/>
  <c r="E1351" i="5"/>
  <c r="E1352" i="5"/>
  <c r="E1353" i="5"/>
  <c r="E1354" i="5"/>
  <c r="E1355" i="5"/>
  <c r="E1356" i="5"/>
  <c r="E1357" i="5"/>
  <c r="E1358" i="5"/>
  <c r="E1359" i="5"/>
  <c r="E1360" i="5"/>
  <c r="E1361" i="5"/>
  <c r="E1362" i="5"/>
  <c r="E1363" i="5"/>
  <c r="E1364" i="5"/>
  <c r="E1365" i="5"/>
  <c r="E1366" i="5"/>
  <c r="E1367" i="5"/>
  <c r="E1368" i="5"/>
  <c r="E1369" i="5"/>
  <c r="E1370" i="5"/>
  <c r="E1371" i="5"/>
  <c r="E1372" i="5"/>
  <c r="E1373" i="5"/>
  <c r="E1374" i="5"/>
  <c r="E1375" i="5"/>
  <c r="E1376" i="5"/>
  <c r="E1377" i="5"/>
  <c r="E1378" i="5"/>
  <c r="E1379" i="5"/>
  <c r="E1380" i="5"/>
  <c r="E1381" i="5"/>
  <c r="E1382" i="5"/>
  <c r="E1383" i="5"/>
  <c r="E1384" i="5"/>
  <c r="E1385" i="5"/>
  <c r="E1386" i="5"/>
  <c r="E1387" i="5"/>
  <c r="E1388" i="5"/>
  <c r="E1389" i="5"/>
  <c r="E1390" i="5"/>
  <c r="E1391" i="5"/>
  <c r="E1392" i="5"/>
  <c r="E1393" i="5"/>
  <c r="E1394" i="5"/>
  <c r="E1395" i="5"/>
  <c r="E1396" i="5"/>
  <c r="E1397" i="5"/>
  <c r="E1398" i="5"/>
  <c r="E1399" i="5"/>
  <c r="E1400" i="5"/>
  <c r="E1401" i="5"/>
  <c r="E1402" i="5"/>
  <c r="E1403" i="5"/>
  <c r="E1404" i="5"/>
  <c r="E1405" i="5"/>
  <c r="E1406" i="5"/>
  <c r="E1407" i="5"/>
  <c r="E1408" i="5"/>
  <c r="E1409" i="5"/>
  <c r="E1410" i="5"/>
  <c r="E1411" i="5"/>
  <c r="E1412" i="5"/>
  <c r="E1413" i="5"/>
  <c r="E1414" i="5"/>
  <c r="E1415" i="5"/>
  <c r="E1416" i="5"/>
  <c r="E1417" i="5"/>
  <c r="E1418" i="5"/>
  <c r="E1419" i="5"/>
  <c r="E1420" i="5"/>
  <c r="E1421" i="5"/>
  <c r="E1422" i="5"/>
  <c r="E1423" i="5"/>
  <c r="E1424" i="5"/>
  <c r="E1425" i="5"/>
  <c r="E1426" i="5"/>
  <c r="E1427" i="5"/>
  <c r="E1428" i="5"/>
  <c r="E1429" i="5"/>
  <c r="E1430" i="5"/>
  <c r="E1431" i="5"/>
  <c r="E1432" i="5"/>
  <c r="E1433" i="5"/>
  <c r="E1434" i="5"/>
  <c r="E1435" i="5"/>
  <c r="E1436" i="5"/>
  <c r="E1437" i="5"/>
  <c r="E1438" i="5"/>
  <c r="E1439" i="5"/>
  <c r="E1440" i="5"/>
  <c r="E1441" i="5"/>
  <c r="E1442" i="5"/>
  <c r="E1443" i="5"/>
  <c r="E1444" i="5"/>
  <c r="E1445" i="5"/>
  <c r="E1446" i="5"/>
  <c r="E1447" i="5"/>
  <c r="E1448" i="5"/>
  <c r="E1449" i="5"/>
  <c r="E1450" i="5"/>
  <c r="E1451" i="5"/>
  <c r="E1452" i="5"/>
  <c r="E1453" i="5"/>
  <c r="E1454" i="5"/>
  <c r="E1455" i="5"/>
  <c r="E1456" i="5"/>
  <c r="E1457" i="5"/>
  <c r="E1458" i="5"/>
  <c r="E1459" i="5"/>
  <c r="E1460" i="5"/>
  <c r="E1461" i="5"/>
  <c r="E1462" i="5"/>
  <c r="E1463" i="5"/>
  <c r="E1464" i="5"/>
  <c r="E1465" i="5"/>
  <c r="E1466" i="5"/>
  <c r="E1467" i="5"/>
  <c r="E1468" i="5"/>
  <c r="E1469" i="5"/>
  <c r="E1470" i="5"/>
  <c r="E1471" i="5"/>
  <c r="E1472" i="5"/>
  <c r="E1473" i="5"/>
  <c r="E1474" i="5"/>
  <c r="E1475" i="5"/>
  <c r="E1476" i="5"/>
  <c r="E1477" i="5"/>
  <c r="E1478" i="5"/>
  <c r="E1479" i="5"/>
  <c r="E1480" i="5"/>
  <c r="E1481" i="5"/>
  <c r="E1482" i="5"/>
  <c r="E1483" i="5"/>
  <c r="E1484" i="5"/>
  <c r="E1485" i="5"/>
  <c r="E1486" i="5"/>
  <c r="E1487" i="5"/>
  <c r="E1488" i="5"/>
  <c r="E1489" i="5"/>
  <c r="E1490" i="5"/>
  <c r="E1491" i="5"/>
  <c r="E1492" i="5"/>
  <c r="E1493" i="5"/>
  <c r="E1494" i="5"/>
  <c r="E1495" i="5"/>
  <c r="E1496" i="5"/>
  <c r="E1497" i="5"/>
  <c r="E1498" i="5"/>
  <c r="E1499" i="5"/>
  <c r="E1500" i="5"/>
  <c r="E1501" i="5"/>
  <c r="E1502" i="5"/>
  <c r="E1503" i="5"/>
  <c r="C2" i="5"/>
  <c r="C3" i="5"/>
  <c r="C4" i="5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76" i="5"/>
  <c r="C77" i="5"/>
  <c r="C78" i="5"/>
  <c r="C79" i="5"/>
  <c r="C80" i="5"/>
  <c r="C81" i="5"/>
  <c r="C82" i="5"/>
  <c r="C83" i="5"/>
  <c r="C84" i="5"/>
  <c r="C85" i="5"/>
  <c r="C86" i="5"/>
  <c r="C87" i="5"/>
  <c r="C88" i="5"/>
  <c r="C89" i="5"/>
  <c r="C90" i="5"/>
  <c r="C91" i="5"/>
  <c r="C92" i="5"/>
  <c r="C93" i="5"/>
  <c r="C94" i="5"/>
  <c r="C95" i="5"/>
  <c r="C96" i="5"/>
  <c r="C97" i="5"/>
  <c r="C98" i="5"/>
  <c r="C99" i="5"/>
  <c r="C100" i="5"/>
  <c r="C101" i="5"/>
  <c r="C102" i="5"/>
  <c r="C103" i="5"/>
  <c r="C104" i="5"/>
  <c r="C105" i="5"/>
  <c r="C106" i="5"/>
  <c r="C107" i="5"/>
  <c r="C108" i="5"/>
  <c r="C109" i="5"/>
  <c r="C110" i="5"/>
  <c r="C111" i="5"/>
  <c r="C112" i="5"/>
  <c r="C113" i="5"/>
  <c r="C114" i="5"/>
  <c r="C115" i="5"/>
  <c r="C116" i="5"/>
  <c r="C117" i="5"/>
  <c r="C118" i="5"/>
  <c r="C119" i="5"/>
  <c r="C120" i="5"/>
  <c r="C121" i="5"/>
  <c r="C122" i="5"/>
  <c r="C123" i="5"/>
  <c r="C124" i="5"/>
  <c r="C125" i="5"/>
  <c r="C126" i="5"/>
  <c r="C127" i="5"/>
  <c r="C128" i="5"/>
  <c r="C129" i="5"/>
  <c r="C130" i="5"/>
  <c r="C131" i="5"/>
  <c r="C132" i="5"/>
  <c r="C133" i="5"/>
  <c r="C134" i="5"/>
  <c r="C135" i="5"/>
  <c r="C136" i="5"/>
  <c r="C137" i="5"/>
  <c r="C138" i="5"/>
  <c r="C139" i="5"/>
  <c r="C140" i="5"/>
  <c r="C141" i="5"/>
  <c r="C142" i="5"/>
  <c r="C143" i="5"/>
  <c r="C144" i="5"/>
  <c r="C145" i="5"/>
  <c r="C146" i="5"/>
  <c r="C147" i="5"/>
  <c r="C148" i="5"/>
  <c r="C149" i="5"/>
  <c r="C150" i="5"/>
  <c r="C151" i="5"/>
  <c r="C152" i="5"/>
  <c r="C153" i="5"/>
  <c r="C154" i="5"/>
  <c r="C155" i="5"/>
  <c r="C156" i="5"/>
  <c r="C157" i="5"/>
  <c r="C158" i="5"/>
  <c r="C159" i="5"/>
  <c r="C160" i="5"/>
  <c r="C161" i="5"/>
  <c r="C162" i="5"/>
  <c r="C163" i="5"/>
  <c r="C164" i="5"/>
  <c r="C165" i="5"/>
  <c r="C166" i="5"/>
  <c r="C167" i="5"/>
  <c r="C168" i="5"/>
  <c r="C169" i="5"/>
  <c r="C170" i="5"/>
  <c r="C171" i="5"/>
  <c r="C172" i="5"/>
  <c r="C173" i="5"/>
  <c r="C174" i="5"/>
  <c r="C175" i="5"/>
  <c r="C176" i="5"/>
  <c r="C177" i="5"/>
  <c r="C178" i="5"/>
  <c r="C179" i="5"/>
  <c r="C180" i="5"/>
  <c r="C181" i="5"/>
  <c r="C182" i="5"/>
  <c r="C183" i="5"/>
  <c r="C184" i="5"/>
  <c r="C185" i="5"/>
  <c r="C186" i="5"/>
  <c r="C187" i="5"/>
  <c r="C188" i="5"/>
  <c r="C189" i="5"/>
  <c r="C190" i="5"/>
  <c r="C191" i="5"/>
  <c r="C192" i="5"/>
  <c r="C193" i="5"/>
  <c r="C194" i="5"/>
  <c r="C195" i="5"/>
  <c r="C196" i="5"/>
  <c r="C197" i="5"/>
  <c r="C198" i="5"/>
  <c r="C199" i="5"/>
  <c r="C200" i="5"/>
  <c r="C201" i="5"/>
  <c r="C202" i="5"/>
  <c r="C203" i="5"/>
  <c r="C204" i="5"/>
  <c r="C205" i="5"/>
  <c r="C206" i="5"/>
  <c r="C207" i="5"/>
  <c r="C208" i="5"/>
  <c r="C209" i="5"/>
  <c r="C210" i="5"/>
  <c r="C211" i="5"/>
  <c r="C212" i="5"/>
  <c r="C213" i="5"/>
  <c r="C214" i="5"/>
  <c r="C215" i="5"/>
  <c r="C216" i="5"/>
  <c r="C217" i="5"/>
  <c r="C218" i="5"/>
  <c r="C219" i="5"/>
  <c r="C220" i="5"/>
  <c r="C221" i="5"/>
  <c r="C222" i="5"/>
  <c r="C223" i="5"/>
  <c r="C224" i="5"/>
  <c r="C225" i="5"/>
  <c r="C226" i="5"/>
  <c r="C227" i="5"/>
  <c r="C228" i="5"/>
  <c r="C229" i="5"/>
  <c r="C230" i="5"/>
  <c r="C231" i="5"/>
  <c r="C232" i="5"/>
  <c r="C233" i="5"/>
  <c r="C234" i="5"/>
  <c r="C235" i="5"/>
  <c r="C236" i="5"/>
  <c r="C237" i="5"/>
  <c r="C238" i="5"/>
  <c r="C239" i="5"/>
  <c r="C240" i="5"/>
  <c r="C241" i="5"/>
  <c r="C242" i="5"/>
  <c r="C243" i="5"/>
  <c r="C244" i="5"/>
  <c r="C245" i="5"/>
  <c r="C246" i="5"/>
  <c r="C247" i="5"/>
  <c r="C248" i="5"/>
  <c r="C249" i="5"/>
  <c r="C250" i="5"/>
  <c r="C251" i="5"/>
  <c r="C252" i="5"/>
  <c r="C253" i="5"/>
  <c r="C254" i="5"/>
  <c r="C255" i="5"/>
  <c r="C256" i="5"/>
  <c r="C257" i="5"/>
  <c r="C258" i="5"/>
  <c r="C259" i="5"/>
  <c r="C260" i="5"/>
  <c r="C261" i="5"/>
  <c r="C262" i="5"/>
  <c r="C263" i="5"/>
  <c r="C264" i="5"/>
  <c r="C265" i="5"/>
  <c r="C266" i="5"/>
  <c r="C267" i="5"/>
  <c r="C268" i="5"/>
  <c r="C269" i="5"/>
  <c r="C270" i="5"/>
  <c r="C271" i="5"/>
  <c r="C272" i="5"/>
  <c r="C273" i="5"/>
  <c r="C274" i="5"/>
  <c r="C275" i="5"/>
  <c r="C276" i="5"/>
  <c r="C277" i="5"/>
  <c r="C278" i="5"/>
  <c r="C279" i="5"/>
  <c r="C280" i="5"/>
  <c r="C281" i="5"/>
  <c r="C282" i="5"/>
  <c r="C283" i="5"/>
  <c r="C284" i="5"/>
  <c r="C285" i="5"/>
  <c r="C286" i="5"/>
  <c r="C287" i="5"/>
  <c r="C288" i="5"/>
  <c r="C289" i="5"/>
  <c r="C290" i="5"/>
  <c r="C291" i="5"/>
  <c r="C292" i="5"/>
  <c r="C293" i="5"/>
  <c r="C294" i="5"/>
  <c r="C295" i="5"/>
  <c r="C296" i="5"/>
  <c r="C297" i="5"/>
  <c r="C298" i="5"/>
  <c r="C299" i="5"/>
  <c r="C300" i="5"/>
  <c r="C301" i="5"/>
  <c r="C302" i="5"/>
  <c r="C303" i="5"/>
  <c r="C304" i="5"/>
  <c r="C305" i="5"/>
  <c r="C306" i="5"/>
  <c r="C307" i="5"/>
  <c r="C308" i="5"/>
  <c r="C309" i="5"/>
  <c r="C310" i="5"/>
  <c r="C311" i="5"/>
  <c r="C312" i="5"/>
  <c r="C313" i="5"/>
  <c r="C314" i="5"/>
  <c r="C315" i="5"/>
  <c r="C316" i="5"/>
  <c r="C317" i="5"/>
  <c r="C318" i="5"/>
  <c r="C319" i="5"/>
  <c r="C320" i="5"/>
  <c r="C321" i="5"/>
  <c r="C322" i="5"/>
  <c r="C323" i="5"/>
  <c r="C324" i="5"/>
  <c r="C325" i="5"/>
  <c r="C326" i="5"/>
  <c r="C327" i="5"/>
  <c r="C328" i="5"/>
  <c r="C329" i="5"/>
  <c r="C330" i="5"/>
  <c r="C331" i="5"/>
  <c r="C332" i="5"/>
  <c r="C333" i="5"/>
  <c r="C334" i="5"/>
  <c r="C335" i="5"/>
  <c r="C336" i="5"/>
  <c r="C337" i="5"/>
  <c r="C338" i="5"/>
  <c r="C339" i="5"/>
  <c r="C340" i="5"/>
  <c r="C341" i="5"/>
  <c r="C342" i="5"/>
  <c r="C343" i="5"/>
  <c r="C344" i="5"/>
  <c r="C345" i="5"/>
  <c r="C346" i="5"/>
  <c r="C347" i="5"/>
  <c r="C348" i="5"/>
  <c r="C349" i="5"/>
  <c r="C350" i="5"/>
  <c r="C351" i="5"/>
  <c r="C352" i="5"/>
  <c r="C353" i="5"/>
  <c r="C354" i="5"/>
  <c r="C355" i="5"/>
  <c r="C356" i="5"/>
  <c r="C357" i="5"/>
  <c r="C358" i="5"/>
  <c r="C359" i="5"/>
  <c r="C360" i="5"/>
  <c r="C361" i="5"/>
  <c r="C362" i="5"/>
  <c r="C363" i="5"/>
  <c r="C364" i="5"/>
  <c r="C365" i="5"/>
  <c r="C366" i="5"/>
  <c r="C367" i="5"/>
  <c r="C368" i="5"/>
  <c r="C369" i="5"/>
  <c r="C370" i="5"/>
  <c r="C371" i="5"/>
  <c r="C372" i="5"/>
  <c r="C373" i="5"/>
  <c r="C374" i="5"/>
  <c r="C375" i="5"/>
  <c r="C376" i="5"/>
  <c r="C377" i="5"/>
  <c r="C378" i="5"/>
  <c r="C379" i="5"/>
  <c r="C380" i="5"/>
  <c r="C381" i="5"/>
  <c r="C382" i="5"/>
  <c r="C383" i="5"/>
  <c r="C384" i="5"/>
  <c r="C385" i="5"/>
  <c r="C386" i="5"/>
  <c r="C387" i="5"/>
  <c r="C388" i="5"/>
  <c r="C389" i="5"/>
  <c r="C390" i="5"/>
  <c r="C391" i="5"/>
  <c r="C392" i="5"/>
  <c r="C393" i="5"/>
  <c r="C394" i="5"/>
  <c r="C395" i="5"/>
  <c r="C396" i="5"/>
  <c r="C397" i="5"/>
  <c r="C398" i="5"/>
  <c r="C399" i="5"/>
  <c r="C400" i="5"/>
  <c r="C401" i="5"/>
  <c r="C402" i="5"/>
  <c r="C403" i="5"/>
  <c r="C404" i="5"/>
  <c r="C405" i="5"/>
  <c r="C406" i="5"/>
  <c r="C407" i="5"/>
  <c r="C408" i="5"/>
  <c r="C409" i="5"/>
  <c r="C410" i="5"/>
  <c r="C411" i="5"/>
  <c r="C412" i="5"/>
  <c r="C413" i="5"/>
  <c r="C414" i="5"/>
  <c r="C415" i="5"/>
  <c r="C416" i="5"/>
  <c r="C417" i="5"/>
  <c r="C418" i="5"/>
  <c r="C419" i="5"/>
  <c r="C420" i="5"/>
  <c r="C421" i="5"/>
  <c r="C422" i="5"/>
  <c r="C423" i="5"/>
  <c r="C424" i="5"/>
  <c r="C425" i="5"/>
  <c r="C426" i="5"/>
  <c r="C427" i="5"/>
  <c r="C428" i="5"/>
  <c r="C429" i="5"/>
  <c r="C430" i="5"/>
  <c r="C431" i="5"/>
  <c r="C432" i="5"/>
  <c r="C433" i="5"/>
  <c r="C434" i="5"/>
  <c r="C435" i="5"/>
  <c r="C436" i="5"/>
  <c r="C437" i="5"/>
  <c r="C438" i="5"/>
  <c r="C439" i="5"/>
  <c r="C440" i="5"/>
  <c r="C441" i="5"/>
  <c r="C442" i="5"/>
  <c r="C443" i="5"/>
  <c r="C444" i="5"/>
  <c r="C445" i="5"/>
  <c r="C446" i="5"/>
  <c r="C447" i="5"/>
  <c r="C448" i="5"/>
  <c r="C449" i="5"/>
  <c r="C450" i="5"/>
  <c r="C451" i="5"/>
  <c r="C452" i="5"/>
  <c r="C453" i="5"/>
  <c r="C454" i="5"/>
  <c r="C455" i="5"/>
  <c r="C456" i="5"/>
  <c r="C457" i="5"/>
  <c r="C458" i="5"/>
  <c r="C459" i="5"/>
  <c r="C460" i="5"/>
  <c r="C461" i="5"/>
  <c r="C462" i="5"/>
  <c r="C463" i="5"/>
  <c r="C464" i="5"/>
  <c r="C465" i="5"/>
  <c r="C466" i="5"/>
  <c r="C467" i="5"/>
  <c r="C468" i="5"/>
  <c r="C469" i="5"/>
  <c r="C470" i="5"/>
  <c r="C471" i="5"/>
  <c r="C472" i="5"/>
  <c r="C473" i="5"/>
  <c r="C474" i="5"/>
  <c r="C475" i="5"/>
  <c r="C476" i="5"/>
  <c r="C477" i="5"/>
  <c r="C478" i="5"/>
  <c r="C479" i="5"/>
  <c r="C480" i="5"/>
  <c r="C481" i="5"/>
  <c r="C482" i="5"/>
  <c r="C483" i="5"/>
  <c r="C484" i="5"/>
  <c r="C485" i="5"/>
  <c r="C486" i="5"/>
  <c r="C487" i="5"/>
  <c r="C488" i="5"/>
  <c r="C489" i="5"/>
  <c r="C490" i="5"/>
  <c r="C491" i="5"/>
  <c r="C492" i="5"/>
  <c r="C493" i="5"/>
  <c r="C494" i="5"/>
  <c r="C495" i="5"/>
  <c r="C496" i="5"/>
  <c r="C497" i="5"/>
  <c r="C498" i="5"/>
  <c r="C499" i="5"/>
  <c r="C500" i="5"/>
  <c r="C501" i="5"/>
  <c r="C502" i="5"/>
  <c r="C503" i="5"/>
  <c r="C504" i="5"/>
  <c r="C505" i="5"/>
  <c r="C506" i="5"/>
  <c r="C507" i="5"/>
  <c r="C508" i="5"/>
  <c r="C509" i="5"/>
  <c r="C510" i="5"/>
  <c r="C511" i="5"/>
  <c r="C512" i="5"/>
  <c r="C513" i="5"/>
  <c r="C514" i="5"/>
  <c r="C515" i="5"/>
  <c r="C516" i="5"/>
  <c r="C517" i="5"/>
  <c r="C518" i="5"/>
  <c r="C519" i="5"/>
  <c r="C520" i="5"/>
  <c r="C521" i="5"/>
  <c r="C522" i="5"/>
  <c r="C523" i="5"/>
  <c r="C524" i="5"/>
  <c r="C525" i="5"/>
  <c r="C526" i="5"/>
  <c r="C527" i="5"/>
  <c r="C528" i="5"/>
  <c r="C529" i="5"/>
  <c r="C530" i="5"/>
  <c r="C531" i="5"/>
  <c r="C532" i="5"/>
  <c r="C533" i="5"/>
  <c r="C534" i="5"/>
  <c r="C535" i="5"/>
  <c r="C536" i="5"/>
  <c r="C537" i="5"/>
  <c r="C538" i="5"/>
  <c r="C539" i="5"/>
  <c r="C540" i="5"/>
  <c r="C541" i="5"/>
  <c r="C542" i="5"/>
  <c r="C543" i="5"/>
  <c r="C544" i="5"/>
  <c r="C545" i="5"/>
  <c r="C546" i="5"/>
  <c r="C547" i="5"/>
  <c r="C548" i="5"/>
  <c r="C549" i="5"/>
  <c r="C550" i="5"/>
  <c r="C551" i="5"/>
  <c r="C552" i="5"/>
  <c r="C553" i="5"/>
  <c r="C554" i="5"/>
  <c r="C555" i="5"/>
  <c r="C556" i="5"/>
  <c r="C557" i="5"/>
  <c r="C558" i="5"/>
  <c r="C559" i="5"/>
  <c r="C560" i="5"/>
  <c r="C561" i="5"/>
  <c r="C562" i="5"/>
  <c r="C563" i="5"/>
  <c r="C564" i="5"/>
  <c r="C565" i="5"/>
  <c r="C566" i="5"/>
  <c r="C567" i="5"/>
  <c r="C568" i="5"/>
  <c r="C569" i="5"/>
  <c r="C570" i="5"/>
  <c r="C571" i="5"/>
  <c r="C572" i="5"/>
  <c r="C573" i="5"/>
  <c r="C574" i="5"/>
  <c r="C575" i="5"/>
  <c r="C576" i="5"/>
  <c r="C577" i="5"/>
  <c r="C578" i="5"/>
  <c r="C579" i="5"/>
  <c r="C580" i="5"/>
  <c r="C581" i="5"/>
  <c r="C582" i="5"/>
  <c r="C583" i="5"/>
  <c r="C584" i="5"/>
  <c r="C585" i="5"/>
  <c r="C586" i="5"/>
  <c r="C587" i="5"/>
  <c r="C588" i="5"/>
  <c r="C589" i="5"/>
  <c r="C590" i="5"/>
  <c r="C591" i="5"/>
  <c r="C592" i="5"/>
  <c r="C593" i="5"/>
  <c r="C594" i="5"/>
  <c r="C595" i="5"/>
  <c r="C596" i="5"/>
  <c r="C597" i="5"/>
  <c r="C598" i="5"/>
  <c r="C599" i="5"/>
  <c r="C600" i="5"/>
  <c r="C601" i="5"/>
  <c r="C602" i="5"/>
  <c r="C603" i="5"/>
  <c r="C604" i="5"/>
  <c r="C605" i="5"/>
  <c r="C606" i="5"/>
  <c r="C607" i="5"/>
  <c r="C608" i="5"/>
  <c r="C609" i="5"/>
  <c r="C610" i="5"/>
  <c r="C611" i="5"/>
  <c r="C612" i="5"/>
  <c r="C613" i="5"/>
  <c r="C614" i="5"/>
  <c r="C615" i="5"/>
  <c r="C616" i="5"/>
  <c r="C617" i="5"/>
  <c r="C618" i="5"/>
  <c r="C619" i="5"/>
  <c r="C620" i="5"/>
  <c r="C621" i="5"/>
  <c r="C622" i="5"/>
  <c r="C623" i="5"/>
  <c r="C624" i="5"/>
  <c r="C625" i="5"/>
  <c r="C626" i="5"/>
  <c r="C627" i="5"/>
  <c r="C628" i="5"/>
  <c r="C629" i="5"/>
  <c r="C630" i="5"/>
  <c r="C631" i="5"/>
  <c r="C632" i="5"/>
  <c r="C633" i="5"/>
  <c r="C634" i="5"/>
  <c r="C635" i="5"/>
  <c r="C636" i="5"/>
  <c r="C637" i="5"/>
  <c r="C638" i="5"/>
  <c r="C639" i="5"/>
  <c r="C640" i="5"/>
  <c r="C641" i="5"/>
  <c r="C642" i="5"/>
  <c r="C643" i="5"/>
  <c r="C644" i="5"/>
  <c r="C645" i="5"/>
  <c r="C646" i="5"/>
  <c r="C647" i="5"/>
  <c r="C648" i="5"/>
  <c r="C649" i="5"/>
  <c r="C650" i="5"/>
  <c r="C651" i="5"/>
  <c r="C652" i="5"/>
  <c r="C653" i="5"/>
  <c r="C654" i="5"/>
  <c r="C655" i="5"/>
  <c r="C656" i="5"/>
  <c r="C657" i="5"/>
  <c r="C658" i="5"/>
  <c r="C659" i="5"/>
  <c r="C660" i="5"/>
  <c r="C661" i="5"/>
  <c r="C662" i="5"/>
  <c r="C663" i="5"/>
  <c r="C664" i="5"/>
  <c r="C665" i="5"/>
  <c r="C666" i="5"/>
  <c r="C667" i="5"/>
  <c r="C668" i="5"/>
  <c r="C669" i="5"/>
  <c r="C670" i="5"/>
  <c r="C671" i="5"/>
  <c r="C672" i="5"/>
  <c r="C673" i="5"/>
  <c r="C674" i="5"/>
  <c r="C675" i="5"/>
  <c r="C676" i="5"/>
  <c r="C677" i="5"/>
  <c r="C678" i="5"/>
  <c r="C679" i="5"/>
  <c r="C680" i="5"/>
  <c r="C681" i="5"/>
  <c r="C682" i="5"/>
  <c r="C683" i="5"/>
  <c r="C684" i="5"/>
  <c r="C685" i="5"/>
  <c r="C686" i="5"/>
  <c r="C687" i="5"/>
  <c r="C688" i="5"/>
  <c r="C689" i="5"/>
  <c r="C690" i="5"/>
  <c r="C691" i="5"/>
  <c r="C692" i="5"/>
  <c r="C693" i="5"/>
  <c r="C694" i="5"/>
  <c r="C695" i="5"/>
  <c r="C696" i="5"/>
  <c r="C697" i="5"/>
  <c r="C698" i="5"/>
  <c r="C699" i="5"/>
  <c r="C700" i="5"/>
  <c r="C701" i="5"/>
  <c r="C702" i="5"/>
  <c r="C703" i="5"/>
  <c r="C704" i="5"/>
  <c r="C705" i="5"/>
  <c r="C706" i="5"/>
  <c r="C707" i="5"/>
  <c r="C708" i="5"/>
  <c r="C709" i="5"/>
  <c r="C710" i="5"/>
  <c r="C711" i="5"/>
  <c r="C712" i="5"/>
  <c r="C713" i="5"/>
  <c r="C714" i="5"/>
  <c r="C715" i="5"/>
  <c r="C716" i="5"/>
  <c r="C717" i="5"/>
  <c r="C718" i="5"/>
  <c r="C719" i="5"/>
  <c r="C720" i="5"/>
  <c r="C721" i="5"/>
  <c r="C722" i="5"/>
  <c r="C723" i="5"/>
  <c r="C724" i="5"/>
  <c r="C725" i="5"/>
  <c r="C726" i="5"/>
  <c r="C727" i="5"/>
  <c r="C728" i="5"/>
  <c r="C729" i="5"/>
  <c r="C730" i="5"/>
  <c r="C731" i="5"/>
  <c r="C732" i="5"/>
  <c r="C733" i="5"/>
  <c r="C734" i="5"/>
  <c r="C735" i="5"/>
  <c r="C736" i="5"/>
  <c r="C737" i="5"/>
  <c r="C738" i="5"/>
  <c r="C739" i="5"/>
  <c r="C740" i="5"/>
  <c r="C741" i="5"/>
  <c r="C742" i="5"/>
  <c r="C743" i="5"/>
  <c r="C744" i="5"/>
  <c r="C745" i="5"/>
  <c r="C746" i="5"/>
  <c r="C747" i="5"/>
  <c r="C748" i="5"/>
  <c r="C749" i="5"/>
  <c r="C750" i="5"/>
  <c r="C751" i="5"/>
  <c r="C752" i="5"/>
  <c r="C753" i="5"/>
  <c r="C754" i="5"/>
  <c r="C755" i="5"/>
  <c r="C756" i="5"/>
  <c r="C757" i="5"/>
  <c r="C758" i="5"/>
  <c r="C759" i="5"/>
  <c r="C760" i="5"/>
  <c r="C761" i="5"/>
  <c r="C762" i="5"/>
  <c r="C763" i="5"/>
  <c r="C764" i="5"/>
  <c r="C765" i="5"/>
  <c r="C766" i="5"/>
  <c r="C767" i="5"/>
  <c r="C768" i="5"/>
  <c r="C769" i="5"/>
  <c r="C770" i="5"/>
  <c r="C771" i="5"/>
  <c r="C772" i="5"/>
  <c r="C773" i="5"/>
  <c r="C774" i="5"/>
  <c r="C775" i="5"/>
  <c r="C776" i="5"/>
  <c r="C777" i="5"/>
  <c r="C778" i="5"/>
  <c r="C779" i="5"/>
  <c r="C780" i="5"/>
  <c r="C781" i="5"/>
  <c r="C782" i="5"/>
  <c r="C783" i="5"/>
  <c r="C784" i="5"/>
  <c r="C785" i="5"/>
  <c r="C786" i="5"/>
  <c r="C787" i="5"/>
  <c r="C788" i="5"/>
  <c r="C789" i="5"/>
  <c r="C790" i="5"/>
  <c r="C791" i="5"/>
  <c r="C792" i="5"/>
  <c r="C793" i="5"/>
  <c r="C794" i="5"/>
  <c r="C795" i="5"/>
  <c r="C796" i="5"/>
  <c r="C797" i="5"/>
  <c r="C798" i="5"/>
  <c r="C799" i="5"/>
  <c r="C800" i="5"/>
  <c r="C801" i="5"/>
  <c r="C802" i="5"/>
  <c r="C803" i="5"/>
  <c r="C804" i="5"/>
  <c r="C805" i="5"/>
  <c r="C806" i="5"/>
  <c r="C807" i="5"/>
  <c r="C808" i="5"/>
  <c r="C809" i="5"/>
  <c r="C810" i="5"/>
  <c r="C811" i="5"/>
  <c r="C812" i="5"/>
  <c r="C813" i="5"/>
  <c r="C814" i="5"/>
  <c r="C815" i="5"/>
  <c r="C816" i="5"/>
  <c r="C817" i="5"/>
  <c r="C818" i="5"/>
  <c r="C819" i="5"/>
  <c r="C820" i="5"/>
  <c r="C821" i="5"/>
  <c r="C822" i="5"/>
  <c r="C823" i="5"/>
  <c r="C824" i="5"/>
  <c r="C825" i="5"/>
  <c r="C826" i="5"/>
  <c r="C827" i="5"/>
  <c r="C828" i="5"/>
  <c r="C829" i="5"/>
  <c r="C830" i="5"/>
  <c r="C831" i="5"/>
  <c r="C832" i="5"/>
  <c r="C833" i="5"/>
  <c r="C834" i="5"/>
  <c r="C835" i="5"/>
  <c r="C836" i="5"/>
  <c r="C837" i="5"/>
  <c r="C838" i="5"/>
  <c r="C839" i="5"/>
  <c r="C840" i="5"/>
  <c r="C841" i="5"/>
  <c r="C842" i="5"/>
  <c r="C843" i="5"/>
  <c r="C844" i="5"/>
  <c r="C845" i="5"/>
  <c r="C846" i="5"/>
  <c r="C847" i="5"/>
  <c r="C848" i="5"/>
  <c r="C849" i="5"/>
  <c r="C850" i="5"/>
  <c r="C851" i="5"/>
  <c r="C852" i="5"/>
  <c r="C853" i="5"/>
  <c r="C854" i="5"/>
  <c r="C855" i="5"/>
  <c r="C856" i="5"/>
  <c r="C857" i="5"/>
  <c r="C858" i="5"/>
  <c r="C859" i="5"/>
  <c r="C860" i="5"/>
  <c r="C861" i="5"/>
  <c r="C862" i="5"/>
  <c r="C863" i="5"/>
  <c r="C864" i="5"/>
  <c r="C865" i="5"/>
  <c r="C866" i="5"/>
  <c r="C867" i="5"/>
  <c r="C868" i="5"/>
  <c r="C869" i="5"/>
  <c r="C870" i="5"/>
  <c r="C871" i="5"/>
  <c r="C872" i="5"/>
  <c r="C873" i="5"/>
  <c r="C874" i="5"/>
  <c r="C875" i="5"/>
  <c r="C876" i="5"/>
  <c r="C877" i="5"/>
  <c r="C878" i="5"/>
  <c r="C879" i="5"/>
  <c r="C880" i="5"/>
  <c r="C881" i="5"/>
  <c r="C882" i="5"/>
  <c r="C883" i="5"/>
  <c r="C884" i="5"/>
  <c r="C885" i="5"/>
  <c r="C886" i="5"/>
  <c r="C887" i="5"/>
  <c r="C888" i="5"/>
  <c r="C889" i="5"/>
  <c r="C890" i="5"/>
  <c r="C891" i="5"/>
  <c r="C892" i="5"/>
  <c r="C893" i="5"/>
  <c r="C894" i="5"/>
  <c r="C895" i="5"/>
  <c r="C896" i="5"/>
  <c r="C897" i="5"/>
  <c r="C898" i="5"/>
  <c r="C899" i="5"/>
  <c r="C900" i="5"/>
  <c r="C901" i="5"/>
  <c r="C902" i="5"/>
  <c r="C903" i="5"/>
  <c r="C904" i="5"/>
  <c r="C905" i="5"/>
  <c r="C906" i="5"/>
  <c r="C907" i="5"/>
  <c r="C908" i="5"/>
  <c r="C909" i="5"/>
  <c r="C910" i="5"/>
  <c r="C911" i="5"/>
  <c r="C912" i="5"/>
  <c r="C913" i="5"/>
  <c r="C914" i="5"/>
  <c r="C915" i="5"/>
  <c r="C916" i="5"/>
  <c r="C917" i="5"/>
  <c r="C918" i="5"/>
  <c r="C919" i="5"/>
  <c r="C920" i="5"/>
  <c r="C921" i="5"/>
  <c r="C922" i="5"/>
  <c r="C923" i="5"/>
  <c r="C924" i="5"/>
  <c r="C925" i="5"/>
  <c r="C926" i="5"/>
  <c r="C927" i="5"/>
  <c r="C928" i="5"/>
  <c r="C929" i="5"/>
  <c r="C930" i="5"/>
  <c r="C931" i="5"/>
  <c r="C932" i="5"/>
  <c r="C933" i="5"/>
  <c r="C934" i="5"/>
  <c r="C935" i="5"/>
  <c r="C936" i="5"/>
  <c r="C937" i="5"/>
  <c r="C938" i="5"/>
  <c r="C939" i="5"/>
  <c r="C940" i="5"/>
  <c r="C941" i="5"/>
  <c r="C942" i="5"/>
  <c r="C943" i="5"/>
  <c r="C944" i="5"/>
  <c r="C945" i="5"/>
  <c r="C946" i="5"/>
  <c r="C947" i="5"/>
  <c r="C948" i="5"/>
  <c r="C949" i="5"/>
  <c r="C950" i="5"/>
  <c r="C951" i="5"/>
  <c r="C952" i="5"/>
  <c r="C953" i="5"/>
  <c r="C954" i="5"/>
  <c r="C955" i="5"/>
  <c r="C956" i="5"/>
  <c r="C957" i="5"/>
  <c r="C958" i="5"/>
  <c r="C959" i="5"/>
  <c r="C960" i="5"/>
  <c r="C961" i="5"/>
  <c r="C962" i="5"/>
  <c r="C963" i="5"/>
  <c r="C964" i="5"/>
  <c r="C965" i="5"/>
  <c r="C966" i="5"/>
  <c r="C967" i="5"/>
  <c r="C968" i="5"/>
  <c r="C969" i="5"/>
  <c r="C970" i="5"/>
  <c r="C971" i="5"/>
  <c r="C972" i="5"/>
  <c r="C973" i="5"/>
  <c r="C974" i="5"/>
  <c r="C975" i="5"/>
  <c r="C976" i="5"/>
  <c r="C977" i="5"/>
  <c r="C978" i="5"/>
  <c r="C979" i="5"/>
  <c r="C980" i="5"/>
  <c r="C981" i="5"/>
  <c r="C982" i="5"/>
  <c r="C983" i="5"/>
  <c r="C984" i="5"/>
  <c r="C985" i="5"/>
  <c r="C986" i="5"/>
  <c r="C987" i="5"/>
  <c r="C988" i="5"/>
  <c r="C989" i="5"/>
  <c r="C990" i="5"/>
  <c r="C991" i="5"/>
  <c r="C992" i="5"/>
  <c r="C993" i="5"/>
  <c r="C994" i="5"/>
  <c r="C995" i="5"/>
  <c r="C996" i="5"/>
  <c r="C997" i="5"/>
  <c r="C998" i="5"/>
  <c r="C999" i="5"/>
  <c r="C1000" i="5"/>
  <c r="C1001" i="5"/>
  <c r="C1002" i="5"/>
  <c r="C1003" i="5"/>
  <c r="C1004" i="5"/>
  <c r="C1005" i="5"/>
  <c r="C1006" i="5"/>
  <c r="C1007" i="5"/>
  <c r="C1008" i="5"/>
  <c r="C1009" i="5"/>
  <c r="C1010" i="5"/>
  <c r="C1011" i="5"/>
  <c r="C1012" i="5"/>
  <c r="C1013" i="5"/>
  <c r="C1014" i="5"/>
  <c r="C1015" i="5"/>
  <c r="C1016" i="5"/>
  <c r="C1017" i="5"/>
  <c r="C1018" i="5"/>
  <c r="C1019" i="5"/>
  <c r="C1020" i="5"/>
  <c r="C1021" i="5"/>
  <c r="C1022" i="5"/>
  <c r="C1023" i="5"/>
  <c r="C1024" i="5"/>
  <c r="C1025" i="5"/>
  <c r="C1026" i="5"/>
  <c r="C1027" i="5"/>
  <c r="C1028" i="5"/>
  <c r="C1029" i="5"/>
  <c r="C1030" i="5"/>
  <c r="C1031" i="5"/>
  <c r="C1032" i="5"/>
  <c r="C1033" i="5"/>
  <c r="C1034" i="5"/>
  <c r="C1035" i="5"/>
  <c r="C1036" i="5"/>
  <c r="C1037" i="5"/>
  <c r="C1038" i="5"/>
  <c r="C1039" i="5"/>
  <c r="C1040" i="5"/>
  <c r="C1041" i="5"/>
  <c r="C1042" i="5"/>
  <c r="C1043" i="5"/>
  <c r="C1044" i="5"/>
  <c r="C1045" i="5"/>
  <c r="C1046" i="5"/>
  <c r="C1047" i="5"/>
  <c r="C1048" i="5"/>
  <c r="C1049" i="5"/>
  <c r="C1050" i="5"/>
  <c r="C1051" i="5"/>
  <c r="C1052" i="5"/>
  <c r="C1053" i="5"/>
  <c r="C1054" i="5"/>
  <c r="C1055" i="5"/>
  <c r="C1056" i="5"/>
  <c r="C1057" i="5"/>
  <c r="C1058" i="5"/>
  <c r="C1059" i="5"/>
  <c r="C1060" i="5"/>
  <c r="C1061" i="5"/>
  <c r="C1062" i="5"/>
  <c r="C1063" i="5"/>
  <c r="C1064" i="5"/>
  <c r="C1065" i="5"/>
  <c r="C1066" i="5"/>
  <c r="C1067" i="5"/>
  <c r="C1068" i="5"/>
  <c r="C1069" i="5"/>
  <c r="C1070" i="5"/>
  <c r="C1071" i="5"/>
  <c r="C1072" i="5"/>
  <c r="C1073" i="5"/>
  <c r="C1074" i="5"/>
  <c r="C1075" i="5"/>
  <c r="C1076" i="5"/>
  <c r="C1077" i="5"/>
  <c r="C1078" i="5"/>
  <c r="C1079" i="5"/>
  <c r="C1080" i="5"/>
  <c r="C1081" i="5"/>
  <c r="C1082" i="5"/>
  <c r="C1083" i="5"/>
  <c r="C1084" i="5"/>
  <c r="C1085" i="5"/>
  <c r="C1086" i="5"/>
  <c r="C1087" i="5"/>
  <c r="C1088" i="5"/>
  <c r="C1089" i="5"/>
  <c r="C1090" i="5"/>
  <c r="C1091" i="5"/>
  <c r="C1092" i="5"/>
  <c r="C1093" i="5"/>
  <c r="C1094" i="5"/>
  <c r="C1095" i="5"/>
  <c r="C1096" i="5"/>
  <c r="C1097" i="5"/>
  <c r="C1098" i="5"/>
  <c r="C1099" i="5"/>
  <c r="C1100" i="5"/>
  <c r="C1101" i="5"/>
  <c r="C1102" i="5"/>
  <c r="C1103" i="5"/>
  <c r="C1104" i="5"/>
  <c r="C1105" i="5"/>
  <c r="C1106" i="5"/>
  <c r="C1107" i="5"/>
  <c r="C1108" i="5"/>
  <c r="C1109" i="5"/>
  <c r="C1110" i="5"/>
  <c r="C1111" i="5"/>
  <c r="C1112" i="5"/>
  <c r="C1113" i="5"/>
  <c r="C1114" i="5"/>
  <c r="C1115" i="5"/>
  <c r="C1116" i="5"/>
  <c r="C1117" i="5"/>
  <c r="C1118" i="5"/>
  <c r="C1119" i="5"/>
  <c r="C1120" i="5"/>
  <c r="C1121" i="5"/>
  <c r="C1122" i="5"/>
  <c r="C1123" i="5"/>
  <c r="C1124" i="5"/>
  <c r="C1125" i="5"/>
  <c r="C1126" i="5"/>
  <c r="C1127" i="5"/>
  <c r="C1128" i="5"/>
  <c r="C1129" i="5"/>
  <c r="C1130" i="5"/>
  <c r="C1131" i="5"/>
  <c r="C1132" i="5"/>
  <c r="C1133" i="5"/>
  <c r="C1134" i="5"/>
  <c r="C1135" i="5"/>
  <c r="C1136" i="5"/>
  <c r="C1137" i="5"/>
  <c r="C1138" i="5"/>
  <c r="C1139" i="5"/>
  <c r="C1140" i="5"/>
  <c r="C1141" i="5"/>
  <c r="C1142" i="5"/>
  <c r="C1143" i="5"/>
  <c r="C1144" i="5"/>
  <c r="C1145" i="5"/>
  <c r="C1146" i="5"/>
  <c r="C1147" i="5"/>
  <c r="C1148" i="5"/>
  <c r="C1149" i="5"/>
  <c r="C1150" i="5"/>
  <c r="C1151" i="5"/>
  <c r="C1152" i="5"/>
  <c r="C1153" i="5"/>
  <c r="C1154" i="5"/>
  <c r="C1155" i="5"/>
  <c r="C1156" i="5"/>
  <c r="C1157" i="5"/>
  <c r="C1158" i="5"/>
  <c r="C1159" i="5"/>
  <c r="C1160" i="5"/>
  <c r="C1161" i="5"/>
  <c r="C1162" i="5"/>
  <c r="C1163" i="5"/>
  <c r="C1164" i="5"/>
  <c r="C1165" i="5"/>
  <c r="C1166" i="5"/>
  <c r="C1167" i="5"/>
  <c r="C1168" i="5"/>
  <c r="C1169" i="5"/>
  <c r="C1170" i="5"/>
  <c r="C1171" i="5"/>
  <c r="C1172" i="5"/>
  <c r="C1173" i="5"/>
  <c r="C1174" i="5"/>
  <c r="C1175" i="5"/>
  <c r="C1176" i="5"/>
  <c r="C1177" i="5"/>
  <c r="C1178" i="5"/>
  <c r="C1179" i="5"/>
  <c r="C1180" i="5"/>
  <c r="C1181" i="5"/>
  <c r="C1182" i="5"/>
  <c r="C1183" i="5"/>
  <c r="C1184" i="5"/>
  <c r="C1185" i="5"/>
  <c r="C1186" i="5"/>
  <c r="C1187" i="5"/>
  <c r="C1188" i="5"/>
  <c r="C1189" i="5"/>
  <c r="C1190" i="5"/>
  <c r="C1191" i="5"/>
  <c r="C1192" i="5"/>
  <c r="C1193" i="5"/>
  <c r="C1194" i="5"/>
  <c r="C1195" i="5"/>
  <c r="C1196" i="5"/>
  <c r="C1197" i="5"/>
  <c r="C1198" i="5"/>
  <c r="C1199" i="5"/>
  <c r="C1200" i="5"/>
  <c r="C1201" i="5"/>
  <c r="C1202" i="5"/>
  <c r="C1203" i="5"/>
  <c r="C1204" i="5"/>
  <c r="C1205" i="5"/>
  <c r="C1206" i="5"/>
  <c r="C1207" i="5"/>
  <c r="C1208" i="5"/>
  <c r="C1209" i="5"/>
  <c r="C1210" i="5"/>
  <c r="C1211" i="5"/>
  <c r="C1212" i="5"/>
  <c r="C1213" i="5"/>
  <c r="C1214" i="5"/>
  <c r="C1215" i="5"/>
  <c r="C1216" i="5"/>
  <c r="C1217" i="5"/>
  <c r="C1218" i="5"/>
  <c r="C1219" i="5"/>
  <c r="C1220" i="5"/>
  <c r="C1221" i="5"/>
  <c r="C1222" i="5"/>
  <c r="C1223" i="5"/>
  <c r="C1224" i="5"/>
  <c r="C1225" i="5"/>
  <c r="C1226" i="5"/>
  <c r="C1227" i="5"/>
  <c r="C1228" i="5"/>
  <c r="C1229" i="5"/>
  <c r="C1230" i="5"/>
  <c r="C1231" i="5"/>
  <c r="C1232" i="5"/>
  <c r="C1233" i="5"/>
  <c r="C1234" i="5"/>
  <c r="C1235" i="5"/>
  <c r="C1236" i="5"/>
  <c r="C1237" i="5"/>
  <c r="C1238" i="5"/>
  <c r="C1239" i="5"/>
  <c r="C1240" i="5"/>
  <c r="C1241" i="5"/>
  <c r="C1242" i="5"/>
  <c r="C1243" i="5"/>
  <c r="C1244" i="5"/>
  <c r="C1245" i="5"/>
  <c r="C1246" i="5"/>
  <c r="C1247" i="5"/>
  <c r="C1248" i="5"/>
  <c r="C1249" i="5"/>
  <c r="C1250" i="5"/>
  <c r="C1251" i="5"/>
  <c r="C1252" i="5"/>
  <c r="C1253" i="5"/>
  <c r="C1254" i="5"/>
  <c r="C1255" i="5"/>
  <c r="C1256" i="5"/>
  <c r="C1257" i="5"/>
  <c r="C1258" i="5"/>
  <c r="C1259" i="5"/>
  <c r="C1260" i="5"/>
  <c r="C1261" i="5"/>
  <c r="C1262" i="5"/>
  <c r="C1263" i="5"/>
  <c r="C1264" i="5"/>
  <c r="C1265" i="5"/>
  <c r="C1266" i="5"/>
  <c r="C1267" i="5"/>
  <c r="C1268" i="5"/>
  <c r="C1269" i="5"/>
  <c r="C1270" i="5"/>
  <c r="C1271" i="5"/>
  <c r="C1272" i="5"/>
  <c r="C1273" i="5"/>
  <c r="C1274" i="5"/>
  <c r="C1275" i="5"/>
  <c r="C1276" i="5"/>
  <c r="C1277" i="5"/>
  <c r="C1278" i="5"/>
  <c r="C1279" i="5"/>
  <c r="C1280" i="5"/>
  <c r="C1281" i="5"/>
  <c r="C1282" i="5"/>
  <c r="C1283" i="5"/>
  <c r="C1284" i="5"/>
  <c r="C1285" i="5"/>
  <c r="C1286" i="5"/>
  <c r="C1287" i="5"/>
  <c r="C1288" i="5"/>
  <c r="C1289" i="5"/>
  <c r="C1290" i="5"/>
  <c r="C1291" i="5"/>
  <c r="C1292" i="5"/>
  <c r="C1293" i="5"/>
  <c r="C1294" i="5"/>
  <c r="C1295" i="5"/>
  <c r="C1296" i="5"/>
  <c r="C1297" i="5"/>
  <c r="C1298" i="5"/>
  <c r="C1299" i="5"/>
  <c r="C1300" i="5"/>
  <c r="C1301" i="5"/>
  <c r="C1302" i="5"/>
  <c r="C1303" i="5"/>
  <c r="C1304" i="5"/>
  <c r="C1305" i="5"/>
  <c r="C1306" i="5"/>
  <c r="C1307" i="5"/>
  <c r="C1308" i="5"/>
  <c r="C1309" i="5"/>
  <c r="C1310" i="5"/>
  <c r="C1311" i="5"/>
  <c r="C1312" i="5"/>
  <c r="C1313" i="5"/>
  <c r="C1314" i="5"/>
  <c r="C1315" i="5"/>
  <c r="C1316" i="5"/>
  <c r="C1317" i="5"/>
  <c r="C1318" i="5"/>
  <c r="C1319" i="5"/>
  <c r="C1320" i="5"/>
  <c r="C1321" i="5"/>
  <c r="C1322" i="5"/>
  <c r="C1323" i="5"/>
  <c r="C1324" i="5"/>
  <c r="C1325" i="5"/>
  <c r="C1326" i="5"/>
  <c r="C1327" i="5"/>
  <c r="C1328" i="5"/>
  <c r="C1329" i="5"/>
  <c r="C1330" i="5"/>
  <c r="C1331" i="5"/>
  <c r="C1332" i="5"/>
  <c r="C1333" i="5"/>
  <c r="C1334" i="5"/>
  <c r="C1335" i="5"/>
  <c r="C1336" i="5"/>
  <c r="C1337" i="5"/>
  <c r="C1338" i="5"/>
  <c r="C1339" i="5"/>
  <c r="C1340" i="5"/>
  <c r="C1341" i="5"/>
  <c r="C1342" i="5"/>
  <c r="C1343" i="5"/>
  <c r="C1344" i="5"/>
  <c r="C1345" i="5"/>
  <c r="C1346" i="5"/>
  <c r="C1347" i="5"/>
  <c r="C1348" i="5"/>
  <c r="C1349" i="5"/>
  <c r="C1350" i="5"/>
  <c r="C1351" i="5"/>
  <c r="C1352" i="5"/>
  <c r="C1353" i="5"/>
  <c r="C1354" i="5"/>
  <c r="C1355" i="5"/>
  <c r="C1356" i="5"/>
  <c r="C1357" i="5"/>
  <c r="C1358" i="5"/>
  <c r="C1359" i="5"/>
  <c r="C1360" i="5"/>
  <c r="C1361" i="5"/>
  <c r="C1362" i="5"/>
  <c r="C1363" i="5"/>
  <c r="C1364" i="5"/>
  <c r="C1365" i="5"/>
  <c r="C1366" i="5"/>
  <c r="C1367" i="5"/>
  <c r="C1368" i="5"/>
  <c r="C1369" i="5"/>
  <c r="C1370" i="5"/>
  <c r="C1371" i="5"/>
  <c r="C1372" i="5"/>
  <c r="C1373" i="5"/>
  <c r="C1374" i="5"/>
  <c r="C1375" i="5"/>
  <c r="C1376" i="5"/>
  <c r="C1377" i="5"/>
  <c r="C1378" i="5"/>
  <c r="C1379" i="5"/>
  <c r="C1380" i="5"/>
  <c r="C1381" i="5"/>
  <c r="C1382" i="5"/>
  <c r="C1383" i="5"/>
  <c r="C1384" i="5"/>
  <c r="C1385" i="5"/>
  <c r="C1386" i="5"/>
  <c r="C1387" i="5"/>
  <c r="C1388" i="5"/>
  <c r="C1389" i="5"/>
  <c r="C1390" i="5"/>
  <c r="C1391" i="5"/>
  <c r="C1392" i="5"/>
  <c r="C1393" i="5"/>
  <c r="C1394" i="5"/>
  <c r="C1395" i="5"/>
  <c r="C1396" i="5"/>
  <c r="C1397" i="5"/>
  <c r="C1398" i="5"/>
  <c r="C1399" i="5"/>
  <c r="C1400" i="5"/>
  <c r="C1401" i="5"/>
  <c r="C1402" i="5"/>
  <c r="C1403" i="5"/>
  <c r="C1404" i="5"/>
  <c r="C1405" i="5"/>
  <c r="C1406" i="5"/>
  <c r="C1407" i="5"/>
  <c r="C1408" i="5"/>
  <c r="C1409" i="5"/>
  <c r="C1410" i="5"/>
  <c r="C1411" i="5"/>
  <c r="C1412" i="5"/>
  <c r="C1413" i="5"/>
  <c r="C1414" i="5"/>
  <c r="C1415" i="5"/>
  <c r="C1416" i="5"/>
  <c r="C1417" i="5"/>
  <c r="C1418" i="5"/>
  <c r="C1419" i="5"/>
  <c r="C1420" i="5"/>
  <c r="C1421" i="5"/>
  <c r="C1422" i="5"/>
  <c r="C1423" i="5"/>
  <c r="C1424" i="5"/>
  <c r="C1425" i="5"/>
  <c r="C1426" i="5"/>
  <c r="C1427" i="5"/>
  <c r="C1428" i="5"/>
  <c r="C1429" i="5"/>
  <c r="C1430" i="5"/>
  <c r="C1431" i="5"/>
  <c r="C1432" i="5"/>
  <c r="C1433" i="5"/>
  <c r="C1434" i="5"/>
  <c r="C1435" i="5"/>
  <c r="C1436" i="5"/>
  <c r="C1437" i="5"/>
  <c r="C1438" i="5"/>
  <c r="C1439" i="5"/>
  <c r="C1440" i="5"/>
  <c r="C1441" i="5"/>
  <c r="C1442" i="5"/>
  <c r="C1443" i="5"/>
  <c r="C1444" i="5"/>
  <c r="C1445" i="5"/>
  <c r="C1446" i="5"/>
  <c r="C1447" i="5"/>
  <c r="C1448" i="5"/>
  <c r="C1449" i="5"/>
  <c r="C1450" i="5"/>
  <c r="C1451" i="5"/>
  <c r="C1452" i="5"/>
  <c r="C1453" i="5"/>
  <c r="C1454" i="5"/>
  <c r="C1455" i="5"/>
  <c r="C1456" i="5"/>
  <c r="C1457" i="5"/>
  <c r="C1458" i="5"/>
  <c r="C1459" i="5"/>
  <c r="C1460" i="5"/>
  <c r="C1461" i="5"/>
  <c r="C1462" i="5"/>
  <c r="C1463" i="5"/>
  <c r="C1464" i="5"/>
  <c r="C1465" i="5"/>
  <c r="C1466" i="5"/>
  <c r="C1467" i="5"/>
  <c r="C1468" i="5"/>
  <c r="C1469" i="5"/>
  <c r="C1470" i="5"/>
  <c r="C1471" i="5"/>
  <c r="C1472" i="5"/>
  <c r="C1473" i="5"/>
  <c r="C1474" i="5"/>
  <c r="C1475" i="5"/>
  <c r="C1476" i="5"/>
  <c r="C1477" i="5"/>
  <c r="C1478" i="5"/>
  <c r="C1479" i="5"/>
  <c r="C1480" i="5"/>
  <c r="C1481" i="5"/>
  <c r="C1482" i="5"/>
  <c r="C1483" i="5"/>
  <c r="C1484" i="5"/>
  <c r="C1485" i="5"/>
  <c r="C1486" i="5"/>
  <c r="C1487" i="5"/>
  <c r="C1488" i="5"/>
  <c r="C1489" i="5"/>
  <c r="C1490" i="5"/>
  <c r="C1491" i="5"/>
  <c r="C1492" i="5"/>
  <c r="C1493" i="5"/>
  <c r="C1494" i="5"/>
  <c r="C1495" i="5"/>
  <c r="C1496" i="5"/>
  <c r="C1497" i="5"/>
  <c r="C1498" i="5"/>
  <c r="C1499" i="5"/>
  <c r="C1500" i="5"/>
  <c r="C1501" i="5"/>
  <c r="C1502" i="5"/>
  <c r="C1503" i="5"/>
  <c r="J2" i="3"/>
  <c r="J3" i="3"/>
  <c r="J4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I2" i="3"/>
  <c r="I3" i="3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E2" i="3"/>
  <c r="E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C2" i="3"/>
  <c r="C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E3" i="1"/>
  <c r="E4" i="1"/>
  <c r="E5" i="1"/>
  <c r="E6" i="1"/>
  <c r="E7" i="1"/>
  <c r="E8" i="1"/>
  <c r="E9" i="1"/>
  <c r="E10" i="1"/>
  <c r="E11" i="1"/>
  <c r="C3" i="1"/>
  <c r="C4" i="1"/>
  <c r="C5" i="1"/>
  <c r="C6" i="1"/>
  <c r="C7" i="1"/>
  <c r="C8" i="1"/>
  <c r="C9" i="1"/>
  <c r="C10" i="1"/>
  <c r="C11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Query - VLR_ElusAvecNN_DetailPot_Export_DI_17102018-140803" description="Verbinding maken met de query VLR_ElusAvecNN_DetailPot_Export_DI_17102018-140803 in de werkmap." type="5" refreshedVersion="0" background="1">
    <dbPr connection="Provider=Microsoft.Mashup.OleDb.1;Data Source=$Workbook$;Location=VLR_ElusAvecNN_DetailPot_Export_DI_17102018-140803;Extended Properties=&quot;&quot;" command="SELECT * FROM [VLR_ElusAvecNN_DetailPot_Export_DI_17102018-140803]"/>
  </connection>
  <connection id="2" xr16:uid="{00000000-0015-0000-FFFF-FFFF01000000}" keepAlive="1" name="Query - VLR_Listes_Export_DI_17102018-140756" description="Verbinding maken met de query VLR_Listes_Export_DI_17102018-140756 in de werkmap." type="5" refreshedVersion="0" background="1">
    <dbPr connection="Provider=Microsoft.Mashup.OleDb.1;Data Source=$Workbook$;Location=VLR_Listes_Export_DI_17102018-140756;Extended Properties=&quot;&quot;" command="SELECT * FROM [VLR_Listes_Export_DI_17102018-140756]"/>
  </connection>
  <connection id="3" xr16:uid="{00000000-0015-0000-FFFF-FFFF02000000}" keepAlive="1" name="Query - VLR_Scrutin_Export_DI_17102018-140755" description="Verbinding maken met de query VLR_Scrutin_Export_DI_17102018-140755 in de werkmap." type="5" refreshedVersion="0" background="1">
    <dbPr connection="Provider=Microsoft.Mashup.OleDb.1;Data Source=$Workbook$;Location=VLR_Scrutin_Export_DI_17102018-140755;Extended Properties=&quot;&quot;" command="SELECT * FROM [VLR_Scrutin_Export_DI_17102018-140755]"/>
  </connection>
</connections>
</file>

<file path=xl/sharedStrings.xml><?xml version="1.0" encoding="utf-8"?>
<sst xmlns="http://schemas.openxmlformats.org/spreadsheetml/2006/main" count="6085" uniqueCount="45">
  <si>
    <t>EL</t>
  </si>
  <si>
    <t>DateEL</t>
  </si>
  <si>
    <t>INS</t>
  </si>
  <si>
    <t>Entité</t>
  </si>
  <si>
    <t>SiègesAPourvoir</t>
  </si>
  <si>
    <t>Inscrits</t>
  </si>
  <si>
    <t>BullDéposés</t>
  </si>
  <si>
    <t>BullBN</t>
  </si>
  <si>
    <t>DI</t>
  </si>
  <si>
    <t>14/10/2018</t>
  </si>
  <si>
    <t>Antwerpen</t>
  </si>
  <si>
    <t>Berchem</t>
  </si>
  <si>
    <t>Berendrecht-Zandvliet-Lillo</t>
  </si>
  <si>
    <t>Borgerhout</t>
  </si>
  <si>
    <t>Deurne</t>
  </si>
  <si>
    <t>Ekeren</t>
  </si>
  <si>
    <t>Hoboken</t>
  </si>
  <si>
    <t>Merksem</t>
  </si>
  <si>
    <t>Wilrijk</t>
  </si>
  <si>
    <t>type</t>
  </si>
  <si>
    <t>datum</t>
  </si>
  <si>
    <t>NIS</t>
  </si>
  <si>
    <t>kieskring</t>
  </si>
  <si>
    <t>mandaten</t>
  </si>
  <si>
    <t>ingeschreven
kiezers</t>
  </si>
  <si>
    <t>stembiljetten</t>
  </si>
  <si>
    <t>blanco&amp;ongeldig</t>
  </si>
  <si>
    <t>lijstnr</t>
  </si>
  <si>
    <t>lijst</t>
  </si>
  <si>
    <t>stemcijfer</t>
  </si>
  <si>
    <t>verkiesbaarheidscijfer</t>
  </si>
  <si>
    <t>volgnr</t>
  </si>
  <si>
    <t>naamstemmen</t>
  </si>
  <si>
    <t>verkozen</t>
  </si>
  <si>
    <t>opvolger</t>
  </si>
  <si>
    <t>stemb cat 1</t>
  </si>
  <si>
    <t>stemb cat 2</t>
  </si>
  <si>
    <t xml:space="preserve">verkregen </t>
  </si>
  <si>
    <t>verkregen zetels</t>
  </si>
  <si>
    <t>naam stembiljet</t>
  </si>
  <si>
    <t>EFFECTIEVEN
naamstemmen na 
toevoeging 1/3 lijsttemmen (pot)</t>
  </si>
  <si>
    <t>OPVOLGERS
naamstemmen na 
toevoeging 1/3 lijsttemmen (pot)</t>
  </si>
  <si>
    <t>EFFECTIEVEN
rest lijststemmen (pot)</t>
  </si>
  <si>
    <t>OPVOLGERS
rest lijststemmen (pot)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</si>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</sst>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right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A578FA-2E4B-4033-B52C-0148E44B30C0}">
  <dimension ref="A1:H11"/>
  <sheetViews>
    <sheetView workbookViewId="0">
      <selection activeCell="E16" sqref="E16"/>
    </sheetView>
  </sheetViews>
  <sheetFormatPr defaultRowHeight="14.5" x14ac:dyDescent="0.35"/>
  <cols>
    <col min="1" max="1" width="4.453125" bestFit="1" customWidth="1"/>
    <col min="2" max="2" width="10.453125" bestFit="1" customWidth="1"/>
    <col min="3" max="3" width="5.81640625" bestFit="1" customWidth="1"/>
    <col min="4" max="4" width="23.453125" bestFit="1" customWidth="1"/>
    <col min="5" max="5" width="14.1796875" bestFit="1" customWidth="1"/>
    <col min="7" max="7" width="11.81640625" bestFit="1" customWidth="1"/>
    <col min="8" max="8" width="14.81640625" bestFit="1" customWidth="1"/>
  </cols>
  <sheetData>
    <row r="1" spans="1:8" ht="43.5" x14ac:dyDescent="0.35">
      <c r="A1" t="s">
        <v>19</v>
      </c>
      <c r="B1" t="s">
        <v>20</v>
      </c>
      <c r="C1" t="s">
        <v>21</v>
      </c>
      <c r="D1" t="s">
        <v>22</v>
      </c>
      <c r="E1" s="1" t="s">
        <v>23</v>
      </c>
      <c r="F1" s="3" t="s">
        <v>24</v>
      </c>
      <c r="G1" s="1" t="s">
        <v>25</v>
      </c>
      <c r="H1" s="1" t="s">
        <v>26</v>
      </c>
    </row>
    <row r="2" spans="1:8" x14ac:dyDescent="0.3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</row>
    <row r="3" spans="1:8" x14ac:dyDescent="0.35">
      <c r="A3" t="s">
        <v>8</v>
      </c>
      <c r="B3" t="s">
        <v>9</v>
      </c>
      <c r="C3" t="str">
        <f>("11102")</f>
        <v>11102</v>
      </c>
      <c r="D3" t="s">
        <v>10</v>
      </c>
      <c r="E3" t="str">
        <f>("33")</f>
        <v>33</v>
      </c>
      <c r="F3">
        <v>109144</v>
      </c>
      <c r="G3">
        <v>94529</v>
      </c>
      <c r="H3">
        <v>3229</v>
      </c>
    </row>
    <row r="4" spans="1:8" x14ac:dyDescent="0.35">
      <c r="A4" t="s">
        <v>8</v>
      </c>
      <c r="B4" t="s">
        <v>9</v>
      </c>
      <c r="C4" t="str">
        <f>("11232")</f>
        <v>11232</v>
      </c>
      <c r="D4" t="s">
        <v>11</v>
      </c>
      <c r="E4" t="str">
        <f>("25")</f>
        <v>25</v>
      </c>
      <c r="F4">
        <v>29377</v>
      </c>
      <c r="G4">
        <v>26328</v>
      </c>
      <c r="H4">
        <v>854</v>
      </c>
    </row>
    <row r="5" spans="1:8" x14ac:dyDescent="0.35">
      <c r="A5" t="s">
        <v>8</v>
      </c>
      <c r="B5" t="s">
        <v>9</v>
      </c>
      <c r="C5" t="str">
        <f>("11223")</f>
        <v>11223</v>
      </c>
      <c r="D5" t="s">
        <v>12</v>
      </c>
      <c r="E5" t="str">
        <f>("15")</f>
        <v>15</v>
      </c>
      <c r="F5">
        <v>7559</v>
      </c>
      <c r="G5">
        <v>6952</v>
      </c>
      <c r="H5">
        <v>417</v>
      </c>
    </row>
    <row r="6" spans="1:8" x14ac:dyDescent="0.35">
      <c r="A6" t="s">
        <v>8</v>
      </c>
      <c r="B6" t="s">
        <v>9</v>
      </c>
      <c r="C6" t="str">
        <f>("11242")</f>
        <v>11242</v>
      </c>
      <c r="D6" t="s">
        <v>13</v>
      </c>
      <c r="E6" t="str">
        <f>("25")</f>
        <v>25</v>
      </c>
      <c r="F6">
        <v>26591</v>
      </c>
      <c r="G6">
        <v>23853</v>
      </c>
      <c r="H6">
        <v>983</v>
      </c>
    </row>
    <row r="7" spans="1:8" x14ac:dyDescent="0.35">
      <c r="A7" t="s">
        <v>8</v>
      </c>
      <c r="B7" t="s">
        <v>9</v>
      </c>
      <c r="C7" t="str">
        <f>("11252")</f>
        <v>11252</v>
      </c>
      <c r="D7" t="s">
        <v>14</v>
      </c>
      <c r="E7" t="str">
        <f>("29")</f>
        <v>29</v>
      </c>
      <c r="F7">
        <v>49717</v>
      </c>
      <c r="G7">
        <v>44678</v>
      </c>
      <c r="H7">
        <v>2069</v>
      </c>
    </row>
    <row r="8" spans="1:8" x14ac:dyDescent="0.35">
      <c r="A8" t="s">
        <v>8</v>
      </c>
      <c r="B8" t="s">
        <v>9</v>
      </c>
      <c r="C8" t="str">
        <f>("11262")</f>
        <v>11262</v>
      </c>
      <c r="D8" t="s">
        <v>15</v>
      </c>
      <c r="E8" t="str">
        <f>("21")</f>
        <v>21</v>
      </c>
      <c r="F8">
        <v>20401</v>
      </c>
      <c r="G8">
        <v>18599</v>
      </c>
      <c r="H8">
        <v>646</v>
      </c>
    </row>
    <row r="9" spans="1:8" x14ac:dyDescent="0.35">
      <c r="A9" t="s">
        <v>8</v>
      </c>
      <c r="B9" t="s">
        <v>9</v>
      </c>
      <c r="C9" t="str">
        <f>("11272")</f>
        <v>11272</v>
      </c>
      <c r="D9" t="s">
        <v>16</v>
      </c>
      <c r="E9" t="str">
        <f>("23")</f>
        <v>23</v>
      </c>
      <c r="F9">
        <v>25687</v>
      </c>
      <c r="G9">
        <v>23566</v>
      </c>
      <c r="H9">
        <v>970</v>
      </c>
    </row>
    <row r="10" spans="1:8" x14ac:dyDescent="0.35">
      <c r="A10" t="s">
        <v>8</v>
      </c>
      <c r="B10" t="s">
        <v>9</v>
      </c>
      <c r="C10" t="str">
        <f>("11282")</f>
        <v>11282</v>
      </c>
      <c r="D10" t="s">
        <v>17</v>
      </c>
      <c r="E10" t="str">
        <f>("25")</f>
        <v>25</v>
      </c>
      <c r="F10">
        <v>29016</v>
      </c>
      <c r="G10">
        <v>25938</v>
      </c>
      <c r="H10">
        <v>1090</v>
      </c>
    </row>
    <row r="11" spans="1:8" x14ac:dyDescent="0.35">
      <c r="A11" t="s">
        <v>8</v>
      </c>
      <c r="B11" t="s">
        <v>9</v>
      </c>
      <c r="C11" t="str">
        <f>("11292")</f>
        <v>11292</v>
      </c>
      <c r="D11" t="s">
        <v>18</v>
      </c>
      <c r="E11" t="str">
        <f>("25")</f>
        <v>25</v>
      </c>
      <c r="F11">
        <v>28435</v>
      </c>
      <c r="G11">
        <v>25720</v>
      </c>
      <c r="H11">
        <v>837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56A714-3642-4DF8-9034-3235EBC57546}">
  <dimension ref="A1:O73"/>
  <sheetViews>
    <sheetView workbookViewId="0"/>
  </sheetViews>
  <sheetFormatPr defaultRowHeight="14.5" x14ac:dyDescent="0.35"/>
  <cols>
    <col min="1" max="1" width="4.453125" bestFit="1" customWidth="1"/>
    <col min="2" max="2" width="10.453125" bestFit="1" customWidth="1"/>
    <col min="3" max="3" width="5.81640625" bestFit="1" customWidth="1"/>
    <col min="4" max="4" width="23.453125" bestFit="1" customWidth="1"/>
    <col min="5" max="5" width="14.1796875" bestFit="1" customWidth="1"/>
    <col min="7" max="7" width="11.81640625" bestFit="1" customWidth="1"/>
    <col min="8" max="8" width="14.81640625" bestFit="1" customWidth="1"/>
    <col min="9" max="9" width="6.90625" bestFit="1" customWidth="1"/>
    <col min="10" max="10" width="18.08984375" bestFit="1" customWidth="1"/>
    <col min="11" max="12" width="10.36328125" bestFit="1" customWidth="1"/>
    <col min="13" max="13" width="9" bestFit="1" customWidth="1"/>
    <col min="14" max="14" width="19.1796875" bestFit="1" customWidth="1"/>
    <col min="15" max="15" width="16.81640625" bestFit="1" customWidth="1"/>
  </cols>
  <sheetData>
    <row r="1" spans="1:15" ht="43.5" x14ac:dyDescent="0.35">
      <c r="A1" t="s">
        <v>19</v>
      </c>
      <c r="B1" t="s">
        <v>20</v>
      </c>
      <c r="C1" t="s">
        <v>21</v>
      </c>
      <c r="D1" t="s">
        <v>22</v>
      </c>
      <c r="E1" t="s">
        <v>23</v>
      </c>
      <c r="F1" s="3" t="s">
        <v>24</v>
      </c>
      <c r="G1" s="1" t="s">
        <v>25</v>
      </c>
      <c r="H1" s="1" t="s">
        <v>26</v>
      </c>
      <c r="I1" s="2" t="s">
        <v>27</v>
      </c>
      <c r="J1" t="s">
        <v>28</v>
      </c>
      <c r="K1" s="1" t="s">
        <v>35</v>
      </c>
      <c r="L1" s="1" t="s">
        <v>36</v>
      </c>
      <c r="M1" s="1" t="s">
        <v>29</v>
      </c>
      <c r="N1" s="1" t="s">
        <v>30</v>
      </c>
      <c r="O1" s="1" t="s">
        <v>38</v>
      </c>
    </row>
    <row r="2" spans="1:15" x14ac:dyDescent="0.35">
      <c r="A2" t="s">
        <v>8</v>
      </c>
      <c r="B2" t="s">
        <v>9</v>
      </c>
      <c r="C2" t="str">
        <f t="shared" ref="C2:C11" si="0">("11102")</f>
        <v>11102</v>
      </c>
      <c r="D2" t="s">
        <v>10</v>
      </c>
      <c r="E2" t="str">
        <f t="shared" ref="E2:E11" si="1">("33")</f>
        <v>33</v>
      </c>
      <c r="F2">
        <v>109144</v>
      </c>
      <c r="G2">
        <v>94529</v>
      </c>
      <c r="H2">
        <v>3229</v>
      </c>
      <c r="I2" t="str">
        <f>("1")</f>
        <v>1</v>
      </c>
      <c r="J2" t="str">
        <f>("sp.a")</f>
        <v>sp.a</v>
      </c>
      <c r="K2">
        <v>2947</v>
      </c>
      <c r="L2">
        <v>8577</v>
      </c>
      <c r="M2">
        <v>11524</v>
      </c>
      <c r="N2">
        <v>9220</v>
      </c>
      <c r="O2">
        <v>4</v>
      </c>
    </row>
    <row r="3" spans="1:15" x14ac:dyDescent="0.35">
      <c r="A3" t="s">
        <v>8</v>
      </c>
      <c r="B3" t="s">
        <v>9</v>
      </c>
      <c r="C3" t="str">
        <f t="shared" si="0"/>
        <v>11102</v>
      </c>
      <c r="D3" t="s">
        <v>10</v>
      </c>
      <c r="E3" t="str">
        <f t="shared" si="1"/>
        <v>33</v>
      </c>
      <c r="F3">
        <v>109144</v>
      </c>
      <c r="G3">
        <v>94529</v>
      </c>
      <c r="H3">
        <v>3229</v>
      </c>
      <c r="I3" t="str">
        <f>("2")</f>
        <v>2</v>
      </c>
      <c r="J3" t="str">
        <f>("N-VA")</f>
        <v>N-VA</v>
      </c>
      <c r="K3">
        <v>11733</v>
      </c>
      <c r="L3">
        <v>14333</v>
      </c>
      <c r="M3">
        <v>26066</v>
      </c>
      <c r="N3">
        <v>23697</v>
      </c>
      <c r="O3">
        <v>10</v>
      </c>
    </row>
    <row r="4" spans="1:15" x14ac:dyDescent="0.35">
      <c r="A4" t="s">
        <v>8</v>
      </c>
      <c r="B4" t="s">
        <v>9</v>
      </c>
      <c r="C4" t="str">
        <f t="shared" si="0"/>
        <v>11102</v>
      </c>
      <c r="D4" t="s">
        <v>10</v>
      </c>
      <c r="E4" t="str">
        <f t="shared" si="1"/>
        <v>33</v>
      </c>
      <c r="F4">
        <v>109144</v>
      </c>
      <c r="G4">
        <v>94529</v>
      </c>
      <c r="H4">
        <v>3229</v>
      </c>
      <c r="I4" t="str">
        <f>("3")</f>
        <v>3</v>
      </c>
      <c r="J4" t="str">
        <f>("CD&amp;V")</f>
        <v>CD&amp;V</v>
      </c>
      <c r="K4">
        <v>1545</v>
      </c>
      <c r="L4">
        <v>4348</v>
      </c>
      <c r="M4">
        <v>5893</v>
      </c>
      <c r="N4">
        <v>3929</v>
      </c>
      <c r="O4">
        <v>2</v>
      </c>
    </row>
    <row r="5" spans="1:15" x14ac:dyDescent="0.35">
      <c r="A5" t="s">
        <v>8</v>
      </c>
      <c r="B5" t="s">
        <v>9</v>
      </c>
      <c r="C5" t="str">
        <f t="shared" si="0"/>
        <v>11102</v>
      </c>
      <c r="D5" t="s">
        <v>10</v>
      </c>
      <c r="E5" t="str">
        <f t="shared" si="1"/>
        <v>33</v>
      </c>
      <c r="F5">
        <v>109144</v>
      </c>
      <c r="G5">
        <v>94529</v>
      </c>
      <c r="H5">
        <v>3229</v>
      </c>
      <c r="I5" t="str">
        <f>("4")</f>
        <v>4</v>
      </c>
      <c r="J5" t="str">
        <f>("Groen")</f>
        <v>Groen</v>
      </c>
      <c r="K5">
        <v>9213</v>
      </c>
      <c r="L5">
        <v>11867</v>
      </c>
      <c r="M5">
        <v>21080</v>
      </c>
      <c r="N5">
        <v>18738</v>
      </c>
      <c r="O5">
        <v>8</v>
      </c>
    </row>
    <row r="6" spans="1:15" x14ac:dyDescent="0.35">
      <c r="A6" t="s">
        <v>8</v>
      </c>
      <c r="B6" t="s">
        <v>9</v>
      </c>
      <c r="C6" t="str">
        <f t="shared" si="0"/>
        <v>11102</v>
      </c>
      <c r="D6" t="s">
        <v>10</v>
      </c>
      <c r="E6" t="str">
        <f t="shared" si="1"/>
        <v>33</v>
      </c>
      <c r="F6">
        <v>109144</v>
      </c>
      <c r="G6">
        <v>94529</v>
      </c>
      <c r="H6">
        <v>3229</v>
      </c>
      <c r="I6" t="str">
        <f>("5")</f>
        <v>5</v>
      </c>
      <c r="J6" t="str">
        <f>("VLAAMS BELANG")</f>
        <v>VLAAMS BELANG</v>
      </c>
      <c r="K6">
        <v>1897</v>
      </c>
      <c r="L6">
        <v>4397</v>
      </c>
      <c r="M6">
        <v>6294</v>
      </c>
      <c r="N6">
        <v>4196</v>
      </c>
      <c r="O6">
        <v>2</v>
      </c>
    </row>
    <row r="7" spans="1:15" x14ac:dyDescent="0.35">
      <c r="A7" t="s">
        <v>8</v>
      </c>
      <c r="B7" t="s">
        <v>9</v>
      </c>
      <c r="C7" t="str">
        <f t="shared" si="0"/>
        <v>11102</v>
      </c>
      <c r="D7" t="s">
        <v>10</v>
      </c>
      <c r="E7" t="str">
        <f t="shared" si="1"/>
        <v>33</v>
      </c>
      <c r="F7">
        <v>109144</v>
      </c>
      <c r="G7">
        <v>94529</v>
      </c>
      <c r="H7">
        <v>3229</v>
      </c>
      <c r="I7" t="str">
        <f>("6")</f>
        <v>6</v>
      </c>
      <c r="J7" t="str">
        <f>("Open Vld")</f>
        <v>Open Vld</v>
      </c>
      <c r="K7">
        <v>2415</v>
      </c>
      <c r="L7">
        <v>5682</v>
      </c>
      <c r="M7">
        <v>8097</v>
      </c>
      <c r="N7">
        <v>6073</v>
      </c>
      <c r="O7">
        <v>3</v>
      </c>
    </row>
    <row r="8" spans="1:15" x14ac:dyDescent="0.35">
      <c r="A8" t="s">
        <v>8</v>
      </c>
      <c r="B8" t="s">
        <v>9</v>
      </c>
      <c r="C8" t="str">
        <f t="shared" si="0"/>
        <v>11102</v>
      </c>
      <c r="D8" t="s">
        <v>10</v>
      </c>
      <c r="E8" t="str">
        <f t="shared" si="1"/>
        <v>33</v>
      </c>
      <c r="F8">
        <v>109144</v>
      </c>
      <c r="G8">
        <v>94529</v>
      </c>
      <c r="H8">
        <v>3229</v>
      </c>
      <c r="I8" t="str">
        <f>("7")</f>
        <v>7</v>
      </c>
      <c r="J8" t="str">
        <f>("PVDA")</f>
        <v>PVDA</v>
      </c>
      <c r="K8">
        <v>2254</v>
      </c>
      <c r="L8">
        <v>6212</v>
      </c>
      <c r="M8">
        <v>8466</v>
      </c>
      <c r="N8">
        <v>6350</v>
      </c>
      <c r="O8">
        <v>3</v>
      </c>
    </row>
    <row r="9" spans="1:15" x14ac:dyDescent="0.35">
      <c r="A9" t="s">
        <v>8</v>
      </c>
      <c r="B9" t="s">
        <v>9</v>
      </c>
      <c r="C9" t="str">
        <f t="shared" si="0"/>
        <v>11102</v>
      </c>
      <c r="D9" t="s">
        <v>10</v>
      </c>
      <c r="E9" t="str">
        <f t="shared" si="1"/>
        <v>33</v>
      </c>
      <c r="F9">
        <v>109144</v>
      </c>
      <c r="G9">
        <v>94529</v>
      </c>
      <c r="H9">
        <v>3229</v>
      </c>
      <c r="I9" t="str">
        <f>("8")</f>
        <v>8</v>
      </c>
      <c r="J9" t="str">
        <f>("PIRATENPARTIJ")</f>
        <v>PIRATENPARTIJ</v>
      </c>
      <c r="K9">
        <v>196</v>
      </c>
      <c r="L9">
        <v>502</v>
      </c>
      <c r="M9">
        <v>698</v>
      </c>
      <c r="O9">
        <v>0</v>
      </c>
    </row>
    <row r="10" spans="1:15" x14ac:dyDescent="0.35">
      <c r="A10" t="s">
        <v>8</v>
      </c>
      <c r="B10" t="s">
        <v>9</v>
      </c>
      <c r="C10" t="str">
        <f t="shared" si="0"/>
        <v>11102</v>
      </c>
      <c r="D10" t="s">
        <v>10</v>
      </c>
      <c r="E10" t="str">
        <f t="shared" si="1"/>
        <v>33</v>
      </c>
      <c r="F10">
        <v>109144</v>
      </c>
      <c r="G10">
        <v>94529</v>
      </c>
      <c r="H10">
        <v>3229</v>
      </c>
      <c r="I10" t="str">
        <f>("9")</f>
        <v>9</v>
      </c>
      <c r="J10" t="str">
        <f>("D-SA")</f>
        <v>D-SA</v>
      </c>
      <c r="K10">
        <v>259</v>
      </c>
      <c r="L10">
        <v>2182</v>
      </c>
      <c r="M10">
        <v>2441</v>
      </c>
      <c r="N10">
        <v>1221</v>
      </c>
      <c r="O10">
        <v>1</v>
      </c>
    </row>
    <row r="11" spans="1:15" x14ac:dyDescent="0.35">
      <c r="A11" t="s">
        <v>8</v>
      </c>
      <c r="B11" t="s">
        <v>9</v>
      </c>
      <c r="C11" t="str">
        <f t="shared" si="0"/>
        <v>11102</v>
      </c>
      <c r="D11" t="s">
        <v>10</v>
      </c>
      <c r="E11" t="str">
        <f t="shared" si="1"/>
        <v>33</v>
      </c>
      <c r="F11">
        <v>109144</v>
      </c>
      <c r="G11">
        <v>94529</v>
      </c>
      <c r="H11">
        <v>3229</v>
      </c>
      <c r="I11" t="str">
        <f>("10")</f>
        <v>10</v>
      </c>
      <c r="J11" t="str">
        <f>("Burgerlijst")</f>
        <v>Burgerlijst</v>
      </c>
      <c r="K11">
        <v>284</v>
      </c>
      <c r="L11">
        <v>457</v>
      </c>
      <c r="M11">
        <v>741</v>
      </c>
      <c r="O11">
        <v>0</v>
      </c>
    </row>
    <row r="12" spans="1:15" x14ac:dyDescent="0.35">
      <c r="A12" t="s">
        <v>8</v>
      </c>
      <c r="B12" t="s">
        <v>9</v>
      </c>
      <c r="C12" t="str">
        <f t="shared" ref="C12:C17" si="2">("11232")</f>
        <v>11232</v>
      </c>
      <c r="D12" t="s">
        <v>11</v>
      </c>
      <c r="E12" t="str">
        <f t="shared" ref="E12:E17" si="3">("25")</f>
        <v>25</v>
      </c>
      <c r="F12">
        <v>29377</v>
      </c>
      <c r="G12">
        <v>26328</v>
      </c>
      <c r="H12">
        <v>854</v>
      </c>
      <c r="I12" t="str">
        <f>("1")</f>
        <v>1</v>
      </c>
      <c r="J12" t="str">
        <f>("sp.a - Groen")</f>
        <v>sp.a - Groen</v>
      </c>
      <c r="K12">
        <v>2752</v>
      </c>
      <c r="L12">
        <v>6265</v>
      </c>
      <c r="M12">
        <v>9017</v>
      </c>
      <c r="N12">
        <v>8116</v>
      </c>
      <c r="O12">
        <v>9</v>
      </c>
    </row>
    <row r="13" spans="1:15" x14ac:dyDescent="0.35">
      <c r="A13" t="s">
        <v>8</v>
      </c>
      <c r="B13" t="s">
        <v>9</v>
      </c>
      <c r="C13" t="str">
        <f t="shared" si="2"/>
        <v>11232</v>
      </c>
      <c r="D13" t="s">
        <v>11</v>
      </c>
      <c r="E13" t="str">
        <f t="shared" si="3"/>
        <v>25</v>
      </c>
      <c r="F13">
        <v>29377</v>
      </c>
      <c r="G13">
        <v>26328</v>
      </c>
      <c r="H13">
        <v>854</v>
      </c>
      <c r="I13" t="str">
        <f>("2")</f>
        <v>2</v>
      </c>
      <c r="J13" t="str">
        <f>("N-VA")</f>
        <v>N-VA</v>
      </c>
      <c r="K13">
        <v>3762</v>
      </c>
      <c r="L13">
        <v>4541</v>
      </c>
      <c r="M13">
        <v>8303</v>
      </c>
      <c r="N13">
        <v>7473</v>
      </c>
      <c r="O13">
        <v>9</v>
      </c>
    </row>
    <row r="14" spans="1:15" x14ac:dyDescent="0.35">
      <c r="A14" t="s">
        <v>8</v>
      </c>
      <c r="B14" t="s">
        <v>9</v>
      </c>
      <c r="C14" t="str">
        <f t="shared" si="2"/>
        <v>11232</v>
      </c>
      <c r="D14" t="s">
        <v>11</v>
      </c>
      <c r="E14" t="str">
        <f t="shared" si="3"/>
        <v>25</v>
      </c>
      <c r="F14">
        <v>29377</v>
      </c>
      <c r="G14">
        <v>26328</v>
      </c>
      <c r="H14">
        <v>854</v>
      </c>
      <c r="I14" t="str">
        <f>("3")</f>
        <v>3</v>
      </c>
      <c r="J14" t="str">
        <f>("CD&amp;V")</f>
        <v>CD&amp;V</v>
      </c>
      <c r="K14">
        <v>622</v>
      </c>
      <c r="L14">
        <v>1283</v>
      </c>
      <c r="M14">
        <v>1905</v>
      </c>
      <c r="N14">
        <v>1270</v>
      </c>
      <c r="O14">
        <v>2</v>
      </c>
    </row>
    <row r="15" spans="1:15" x14ac:dyDescent="0.35">
      <c r="A15" t="s">
        <v>8</v>
      </c>
      <c r="B15" t="s">
        <v>9</v>
      </c>
      <c r="C15" t="str">
        <f t="shared" si="2"/>
        <v>11232</v>
      </c>
      <c r="D15" t="s">
        <v>11</v>
      </c>
      <c r="E15" t="str">
        <f t="shared" si="3"/>
        <v>25</v>
      </c>
      <c r="F15">
        <v>29377</v>
      </c>
      <c r="G15">
        <v>26328</v>
      </c>
      <c r="H15">
        <v>854</v>
      </c>
      <c r="I15" t="str">
        <f>("5")</f>
        <v>5</v>
      </c>
      <c r="J15" t="str">
        <f>("VLAAMS BELANG")</f>
        <v>VLAAMS BELANG</v>
      </c>
      <c r="K15">
        <v>719</v>
      </c>
      <c r="L15">
        <v>996</v>
      </c>
      <c r="M15">
        <v>1715</v>
      </c>
      <c r="N15">
        <v>858</v>
      </c>
      <c r="O15">
        <v>1</v>
      </c>
    </row>
    <row r="16" spans="1:15" x14ac:dyDescent="0.35">
      <c r="A16" t="s">
        <v>8</v>
      </c>
      <c r="B16" t="s">
        <v>9</v>
      </c>
      <c r="C16" t="str">
        <f t="shared" si="2"/>
        <v>11232</v>
      </c>
      <c r="D16" t="s">
        <v>11</v>
      </c>
      <c r="E16" t="str">
        <f t="shared" si="3"/>
        <v>25</v>
      </c>
      <c r="F16">
        <v>29377</v>
      </c>
      <c r="G16">
        <v>26328</v>
      </c>
      <c r="H16">
        <v>854</v>
      </c>
      <c r="I16" t="str">
        <f>("6")</f>
        <v>6</v>
      </c>
      <c r="J16" t="str">
        <f>("Open Vld")</f>
        <v>Open Vld</v>
      </c>
      <c r="K16">
        <v>850</v>
      </c>
      <c r="L16">
        <v>1751</v>
      </c>
      <c r="M16">
        <v>2601</v>
      </c>
      <c r="N16">
        <v>1734</v>
      </c>
      <c r="O16">
        <v>2</v>
      </c>
    </row>
    <row r="17" spans="1:15" x14ac:dyDescent="0.35">
      <c r="A17" t="s">
        <v>8</v>
      </c>
      <c r="B17" t="s">
        <v>9</v>
      </c>
      <c r="C17" t="str">
        <f t="shared" si="2"/>
        <v>11232</v>
      </c>
      <c r="D17" t="s">
        <v>11</v>
      </c>
      <c r="E17" t="str">
        <f t="shared" si="3"/>
        <v>25</v>
      </c>
      <c r="F17">
        <v>29377</v>
      </c>
      <c r="G17">
        <v>26328</v>
      </c>
      <c r="H17">
        <v>854</v>
      </c>
      <c r="I17" t="str">
        <f>("7")</f>
        <v>7</v>
      </c>
      <c r="J17" t="str">
        <f>("PVDA")</f>
        <v>PVDA</v>
      </c>
      <c r="K17">
        <v>683</v>
      </c>
      <c r="L17">
        <v>1250</v>
      </c>
      <c r="M17">
        <v>1933</v>
      </c>
      <c r="N17">
        <v>1289</v>
      </c>
      <c r="O17">
        <v>2</v>
      </c>
    </row>
    <row r="18" spans="1:15" x14ac:dyDescent="0.35">
      <c r="A18" t="s">
        <v>8</v>
      </c>
      <c r="B18" t="s">
        <v>9</v>
      </c>
      <c r="C18" t="str">
        <f t="shared" ref="C18:C23" si="4">("11223")</f>
        <v>11223</v>
      </c>
      <c r="D18" t="s">
        <v>12</v>
      </c>
      <c r="E18" t="str">
        <f t="shared" ref="E18:E23" si="5">("15")</f>
        <v>15</v>
      </c>
      <c r="F18">
        <v>7559</v>
      </c>
      <c r="G18">
        <v>6952</v>
      </c>
      <c r="H18">
        <v>417</v>
      </c>
      <c r="I18" t="str">
        <f>("2")</f>
        <v>2</v>
      </c>
      <c r="J18" t="str">
        <f>("N-VA")</f>
        <v>N-VA</v>
      </c>
      <c r="K18">
        <v>661</v>
      </c>
      <c r="L18">
        <v>1688</v>
      </c>
      <c r="M18">
        <v>2349</v>
      </c>
      <c r="N18">
        <v>2014</v>
      </c>
      <c r="O18">
        <v>6</v>
      </c>
    </row>
    <row r="19" spans="1:15" x14ac:dyDescent="0.35">
      <c r="A19" t="s">
        <v>8</v>
      </c>
      <c r="B19" t="s">
        <v>9</v>
      </c>
      <c r="C19" t="str">
        <f t="shared" si="4"/>
        <v>11223</v>
      </c>
      <c r="D19" t="s">
        <v>12</v>
      </c>
      <c r="E19" t="str">
        <f t="shared" si="5"/>
        <v>15</v>
      </c>
      <c r="F19">
        <v>7559</v>
      </c>
      <c r="G19">
        <v>6952</v>
      </c>
      <c r="H19">
        <v>417</v>
      </c>
      <c r="I19" t="str">
        <f>("3")</f>
        <v>3</v>
      </c>
      <c r="J19" t="str">
        <f>("CD&amp;V")</f>
        <v>CD&amp;V</v>
      </c>
      <c r="K19">
        <v>82</v>
      </c>
      <c r="L19">
        <v>374</v>
      </c>
      <c r="M19">
        <v>456</v>
      </c>
      <c r="N19">
        <v>228</v>
      </c>
      <c r="O19">
        <v>1</v>
      </c>
    </row>
    <row r="20" spans="1:15" x14ac:dyDescent="0.35">
      <c r="A20" t="s">
        <v>8</v>
      </c>
      <c r="B20" t="s">
        <v>9</v>
      </c>
      <c r="C20" t="str">
        <f t="shared" si="4"/>
        <v>11223</v>
      </c>
      <c r="D20" t="s">
        <v>12</v>
      </c>
      <c r="E20" t="str">
        <f t="shared" si="5"/>
        <v>15</v>
      </c>
      <c r="F20">
        <v>7559</v>
      </c>
      <c r="G20">
        <v>6952</v>
      </c>
      <c r="H20">
        <v>417</v>
      </c>
      <c r="I20" t="str">
        <f>("5")</f>
        <v>5</v>
      </c>
      <c r="J20" t="str">
        <f>("VLAAMS BELANG")</f>
        <v>VLAAMS BELANG</v>
      </c>
      <c r="K20">
        <v>413</v>
      </c>
      <c r="L20">
        <v>1024</v>
      </c>
      <c r="M20">
        <v>1437</v>
      </c>
      <c r="N20">
        <v>1150</v>
      </c>
      <c r="O20">
        <v>4</v>
      </c>
    </row>
    <row r="21" spans="1:15" x14ac:dyDescent="0.35">
      <c r="A21" t="s">
        <v>8</v>
      </c>
      <c r="B21" t="s">
        <v>9</v>
      </c>
      <c r="C21" t="str">
        <f t="shared" si="4"/>
        <v>11223</v>
      </c>
      <c r="D21" t="s">
        <v>12</v>
      </c>
      <c r="E21" t="str">
        <f t="shared" si="5"/>
        <v>15</v>
      </c>
      <c r="F21">
        <v>7559</v>
      </c>
      <c r="G21">
        <v>6952</v>
      </c>
      <c r="H21">
        <v>417</v>
      </c>
      <c r="I21" t="str">
        <f>("6")</f>
        <v>6</v>
      </c>
      <c r="J21" t="str">
        <f>("Open Vld")</f>
        <v>Open Vld</v>
      </c>
      <c r="K21">
        <v>52</v>
      </c>
      <c r="L21">
        <v>185</v>
      </c>
      <c r="M21">
        <v>237</v>
      </c>
      <c r="O21">
        <v>0</v>
      </c>
    </row>
    <row r="22" spans="1:15" x14ac:dyDescent="0.35">
      <c r="A22" t="s">
        <v>8</v>
      </c>
      <c r="B22" t="s">
        <v>9</v>
      </c>
      <c r="C22" t="str">
        <f t="shared" si="4"/>
        <v>11223</v>
      </c>
      <c r="D22" t="s">
        <v>12</v>
      </c>
      <c r="E22" t="str">
        <f t="shared" si="5"/>
        <v>15</v>
      </c>
      <c r="F22">
        <v>7559</v>
      </c>
      <c r="G22">
        <v>6952</v>
      </c>
      <c r="H22">
        <v>417</v>
      </c>
      <c r="I22" t="str">
        <f>("7")</f>
        <v>7</v>
      </c>
      <c r="J22" t="str">
        <f>("PVDA")</f>
        <v>PVDA</v>
      </c>
      <c r="K22">
        <v>83</v>
      </c>
      <c r="L22">
        <v>180</v>
      </c>
      <c r="M22">
        <v>263</v>
      </c>
      <c r="O22">
        <v>0</v>
      </c>
    </row>
    <row r="23" spans="1:15" x14ac:dyDescent="0.35">
      <c r="A23" t="s">
        <v>8</v>
      </c>
      <c r="B23" t="s">
        <v>9</v>
      </c>
      <c r="C23" t="str">
        <f t="shared" si="4"/>
        <v>11223</v>
      </c>
      <c r="D23" t="s">
        <v>12</v>
      </c>
      <c r="E23" t="str">
        <f t="shared" si="5"/>
        <v>15</v>
      </c>
      <c r="F23">
        <v>7559</v>
      </c>
      <c r="G23">
        <v>6952</v>
      </c>
      <c r="H23">
        <v>417</v>
      </c>
      <c r="I23" t="str">
        <f>("8")</f>
        <v>8</v>
      </c>
      <c r="J23" t="str">
        <f>("PRO2040")</f>
        <v>PRO2040</v>
      </c>
      <c r="K23">
        <v>405</v>
      </c>
      <c r="L23">
        <v>1388</v>
      </c>
      <c r="M23">
        <v>1793</v>
      </c>
      <c r="N23">
        <v>1435</v>
      </c>
      <c r="O23">
        <v>4</v>
      </c>
    </row>
    <row r="24" spans="1:15" x14ac:dyDescent="0.35">
      <c r="A24" t="s">
        <v>8</v>
      </c>
      <c r="B24" t="s">
        <v>9</v>
      </c>
      <c r="C24" t="str">
        <f t="shared" ref="C24:C30" si="6">("11242")</f>
        <v>11242</v>
      </c>
      <c r="D24" t="s">
        <v>13</v>
      </c>
      <c r="E24" t="str">
        <f t="shared" ref="E24:E30" si="7">("25")</f>
        <v>25</v>
      </c>
      <c r="F24">
        <v>26591</v>
      </c>
      <c r="G24">
        <v>23853</v>
      </c>
      <c r="H24">
        <v>983</v>
      </c>
      <c r="I24" t="str">
        <f>("1")</f>
        <v>1</v>
      </c>
      <c r="J24" t="str">
        <f>("sp.a")</f>
        <v>sp.a</v>
      </c>
      <c r="K24">
        <v>817</v>
      </c>
      <c r="L24">
        <v>2250</v>
      </c>
      <c r="M24">
        <v>3067</v>
      </c>
      <c r="N24">
        <v>2301</v>
      </c>
      <c r="O24">
        <v>3</v>
      </c>
    </row>
    <row r="25" spans="1:15" x14ac:dyDescent="0.35">
      <c r="A25" t="s">
        <v>8</v>
      </c>
      <c r="B25" t="s">
        <v>9</v>
      </c>
      <c r="C25" t="str">
        <f t="shared" si="6"/>
        <v>11242</v>
      </c>
      <c r="D25" t="s">
        <v>13</v>
      </c>
      <c r="E25" t="str">
        <f t="shared" si="7"/>
        <v>25</v>
      </c>
      <c r="F25">
        <v>26591</v>
      </c>
      <c r="G25">
        <v>23853</v>
      </c>
      <c r="H25">
        <v>983</v>
      </c>
      <c r="I25" t="str">
        <f>("2")</f>
        <v>2</v>
      </c>
      <c r="J25" t="str">
        <f>("N-VA")</f>
        <v>N-VA</v>
      </c>
      <c r="K25">
        <v>2259</v>
      </c>
      <c r="L25">
        <v>2638</v>
      </c>
      <c r="M25">
        <v>4897</v>
      </c>
      <c r="N25">
        <v>4198</v>
      </c>
      <c r="O25">
        <v>6</v>
      </c>
    </row>
    <row r="26" spans="1:15" x14ac:dyDescent="0.35">
      <c r="A26" t="s">
        <v>8</v>
      </c>
      <c r="B26" t="s">
        <v>9</v>
      </c>
      <c r="C26" t="str">
        <f t="shared" si="6"/>
        <v>11242</v>
      </c>
      <c r="D26" t="s">
        <v>13</v>
      </c>
      <c r="E26" t="str">
        <f t="shared" si="7"/>
        <v>25</v>
      </c>
      <c r="F26">
        <v>26591</v>
      </c>
      <c r="G26">
        <v>23853</v>
      </c>
      <c r="H26">
        <v>983</v>
      </c>
      <c r="I26" t="str">
        <f>("3")</f>
        <v>3</v>
      </c>
      <c r="J26" t="str">
        <f>("CD&amp;V")</f>
        <v>CD&amp;V</v>
      </c>
      <c r="K26">
        <v>402</v>
      </c>
      <c r="L26">
        <v>1128</v>
      </c>
      <c r="M26">
        <v>1530</v>
      </c>
      <c r="N26">
        <v>765</v>
      </c>
      <c r="O26">
        <v>1</v>
      </c>
    </row>
    <row r="27" spans="1:15" x14ac:dyDescent="0.35">
      <c r="A27" t="s">
        <v>8</v>
      </c>
      <c r="B27" t="s">
        <v>9</v>
      </c>
      <c r="C27" t="str">
        <f t="shared" si="6"/>
        <v>11242</v>
      </c>
      <c r="D27" t="s">
        <v>13</v>
      </c>
      <c r="E27" t="str">
        <f t="shared" si="7"/>
        <v>25</v>
      </c>
      <c r="F27">
        <v>26591</v>
      </c>
      <c r="G27">
        <v>23853</v>
      </c>
      <c r="H27">
        <v>983</v>
      </c>
      <c r="I27" t="str">
        <f>("4")</f>
        <v>4</v>
      </c>
      <c r="J27" t="str">
        <f>("Groen")</f>
        <v>Groen</v>
      </c>
      <c r="K27">
        <v>2259</v>
      </c>
      <c r="L27">
        <v>5063</v>
      </c>
      <c r="M27">
        <v>7322</v>
      </c>
      <c r="N27">
        <v>6590</v>
      </c>
      <c r="O27">
        <v>9</v>
      </c>
    </row>
    <row r="28" spans="1:15" x14ac:dyDescent="0.35">
      <c r="A28" t="s">
        <v>8</v>
      </c>
      <c r="B28" t="s">
        <v>9</v>
      </c>
      <c r="C28" t="str">
        <f t="shared" si="6"/>
        <v>11242</v>
      </c>
      <c r="D28" t="s">
        <v>13</v>
      </c>
      <c r="E28" t="str">
        <f t="shared" si="7"/>
        <v>25</v>
      </c>
      <c r="F28">
        <v>26591</v>
      </c>
      <c r="G28">
        <v>23853</v>
      </c>
      <c r="H28">
        <v>983</v>
      </c>
      <c r="I28" t="str">
        <f>("5")</f>
        <v>5</v>
      </c>
      <c r="J28" t="str">
        <f>("VLAAMS BELANG")</f>
        <v>VLAAMS BELANG</v>
      </c>
      <c r="K28">
        <v>612</v>
      </c>
      <c r="L28">
        <v>887</v>
      </c>
      <c r="M28">
        <v>1499</v>
      </c>
      <c r="N28">
        <v>750</v>
      </c>
      <c r="O28">
        <v>1</v>
      </c>
    </row>
    <row r="29" spans="1:15" x14ac:dyDescent="0.35">
      <c r="A29" t="s">
        <v>8</v>
      </c>
      <c r="B29" t="s">
        <v>9</v>
      </c>
      <c r="C29" t="str">
        <f t="shared" si="6"/>
        <v>11242</v>
      </c>
      <c r="D29" t="s">
        <v>13</v>
      </c>
      <c r="E29" t="str">
        <f t="shared" si="7"/>
        <v>25</v>
      </c>
      <c r="F29">
        <v>26591</v>
      </c>
      <c r="G29">
        <v>23853</v>
      </c>
      <c r="H29">
        <v>983</v>
      </c>
      <c r="I29" t="str">
        <f>("6")</f>
        <v>6</v>
      </c>
      <c r="J29" t="str">
        <f>("Open Vld")</f>
        <v>Open Vld</v>
      </c>
      <c r="K29">
        <v>308</v>
      </c>
      <c r="L29">
        <v>612</v>
      </c>
      <c r="M29">
        <v>920</v>
      </c>
      <c r="N29">
        <v>460</v>
      </c>
      <c r="O29">
        <v>1</v>
      </c>
    </row>
    <row r="30" spans="1:15" x14ac:dyDescent="0.35">
      <c r="A30" t="s">
        <v>8</v>
      </c>
      <c r="B30" t="s">
        <v>9</v>
      </c>
      <c r="C30" t="str">
        <f t="shared" si="6"/>
        <v>11242</v>
      </c>
      <c r="D30" t="s">
        <v>13</v>
      </c>
      <c r="E30" t="str">
        <f t="shared" si="7"/>
        <v>25</v>
      </c>
      <c r="F30">
        <v>26591</v>
      </c>
      <c r="G30">
        <v>23853</v>
      </c>
      <c r="H30">
        <v>983</v>
      </c>
      <c r="I30" t="str">
        <f>("7")</f>
        <v>7</v>
      </c>
      <c r="J30" t="str">
        <f>("PVDA")</f>
        <v>PVDA</v>
      </c>
      <c r="K30">
        <v>1023</v>
      </c>
      <c r="L30">
        <v>2612</v>
      </c>
      <c r="M30">
        <v>3635</v>
      </c>
      <c r="N30">
        <v>2908</v>
      </c>
      <c r="O30">
        <v>4</v>
      </c>
    </row>
    <row r="31" spans="1:15" x14ac:dyDescent="0.35">
      <c r="A31" t="s">
        <v>8</v>
      </c>
      <c r="B31" t="s">
        <v>9</v>
      </c>
      <c r="C31" t="str">
        <f t="shared" ref="C31:C40" si="8">("11252")</f>
        <v>11252</v>
      </c>
      <c r="D31" t="s">
        <v>14</v>
      </c>
      <c r="E31" t="str">
        <f t="shared" ref="E31:E40" si="9">("29")</f>
        <v>29</v>
      </c>
      <c r="F31">
        <v>49717</v>
      </c>
      <c r="G31">
        <v>44678</v>
      </c>
      <c r="H31">
        <v>2069</v>
      </c>
      <c r="I31" t="str">
        <f>("1")</f>
        <v>1</v>
      </c>
      <c r="J31" t="str">
        <f>("sp.a")</f>
        <v>sp.a</v>
      </c>
      <c r="K31">
        <v>1340</v>
      </c>
      <c r="L31">
        <v>3009</v>
      </c>
      <c r="M31">
        <v>4349</v>
      </c>
      <c r="N31">
        <v>3262</v>
      </c>
      <c r="O31">
        <v>3</v>
      </c>
    </row>
    <row r="32" spans="1:15" x14ac:dyDescent="0.35">
      <c r="A32" t="s">
        <v>8</v>
      </c>
      <c r="B32" t="s">
        <v>9</v>
      </c>
      <c r="C32" t="str">
        <f t="shared" si="8"/>
        <v>11252</v>
      </c>
      <c r="D32" t="s">
        <v>14</v>
      </c>
      <c r="E32" t="str">
        <f t="shared" si="9"/>
        <v>29</v>
      </c>
      <c r="F32">
        <v>49717</v>
      </c>
      <c r="G32">
        <v>44678</v>
      </c>
      <c r="H32">
        <v>2069</v>
      </c>
      <c r="I32" t="str">
        <f>("2")</f>
        <v>2</v>
      </c>
      <c r="J32" t="str">
        <f>("N-VA")</f>
        <v>N-VA</v>
      </c>
      <c r="K32">
        <v>6975</v>
      </c>
      <c r="L32">
        <v>8255</v>
      </c>
      <c r="M32">
        <v>15230</v>
      </c>
      <c r="N32">
        <v>14059</v>
      </c>
      <c r="O32">
        <v>12</v>
      </c>
    </row>
    <row r="33" spans="1:15" x14ac:dyDescent="0.35">
      <c r="A33" t="s">
        <v>8</v>
      </c>
      <c r="B33" t="s">
        <v>9</v>
      </c>
      <c r="C33" t="str">
        <f t="shared" si="8"/>
        <v>11252</v>
      </c>
      <c r="D33" t="s">
        <v>14</v>
      </c>
      <c r="E33" t="str">
        <f t="shared" si="9"/>
        <v>29</v>
      </c>
      <c r="F33">
        <v>49717</v>
      </c>
      <c r="G33">
        <v>44678</v>
      </c>
      <c r="H33">
        <v>2069</v>
      </c>
      <c r="I33" t="str">
        <f>("3")</f>
        <v>3</v>
      </c>
      <c r="J33" t="str">
        <f>("CD&amp;V")</f>
        <v>CD&amp;V</v>
      </c>
      <c r="K33">
        <v>713</v>
      </c>
      <c r="L33">
        <v>1790</v>
      </c>
      <c r="M33">
        <v>2503</v>
      </c>
      <c r="N33">
        <v>1252</v>
      </c>
      <c r="O33">
        <v>1</v>
      </c>
    </row>
    <row r="34" spans="1:15" x14ac:dyDescent="0.35">
      <c r="A34" t="s">
        <v>8</v>
      </c>
      <c r="B34" t="s">
        <v>9</v>
      </c>
      <c r="C34" t="str">
        <f t="shared" si="8"/>
        <v>11252</v>
      </c>
      <c r="D34" t="s">
        <v>14</v>
      </c>
      <c r="E34" t="str">
        <f t="shared" si="9"/>
        <v>29</v>
      </c>
      <c r="F34">
        <v>49717</v>
      </c>
      <c r="G34">
        <v>44678</v>
      </c>
      <c r="H34">
        <v>2069</v>
      </c>
      <c r="I34" t="str">
        <f>("4")</f>
        <v>4</v>
      </c>
      <c r="J34" t="str">
        <f>("Groen")</f>
        <v>Groen</v>
      </c>
      <c r="K34">
        <v>2541</v>
      </c>
      <c r="L34">
        <v>4950</v>
      </c>
      <c r="M34">
        <v>7491</v>
      </c>
      <c r="N34">
        <v>6243</v>
      </c>
      <c r="O34">
        <v>5</v>
      </c>
    </row>
    <row r="35" spans="1:15" x14ac:dyDescent="0.35">
      <c r="A35" t="s">
        <v>8</v>
      </c>
      <c r="B35" t="s">
        <v>9</v>
      </c>
      <c r="C35" t="str">
        <f t="shared" si="8"/>
        <v>11252</v>
      </c>
      <c r="D35" t="s">
        <v>14</v>
      </c>
      <c r="E35" t="str">
        <f t="shared" si="9"/>
        <v>29</v>
      </c>
      <c r="F35">
        <v>49717</v>
      </c>
      <c r="G35">
        <v>44678</v>
      </c>
      <c r="H35">
        <v>2069</v>
      </c>
      <c r="I35" t="str">
        <f>("5")</f>
        <v>5</v>
      </c>
      <c r="J35" t="str">
        <f>("VLAAMS BELANG")</f>
        <v>VLAAMS BELANG</v>
      </c>
      <c r="K35">
        <v>2082</v>
      </c>
      <c r="L35">
        <v>3712</v>
      </c>
      <c r="M35">
        <v>5794</v>
      </c>
      <c r="N35">
        <v>4636</v>
      </c>
      <c r="O35">
        <v>4</v>
      </c>
    </row>
    <row r="36" spans="1:15" x14ac:dyDescent="0.35">
      <c r="A36" t="s">
        <v>8</v>
      </c>
      <c r="B36" t="s">
        <v>9</v>
      </c>
      <c r="C36" t="str">
        <f t="shared" si="8"/>
        <v>11252</v>
      </c>
      <c r="D36" t="s">
        <v>14</v>
      </c>
      <c r="E36" t="str">
        <f t="shared" si="9"/>
        <v>29</v>
      </c>
      <c r="F36">
        <v>49717</v>
      </c>
      <c r="G36">
        <v>44678</v>
      </c>
      <c r="H36">
        <v>2069</v>
      </c>
      <c r="I36" t="str">
        <f>("6")</f>
        <v>6</v>
      </c>
      <c r="J36" t="str">
        <f>("Open Vld")</f>
        <v>Open Vld</v>
      </c>
      <c r="K36">
        <v>585</v>
      </c>
      <c r="L36">
        <v>990</v>
      </c>
      <c r="M36">
        <v>1575</v>
      </c>
      <c r="N36">
        <v>788</v>
      </c>
      <c r="O36">
        <v>1</v>
      </c>
    </row>
    <row r="37" spans="1:15" x14ac:dyDescent="0.35">
      <c r="A37" t="s">
        <v>8</v>
      </c>
      <c r="B37" t="s">
        <v>9</v>
      </c>
      <c r="C37" t="str">
        <f t="shared" si="8"/>
        <v>11252</v>
      </c>
      <c r="D37" t="s">
        <v>14</v>
      </c>
      <c r="E37" t="str">
        <f t="shared" si="9"/>
        <v>29</v>
      </c>
      <c r="F37">
        <v>49717</v>
      </c>
      <c r="G37">
        <v>44678</v>
      </c>
      <c r="H37">
        <v>2069</v>
      </c>
      <c r="I37" t="str">
        <f>("7")</f>
        <v>7</v>
      </c>
      <c r="J37" t="str">
        <f>("PVDA")</f>
        <v>PVDA</v>
      </c>
      <c r="K37">
        <v>1274</v>
      </c>
      <c r="L37">
        <v>3427</v>
      </c>
      <c r="M37">
        <v>4701</v>
      </c>
      <c r="N37">
        <v>3526</v>
      </c>
      <c r="O37">
        <v>3</v>
      </c>
    </row>
    <row r="38" spans="1:15" x14ac:dyDescent="0.35">
      <c r="A38" t="s">
        <v>8</v>
      </c>
      <c r="B38" t="s">
        <v>9</v>
      </c>
      <c r="C38" t="str">
        <f t="shared" si="8"/>
        <v>11252</v>
      </c>
      <c r="D38" t="s">
        <v>14</v>
      </c>
      <c r="E38" t="str">
        <f t="shared" si="9"/>
        <v>29</v>
      </c>
      <c r="F38">
        <v>49717</v>
      </c>
      <c r="G38">
        <v>44678</v>
      </c>
      <c r="H38">
        <v>2069</v>
      </c>
      <c r="I38" t="str">
        <f>("8")</f>
        <v>8</v>
      </c>
      <c r="J38" t="str">
        <f>("Be.One")</f>
        <v>Be.One</v>
      </c>
      <c r="K38">
        <v>30</v>
      </c>
      <c r="L38">
        <v>215</v>
      </c>
      <c r="M38">
        <v>245</v>
      </c>
      <c r="O38">
        <v>0</v>
      </c>
    </row>
    <row r="39" spans="1:15" x14ac:dyDescent="0.35">
      <c r="A39" t="s">
        <v>8</v>
      </c>
      <c r="B39" t="s">
        <v>9</v>
      </c>
      <c r="C39" t="str">
        <f t="shared" si="8"/>
        <v>11252</v>
      </c>
      <c r="D39" t="s">
        <v>14</v>
      </c>
      <c r="E39" t="str">
        <f t="shared" si="9"/>
        <v>29</v>
      </c>
      <c r="F39">
        <v>49717</v>
      </c>
      <c r="G39">
        <v>44678</v>
      </c>
      <c r="H39">
        <v>2069</v>
      </c>
      <c r="I39" t="str">
        <f>("9")</f>
        <v>9</v>
      </c>
      <c r="J39" t="str">
        <f>("PARTIJ VLAANDEREN")</f>
        <v>PARTIJ VLAANDEREN</v>
      </c>
      <c r="K39">
        <v>59</v>
      </c>
      <c r="L39">
        <v>122</v>
      </c>
      <c r="M39">
        <v>181</v>
      </c>
      <c r="O39">
        <v>0</v>
      </c>
    </row>
    <row r="40" spans="1:15" x14ac:dyDescent="0.35">
      <c r="A40" t="s">
        <v>8</v>
      </c>
      <c r="B40" t="s">
        <v>9</v>
      </c>
      <c r="C40" t="str">
        <f t="shared" si="8"/>
        <v>11252</v>
      </c>
      <c r="D40" t="s">
        <v>14</v>
      </c>
      <c r="E40" t="str">
        <f t="shared" si="9"/>
        <v>29</v>
      </c>
      <c r="F40">
        <v>49717</v>
      </c>
      <c r="G40">
        <v>44678</v>
      </c>
      <c r="H40">
        <v>2069</v>
      </c>
      <c r="I40" t="str">
        <f>("10")</f>
        <v>10</v>
      </c>
      <c r="J40" t="str">
        <f>("D-SA")</f>
        <v>D-SA</v>
      </c>
      <c r="K40">
        <v>54</v>
      </c>
      <c r="L40">
        <v>486</v>
      </c>
      <c r="M40">
        <v>540</v>
      </c>
      <c r="O40">
        <v>0</v>
      </c>
    </row>
    <row r="41" spans="1:15" x14ac:dyDescent="0.35">
      <c r="A41" t="s">
        <v>8</v>
      </c>
      <c r="B41" t="s">
        <v>9</v>
      </c>
      <c r="C41" t="str">
        <f t="shared" ref="C41:C47" si="10">("11262")</f>
        <v>11262</v>
      </c>
      <c r="D41" t="s">
        <v>15</v>
      </c>
      <c r="E41" t="str">
        <f t="shared" ref="E41:E47" si="11">("21")</f>
        <v>21</v>
      </c>
      <c r="F41">
        <v>20401</v>
      </c>
      <c r="G41">
        <v>18599</v>
      </c>
      <c r="H41">
        <v>646</v>
      </c>
      <c r="I41" t="str">
        <f>("1")</f>
        <v>1</v>
      </c>
      <c r="J41" t="str">
        <f>("sp.a")</f>
        <v>sp.a</v>
      </c>
      <c r="K41">
        <v>452</v>
      </c>
      <c r="L41">
        <v>1169</v>
      </c>
      <c r="M41">
        <v>1621</v>
      </c>
      <c r="N41">
        <v>1081</v>
      </c>
      <c r="O41">
        <v>2</v>
      </c>
    </row>
    <row r="42" spans="1:15" x14ac:dyDescent="0.35">
      <c r="A42" t="s">
        <v>8</v>
      </c>
      <c r="B42" t="s">
        <v>9</v>
      </c>
      <c r="C42" t="str">
        <f t="shared" si="10"/>
        <v>11262</v>
      </c>
      <c r="D42" t="s">
        <v>15</v>
      </c>
      <c r="E42" t="str">
        <f t="shared" si="11"/>
        <v>21</v>
      </c>
      <c r="F42">
        <v>20401</v>
      </c>
      <c r="G42">
        <v>18599</v>
      </c>
      <c r="H42">
        <v>646</v>
      </c>
      <c r="I42" t="str">
        <f>("2")</f>
        <v>2</v>
      </c>
      <c r="J42" t="str">
        <f>("N-VA")</f>
        <v>N-VA</v>
      </c>
      <c r="K42">
        <v>2360</v>
      </c>
      <c r="L42">
        <v>4911</v>
      </c>
      <c r="M42">
        <v>7271</v>
      </c>
      <c r="N42">
        <v>6544</v>
      </c>
      <c r="O42">
        <v>9</v>
      </c>
    </row>
    <row r="43" spans="1:15" x14ac:dyDescent="0.35">
      <c r="A43" t="s">
        <v>8</v>
      </c>
      <c r="B43" t="s">
        <v>9</v>
      </c>
      <c r="C43" t="str">
        <f t="shared" si="10"/>
        <v>11262</v>
      </c>
      <c r="D43" t="s">
        <v>15</v>
      </c>
      <c r="E43" t="str">
        <f t="shared" si="11"/>
        <v>21</v>
      </c>
      <c r="F43">
        <v>20401</v>
      </c>
      <c r="G43">
        <v>18599</v>
      </c>
      <c r="H43">
        <v>646</v>
      </c>
      <c r="I43" t="str">
        <f>("3")</f>
        <v>3</v>
      </c>
      <c r="J43" t="str">
        <f>("CD&amp;V")</f>
        <v>CD&amp;V</v>
      </c>
      <c r="K43">
        <v>397</v>
      </c>
      <c r="L43">
        <v>951</v>
      </c>
      <c r="M43">
        <v>1348</v>
      </c>
      <c r="N43">
        <v>674</v>
      </c>
      <c r="O43">
        <v>1</v>
      </c>
    </row>
    <row r="44" spans="1:15" x14ac:dyDescent="0.35">
      <c r="A44" t="s">
        <v>8</v>
      </c>
      <c r="B44" t="s">
        <v>9</v>
      </c>
      <c r="C44" t="str">
        <f t="shared" si="10"/>
        <v>11262</v>
      </c>
      <c r="D44" t="s">
        <v>15</v>
      </c>
      <c r="E44" t="str">
        <f t="shared" si="11"/>
        <v>21</v>
      </c>
      <c r="F44">
        <v>20401</v>
      </c>
      <c r="G44">
        <v>18599</v>
      </c>
      <c r="H44">
        <v>646</v>
      </c>
      <c r="I44" t="str">
        <f>("4")</f>
        <v>4</v>
      </c>
      <c r="J44" t="str">
        <f>("Groen")</f>
        <v>Groen</v>
      </c>
      <c r="K44">
        <v>1166</v>
      </c>
      <c r="L44">
        <v>1707</v>
      </c>
      <c r="M44">
        <v>2873</v>
      </c>
      <c r="N44">
        <v>2155</v>
      </c>
      <c r="O44">
        <v>3</v>
      </c>
    </row>
    <row r="45" spans="1:15" x14ac:dyDescent="0.35">
      <c r="A45" t="s">
        <v>8</v>
      </c>
      <c r="B45" t="s">
        <v>9</v>
      </c>
      <c r="C45" t="str">
        <f t="shared" si="10"/>
        <v>11262</v>
      </c>
      <c r="D45" t="s">
        <v>15</v>
      </c>
      <c r="E45" t="str">
        <f t="shared" si="11"/>
        <v>21</v>
      </c>
      <c r="F45">
        <v>20401</v>
      </c>
      <c r="G45">
        <v>18599</v>
      </c>
      <c r="H45">
        <v>646</v>
      </c>
      <c r="I45" t="str">
        <f>("5")</f>
        <v>5</v>
      </c>
      <c r="J45" t="str">
        <f>("VLAAMS BELANG")</f>
        <v>VLAAMS BELANG</v>
      </c>
      <c r="K45">
        <v>796</v>
      </c>
      <c r="L45">
        <v>2315</v>
      </c>
      <c r="M45">
        <v>3111</v>
      </c>
      <c r="N45">
        <v>2489</v>
      </c>
      <c r="O45">
        <v>4</v>
      </c>
    </row>
    <row r="46" spans="1:15" x14ac:dyDescent="0.35">
      <c r="A46" t="s">
        <v>8</v>
      </c>
      <c r="B46" t="s">
        <v>9</v>
      </c>
      <c r="C46" t="str">
        <f t="shared" si="10"/>
        <v>11262</v>
      </c>
      <c r="D46" t="s">
        <v>15</v>
      </c>
      <c r="E46" t="str">
        <f t="shared" si="11"/>
        <v>21</v>
      </c>
      <c r="F46">
        <v>20401</v>
      </c>
      <c r="G46">
        <v>18599</v>
      </c>
      <c r="H46">
        <v>646</v>
      </c>
      <c r="I46" t="str">
        <f>("6")</f>
        <v>6</v>
      </c>
      <c r="J46" t="str">
        <f>("Open Vld")</f>
        <v>Open Vld</v>
      </c>
      <c r="K46">
        <v>428</v>
      </c>
      <c r="L46">
        <v>532</v>
      </c>
      <c r="M46">
        <v>960</v>
      </c>
      <c r="N46">
        <v>480</v>
      </c>
      <c r="O46">
        <v>1</v>
      </c>
    </row>
    <row r="47" spans="1:15" x14ac:dyDescent="0.35">
      <c r="A47" t="s">
        <v>8</v>
      </c>
      <c r="B47" t="s">
        <v>9</v>
      </c>
      <c r="C47" t="str">
        <f t="shared" si="10"/>
        <v>11262</v>
      </c>
      <c r="D47" t="s">
        <v>15</v>
      </c>
      <c r="E47" t="str">
        <f t="shared" si="11"/>
        <v>21</v>
      </c>
      <c r="F47">
        <v>20401</v>
      </c>
      <c r="G47">
        <v>18599</v>
      </c>
      <c r="H47">
        <v>646</v>
      </c>
      <c r="I47" t="str">
        <f>("7")</f>
        <v>7</v>
      </c>
      <c r="J47" t="str">
        <f>("PVDA")</f>
        <v>PVDA</v>
      </c>
      <c r="K47">
        <v>287</v>
      </c>
      <c r="L47">
        <v>482</v>
      </c>
      <c r="M47">
        <v>769</v>
      </c>
      <c r="N47">
        <v>385</v>
      </c>
      <c r="O47">
        <v>1</v>
      </c>
    </row>
    <row r="48" spans="1:15" x14ac:dyDescent="0.35">
      <c r="A48" t="s">
        <v>8</v>
      </c>
      <c r="B48" t="s">
        <v>9</v>
      </c>
      <c r="C48" t="str">
        <f t="shared" ref="C48:C55" si="12">("11272")</f>
        <v>11272</v>
      </c>
      <c r="D48" t="s">
        <v>16</v>
      </c>
      <c r="E48" t="str">
        <f t="shared" ref="E48:E55" si="13">("23")</f>
        <v>23</v>
      </c>
      <c r="F48">
        <v>25687</v>
      </c>
      <c r="G48">
        <v>23566</v>
      </c>
      <c r="H48">
        <v>970</v>
      </c>
      <c r="I48" t="str">
        <f>("1")</f>
        <v>1</v>
      </c>
      <c r="J48" t="str">
        <f>("sp.a")</f>
        <v>sp.a</v>
      </c>
      <c r="K48">
        <v>733</v>
      </c>
      <c r="L48">
        <v>2148</v>
      </c>
      <c r="M48">
        <v>2881</v>
      </c>
      <c r="N48">
        <v>2161</v>
      </c>
      <c r="O48">
        <v>3</v>
      </c>
    </row>
    <row r="49" spans="1:15" x14ac:dyDescent="0.35">
      <c r="A49" t="s">
        <v>8</v>
      </c>
      <c r="B49" t="s">
        <v>9</v>
      </c>
      <c r="C49" t="str">
        <f t="shared" si="12"/>
        <v>11272</v>
      </c>
      <c r="D49" t="s">
        <v>16</v>
      </c>
      <c r="E49" t="str">
        <f t="shared" si="13"/>
        <v>23</v>
      </c>
      <c r="F49">
        <v>25687</v>
      </c>
      <c r="G49">
        <v>23566</v>
      </c>
      <c r="H49">
        <v>970</v>
      </c>
      <c r="I49" t="str">
        <f>("2")</f>
        <v>2</v>
      </c>
      <c r="J49" t="str">
        <f>("N-VA")</f>
        <v>N-VA</v>
      </c>
      <c r="K49">
        <v>3034</v>
      </c>
      <c r="L49">
        <v>4302</v>
      </c>
      <c r="M49">
        <v>7336</v>
      </c>
      <c r="N49">
        <v>6521</v>
      </c>
      <c r="O49">
        <v>8</v>
      </c>
    </row>
    <row r="50" spans="1:15" x14ac:dyDescent="0.35">
      <c r="A50" t="s">
        <v>8</v>
      </c>
      <c r="B50" t="s">
        <v>9</v>
      </c>
      <c r="C50" t="str">
        <f t="shared" si="12"/>
        <v>11272</v>
      </c>
      <c r="D50" t="s">
        <v>16</v>
      </c>
      <c r="E50" t="str">
        <f t="shared" si="13"/>
        <v>23</v>
      </c>
      <c r="F50">
        <v>25687</v>
      </c>
      <c r="G50">
        <v>23566</v>
      </c>
      <c r="H50">
        <v>970</v>
      </c>
      <c r="I50" t="str">
        <f>("3")</f>
        <v>3</v>
      </c>
      <c r="J50" t="str">
        <f>("CD&amp;V")</f>
        <v>CD&amp;V</v>
      </c>
      <c r="K50">
        <v>330</v>
      </c>
      <c r="L50">
        <v>1132</v>
      </c>
      <c r="M50">
        <v>1462</v>
      </c>
      <c r="N50">
        <v>731</v>
      </c>
      <c r="O50">
        <v>1</v>
      </c>
    </row>
    <row r="51" spans="1:15" x14ac:dyDescent="0.35">
      <c r="A51" t="s">
        <v>8</v>
      </c>
      <c r="B51" t="s">
        <v>9</v>
      </c>
      <c r="C51" t="str">
        <f t="shared" si="12"/>
        <v>11272</v>
      </c>
      <c r="D51" t="s">
        <v>16</v>
      </c>
      <c r="E51" t="str">
        <f t="shared" si="13"/>
        <v>23</v>
      </c>
      <c r="F51">
        <v>25687</v>
      </c>
      <c r="G51">
        <v>23566</v>
      </c>
      <c r="H51">
        <v>970</v>
      </c>
      <c r="I51" t="str">
        <f>("4")</f>
        <v>4</v>
      </c>
      <c r="J51" t="str">
        <f>("Groen")</f>
        <v>Groen</v>
      </c>
      <c r="K51">
        <v>934</v>
      </c>
      <c r="L51">
        <v>1782</v>
      </c>
      <c r="M51">
        <v>2716</v>
      </c>
      <c r="N51">
        <v>2037</v>
      </c>
      <c r="O51">
        <v>3</v>
      </c>
    </row>
    <row r="52" spans="1:15" x14ac:dyDescent="0.35">
      <c r="A52" t="s">
        <v>8</v>
      </c>
      <c r="B52" t="s">
        <v>9</v>
      </c>
      <c r="C52" t="str">
        <f t="shared" si="12"/>
        <v>11272</v>
      </c>
      <c r="D52" t="s">
        <v>16</v>
      </c>
      <c r="E52" t="str">
        <f t="shared" si="13"/>
        <v>23</v>
      </c>
      <c r="F52">
        <v>25687</v>
      </c>
      <c r="G52">
        <v>23566</v>
      </c>
      <c r="H52">
        <v>970</v>
      </c>
      <c r="I52" t="str">
        <f>("5")</f>
        <v>5</v>
      </c>
      <c r="J52" t="str">
        <f>("VLAAMS BELANG")</f>
        <v>VLAAMS BELANG</v>
      </c>
      <c r="K52">
        <v>1337</v>
      </c>
      <c r="L52">
        <v>2015</v>
      </c>
      <c r="M52">
        <v>3352</v>
      </c>
      <c r="N52">
        <v>2682</v>
      </c>
      <c r="O52">
        <v>4</v>
      </c>
    </row>
    <row r="53" spans="1:15" x14ac:dyDescent="0.35">
      <c r="A53" t="s">
        <v>8</v>
      </c>
      <c r="B53" t="s">
        <v>9</v>
      </c>
      <c r="C53" t="str">
        <f t="shared" si="12"/>
        <v>11272</v>
      </c>
      <c r="D53" t="s">
        <v>16</v>
      </c>
      <c r="E53" t="str">
        <f t="shared" si="13"/>
        <v>23</v>
      </c>
      <c r="F53">
        <v>25687</v>
      </c>
      <c r="G53">
        <v>23566</v>
      </c>
      <c r="H53">
        <v>970</v>
      </c>
      <c r="I53" t="str">
        <f>("6")</f>
        <v>6</v>
      </c>
      <c r="J53" t="str">
        <f>("Open Vld")</f>
        <v>Open Vld</v>
      </c>
      <c r="K53">
        <v>237</v>
      </c>
      <c r="L53">
        <v>405</v>
      </c>
      <c r="M53">
        <v>642</v>
      </c>
      <c r="O53">
        <v>0</v>
      </c>
    </row>
    <row r="54" spans="1:15" x14ac:dyDescent="0.35">
      <c r="A54" t="s">
        <v>8</v>
      </c>
      <c r="B54" t="s">
        <v>9</v>
      </c>
      <c r="C54" t="str">
        <f t="shared" si="12"/>
        <v>11272</v>
      </c>
      <c r="D54" t="s">
        <v>16</v>
      </c>
      <c r="E54" t="str">
        <f t="shared" si="13"/>
        <v>23</v>
      </c>
      <c r="F54">
        <v>25687</v>
      </c>
      <c r="G54">
        <v>23566</v>
      </c>
      <c r="H54">
        <v>970</v>
      </c>
      <c r="I54" t="str">
        <f>("7")</f>
        <v>7</v>
      </c>
      <c r="J54" t="str">
        <f>("PVDA")</f>
        <v>PVDA</v>
      </c>
      <c r="K54">
        <v>688</v>
      </c>
      <c r="L54">
        <v>2625</v>
      </c>
      <c r="M54">
        <v>3313</v>
      </c>
      <c r="N54">
        <v>2485</v>
      </c>
      <c r="O54">
        <v>3</v>
      </c>
    </row>
    <row r="55" spans="1:15" x14ac:dyDescent="0.35">
      <c r="A55" t="s">
        <v>8</v>
      </c>
      <c r="B55" t="s">
        <v>9</v>
      </c>
      <c r="C55" t="str">
        <f t="shared" si="12"/>
        <v>11272</v>
      </c>
      <c r="D55" t="s">
        <v>16</v>
      </c>
      <c r="E55" t="str">
        <f t="shared" si="13"/>
        <v>23</v>
      </c>
      <c r="F55">
        <v>25687</v>
      </c>
      <c r="G55">
        <v>23566</v>
      </c>
      <c r="H55">
        <v>970</v>
      </c>
      <c r="I55" t="str">
        <f>("8")</f>
        <v>8</v>
      </c>
      <c r="J55" t="str">
        <f>("D-SA")</f>
        <v>D-SA</v>
      </c>
      <c r="K55">
        <v>42</v>
      </c>
      <c r="L55">
        <v>852</v>
      </c>
      <c r="M55">
        <v>894</v>
      </c>
      <c r="N55">
        <v>447</v>
      </c>
      <c r="O55">
        <v>1</v>
      </c>
    </row>
    <row r="56" spans="1:15" x14ac:dyDescent="0.35">
      <c r="A56" t="s">
        <v>8</v>
      </c>
      <c r="B56" t="s">
        <v>9</v>
      </c>
      <c r="C56" t="str">
        <f t="shared" ref="C56:C65" si="14">("11282")</f>
        <v>11282</v>
      </c>
      <c r="D56" t="s">
        <v>17</v>
      </c>
      <c r="E56" t="str">
        <f t="shared" ref="E56:E73" si="15">("25")</f>
        <v>25</v>
      </c>
      <c r="F56">
        <v>29016</v>
      </c>
      <c r="G56">
        <v>25938</v>
      </c>
      <c r="H56">
        <v>1090</v>
      </c>
      <c r="I56" t="str">
        <f>("1")</f>
        <v>1</v>
      </c>
      <c r="J56" t="str">
        <f>("sp.a")</f>
        <v>sp.a</v>
      </c>
      <c r="K56">
        <v>659</v>
      </c>
      <c r="L56">
        <v>2105</v>
      </c>
      <c r="M56">
        <v>2764</v>
      </c>
      <c r="N56">
        <v>2073</v>
      </c>
      <c r="O56">
        <v>3</v>
      </c>
    </row>
    <row r="57" spans="1:15" x14ac:dyDescent="0.35">
      <c r="A57" t="s">
        <v>8</v>
      </c>
      <c r="B57" t="s">
        <v>9</v>
      </c>
      <c r="C57" t="str">
        <f t="shared" si="14"/>
        <v>11282</v>
      </c>
      <c r="D57" t="s">
        <v>17</v>
      </c>
      <c r="E57" t="str">
        <f t="shared" si="15"/>
        <v>25</v>
      </c>
      <c r="F57">
        <v>29016</v>
      </c>
      <c r="G57">
        <v>25938</v>
      </c>
      <c r="H57">
        <v>1090</v>
      </c>
      <c r="I57" t="str">
        <f>("2")</f>
        <v>2</v>
      </c>
      <c r="J57" t="str">
        <f>("N-VA")</f>
        <v>N-VA</v>
      </c>
      <c r="K57">
        <v>2993</v>
      </c>
      <c r="L57">
        <v>6403</v>
      </c>
      <c r="M57">
        <v>9396</v>
      </c>
      <c r="N57">
        <v>8613</v>
      </c>
      <c r="O57">
        <v>11</v>
      </c>
    </row>
    <row r="58" spans="1:15" x14ac:dyDescent="0.35">
      <c r="A58" t="s">
        <v>8</v>
      </c>
      <c r="B58" t="s">
        <v>9</v>
      </c>
      <c r="C58" t="str">
        <f t="shared" si="14"/>
        <v>11282</v>
      </c>
      <c r="D58" t="s">
        <v>17</v>
      </c>
      <c r="E58" t="str">
        <f t="shared" si="15"/>
        <v>25</v>
      </c>
      <c r="F58">
        <v>29016</v>
      </c>
      <c r="G58">
        <v>25938</v>
      </c>
      <c r="H58">
        <v>1090</v>
      </c>
      <c r="I58" t="str">
        <f>("3")</f>
        <v>3</v>
      </c>
      <c r="J58" t="str">
        <f>("CD&amp;V")</f>
        <v>CD&amp;V</v>
      </c>
      <c r="K58">
        <v>377</v>
      </c>
      <c r="L58">
        <v>1658</v>
      </c>
      <c r="M58">
        <v>2035</v>
      </c>
      <c r="N58">
        <v>1357</v>
      </c>
      <c r="O58">
        <v>2</v>
      </c>
    </row>
    <row r="59" spans="1:15" x14ac:dyDescent="0.35">
      <c r="A59" t="s">
        <v>8</v>
      </c>
      <c r="B59" t="s">
        <v>9</v>
      </c>
      <c r="C59" t="str">
        <f t="shared" si="14"/>
        <v>11282</v>
      </c>
      <c r="D59" t="s">
        <v>17</v>
      </c>
      <c r="E59" t="str">
        <f t="shared" si="15"/>
        <v>25</v>
      </c>
      <c r="F59">
        <v>29016</v>
      </c>
      <c r="G59">
        <v>25938</v>
      </c>
      <c r="H59">
        <v>1090</v>
      </c>
      <c r="I59" t="str">
        <f>("4")</f>
        <v>4</v>
      </c>
      <c r="J59" t="str">
        <f>("Groen")</f>
        <v>Groen</v>
      </c>
      <c r="K59">
        <v>955</v>
      </c>
      <c r="L59">
        <v>2243</v>
      </c>
      <c r="M59">
        <v>3198</v>
      </c>
      <c r="N59">
        <v>2399</v>
      </c>
      <c r="O59">
        <v>3</v>
      </c>
    </row>
    <row r="60" spans="1:15" x14ac:dyDescent="0.35">
      <c r="A60" t="s">
        <v>8</v>
      </c>
      <c r="B60" t="s">
        <v>9</v>
      </c>
      <c r="C60" t="str">
        <f t="shared" si="14"/>
        <v>11282</v>
      </c>
      <c r="D60" t="s">
        <v>17</v>
      </c>
      <c r="E60" t="str">
        <f t="shared" si="15"/>
        <v>25</v>
      </c>
      <c r="F60">
        <v>29016</v>
      </c>
      <c r="G60">
        <v>25938</v>
      </c>
      <c r="H60">
        <v>1090</v>
      </c>
      <c r="I60" t="str">
        <f>("5")</f>
        <v>5</v>
      </c>
      <c r="J60" t="str">
        <f>("VLAAMS BELANG")</f>
        <v>VLAAMS BELANG</v>
      </c>
      <c r="K60">
        <v>1347</v>
      </c>
      <c r="L60">
        <v>2916</v>
      </c>
      <c r="M60">
        <v>4263</v>
      </c>
      <c r="N60">
        <v>3411</v>
      </c>
      <c r="O60">
        <v>4</v>
      </c>
    </row>
    <row r="61" spans="1:15" x14ac:dyDescent="0.35">
      <c r="A61" t="s">
        <v>8</v>
      </c>
      <c r="B61" t="s">
        <v>9</v>
      </c>
      <c r="C61" t="str">
        <f t="shared" si="14"/>
        <v>11282</v>
      </c>
      <c r="D61" t="s">
        <v>17</v>
      </c>
      <c r="E61" t="str">
        <f t="shared" si="15"/>
        <v>25</v>
      </c>
      <c r="F61">
        <v>29016</v>
      </c>
      <c r="G61">
        <v>25938</v>
      </c>
      <c r="H61">
        <v>1090</v>
      </c>
      <c r="I61" t="str">
        <f>("6")</f>
        <v>6</v>
      </c>
      <c r="J61" t="str">
        <f>("Open Vld")</f>
        <v>Open Vld</v>
      </c>
      <c r="K61">
        <v>332</v>
      </c>
      <c r="L61">
        <v>632</v>
      </c>
      <c r="M61">
        <v>964</v>
      </c>
      <c r="N61">
        <v>482</v>
      </c>
      <c r="O61">
        <v>1</v>
      </c>
    </row>
    <row r="62" spans="1:15" x14ac:dyDescent="0.35">
      <c r="A62" t="s">
        <v>8</v>
      </c>
      <c r="B62" t="s">
        <v>9</v>
      </c>
      <c r="C62" t="str">
        <f t="shared" si="14"/>
        <v>11282</v>
      </c>
      <c r="D62" t="s">
        <v>17</v>
      </c>
      <c r="E62" t="str">
        <f t="shared" si="15"/>
        <v>25</v>
      </c>
      <c r="F62">
        <v>29016</v>
      </c>
      <c r="G62">
        <v>25938</v>
      </c>
      <c r="H62">
        <v>1090</v>
      </c>
      <c r="I62" t="str">
        <f>("7")</f>
        <v>7</v>
      </c>
      <c r="J62" t="str">
        <f>("PVDA")</f>
        <v>PVDA</v>
      </c>
      <c r="K62">
        <v>401</v>
      </c>
      <c r="L62">
        <v>1138</v>
      </c>
      <c r="M62">
        <v>1539</v>
      </c>
      <c r="N62">
        <v>770</v>
      </c>
      <c r="O62">
        <v>1</v>
      </c>
    </row>
    <row r="63" spans="1:15" x14ac:dyDescent="0.35">
      <c r="A63" t="s">
        <v>8</v>
      </c>
      <c r="B63" t="s">
        <v>9</v>
      </c>
      <c r="C63" t="str">
        <f t="shared" si="14"/>
        <v>11282</v>
      </c>
      <c r="D63" t="s">
        <v>17</v>
      </c>
      <c r="E63" t="str">
        <f t="shared" si="15"/>
        <v>25</v>
      </c>
      <c r="F63">
        <v>29016</v>
      </c>
      <c r="G63">
        <v>25938</v>
      </c>
      <c r="H63">
        <v>1090</v>
      </c>
      <c r="I63" t="str">
        <f>("8")</f>
        <v>8</v>
      </c>
      <c r="J63" t="str">
        <f>("Be.One")</f>
        <v>Be.One</v>
      </c>
      <c r="K63">
        <v>29</v>
      </c>
      <c r="L63">
        <v>215</v>
      </c>
      <c r="M63">
        <v>244</v>
      </c>
      <c r="O63">
        <v>0</v>
      </c>
    </row>
    <row r="64" spans="1:15" x14ac:dyDescent="0.35">
      <c r="A64" t="s">
        <v>8</v>
      </c>
      <c r="B64" t="s">
        <v>9</v>
      </c>
      <c r="C64" t="str">
        <f t="shared" si="14"/>
        <v>11282</v>
      </c>
      <c r="D64" t="s">
        <v>17</v>
      </c>
      <c r="E64" t="str">
        <f t="shared" si="15"/>
        <v>25</v>
      </c>
      <c r="F64">
        <v>29016</v>
      </c>
      <c r="G64">
        <v>25938</v>
      </c>
      <c r="H64">
        <v>1090</v>
      </c>
      <c r="I64" t="str">
        <f>("9")</f>
        <v>9</v>
      </c>
      <c r="J64" t="str">
        <f>("D-SA")</f>
        <v>D-SA</v>
      </c>
      <c r="K64">
        <v>16</v>
      </c>
      <c r="L64">
        <v>293</v>
      </c>
      <c r="M64">
        <v>309</v>
      </c>
      <c r="O64">
        <v>0</v>
      </c>
    </row>
    <row r="65" spans="1:15" x14ac:dyDescent="0.35">
      <c r="A65" t="s">
        <v>8</v>
      </c>
      <c r="B65" t="s">
        <v>9</v>
      </c>
      <c r="C65" t="str">
        <f t="shared" si="14"/>
        <v>11282</v>
      </c>
      <c r="D65" t="s">
        <v>17</v>
      </c>
      <c r="E65" t="str">
        <f t="shared" si="15"/>
        <v>25</v>
      </c>
      <c r="F65">
        <v>29016</v>
      </c>
      <c r="G65">
        <v>25938</v>
      </c>
      <c r="H65">
        <v>1090</v>
      </c>
      <c r="I65" t="str">
        <f>("10")</f>
        <v>10</v>
      </c>
      <c r="J65" t="str">
        <f>("Volkspartij")</f>
        <v>Volkspartij</v>
      </c>
      <c r="K65">
        <v>30</v>
      </c>
      <c r="L65">
        <v>106</v>
      </c>
      <c r="M65">
        <v>136</v>
      </c>
      <c r="O65">
        <v>0</v>
      </c>
    </row>
    <row r="66" spans="1:15" x14ac:dyDescent="0.35">
      <c r="A66" t="s">
        <v>8</v>
      </c>
      <c r="B66" t="s">
        <v>9</v>
      </c>
      <c r="C66" t="str">
        <f t="shared" ref="C66:C73" si="16">("11292")</f>
        <v>11292</v>
      </c>
      <c r="D66" t="s">
        <v>18</v>
      </c>
      <c r="E66" t="str">
        <f t="shared" si="15"/>
        <v>25</v>
      </c>
      <c r="F66">
        <v>28435</v>
      </c>
      <c r="G66">
        <v>25720</v>
      </c>
      <c r="H66">
        <v>837</v>
      </c>
      <c r="I66" t="str">
        <f>("1")</f>
        <v>1</v>
      </c>
      <c r="J66" t="str">
        <f>("sp.a")</f>
        <v>sp.a</v>
      </c>
      <c r="K66">
        <v>564</v>
      </c>
      <c r="L66">
        <v>1677</v>
      </c>
      <c r="M66">
        <v>2241</v>
      </c>
      <c r="N66">
        <v>1494</v>
      </c>
      <c r="O66">
        <v>2</v>
      </c>
    </row>
    <row r="67" spans="1:15" x14ac:dyDescent="0.35">
      <c r="A67" t="s">
        <v>8</v>
      </c>
      <c r="B67" t="s">
        <v>9</v>
      </c>
      <c r="C67" t="str">
        <f t="shared" si="16"/>
        <v>11292</v>
      </c>
      <c r="D67" t="s">
        <v>18</v>
      </c>
      <c r="E67" t="str">
        <f t="shared" si="15"/>
        <v>25</v>
      </c>
      <c r="F67">
        <v>28435</v>
      </c>
      <c r="G67">
        <v>25720</v>
      </c>
      <c r="H67">
        <v>837</v>
      </c>
      <c r="I67" t="str">
        <f>("2")</f>
        <v>2</v>
      </c>
      <c r="J67" t="str">
        <f>("N-VA")</f>
        <v>N-VA</v>
      </c>
      <c r="K67">
        <v>3762</v>
      </c>
      <c r="L67">
        <v>5773</v>
      </c>
      <c r="M67">
        <v>9535</v>
      </c>
      <c r="N67">
        <v>8669</v>
      </c>
      <c r="O67">
        <v>10</v>
      </c>
    </row>
    <row r="68" spans="1:15" x14ac:dyDescent="0.35">
      <c r="A68" t="s">
        <v>8</v>
      </c>
      <c r="B68" t="s">
        <v>9</v>
      </c>
      <c r="C68" t="str">
        <f t="shared" si="16"/>
        <v>11292</v>
      </c>
      <c r="D68" t="s">
        <v>18</v>
      </c>
      <c r="E68" t="str">
        <f t="shared" si="15"/>
        <v>25</v>
      </c>
      <c r="F68">
        <v>28435</v>
      </c>
      <c r="G68">
        <v>25720</v>
      </c>
      <c r="H68">
        <v>837</v>
      </c>
      <c r="I68" t="str">
        <f>("3")</f>
        <v>3</v>
      </c>
      <c r="J68" t="str">
        <f>("CD&amp;V")</f>
        <v>CD&amp;V</v>
      </c>
      <c r="K68">
        <v>629</v>
      </c>
      <c r="L68">
        <v>1874</v>
      </c>
      <c r="M68">
        <v>2503</v>
      </c>
      <c r="N68">
        <v>1669</v>
      </c>
      <c r="O68">
        <v>2</v>
      </c>
    </row>
    <row r="69" spans="1:15" x14ac:dyDescent="0.35">
      <c r="A69" t="s">
        <v>8</v>
      </c>
      <c r="B69" t="s">
        <v>9</v>
      </c>
      <c r="C69" t="str">
        <f t="shared" si="16"/>
        <v>11292</v>
      </c>
      <c r="D69" t="s">
        <v>18</v>
      </c>
      <c r="E69" t="str">
        <f t="shared" si="15"/>
        <v>25</v>
      </c>
      <c r="F69">
        <v>28435</v>
      </c>
      <c r="G69">
        <v>25720</v>
      </c>
      <c r="H69">
        <v>837</v>
      </c>
      <c r="I69" t="str">
        <f>("4")</f>
        <v>4</v>
      </c>
      <c r="J69" t="str">
        <f>("Groen")</f>
        <v>Groen</v>
      </c>
      <c r="K69">
        <v>1592</v>
      </c>
      <c r="L69">
        <v>2074</v>
      </c>
      <c r="M69">
        <v>3666</v>
      </c>
      <c r="N69">
        <v>2933</v>
      </c>
      <c r="O69">
        <v>4</v>
      </c>
    </row>
    <row r="70" spans="1:15" x14ac:dyDescent="0.35">
      <c r="A70" t="s">
        <v>8</v>
      </c>
      <c r="B70" t="s">
        <v>9</v>
      </c>
      <c r="C70" t="str">
        <f t="shared" si="16"/>
        <v>11292</v>
      </c>
      <c r="D70" t="s">
        <v>18</v>
      </c>
      <c r="E70" t="str">
        <f t="shared" si="15"/>
        <v>25</v>
      </c>
      <c r="F70">
        <v>28435</v>
      </c>
      <c r="G70">
        <v>25720</v>
      </c>
      <c r="H70">
        <v>837</v>
      </c>
      <c r="I70" t="str">
        <f>("5")</f>
        <v>5</v>
      </c>
      <c r="J70" t="str">
        <f>("VLAAMS BELANG")</f>
        <v>VLAAMS BELANG</v>
      </c>
      <c r="K70">
        <v>801</v>
      </c>
      <c r="L70">
        <v>1869</v>
      </c>
      <c r="M70">
        <v>2670</v>
      </c>
      <c r="N70">
        <v>2003</v>
      </c>
      <c r="O70">
        <v>3</v>
      </c>
    </row>
    <row r="71" spans="1:15" x14ac:dyDescent="0.35">
      <c r="A71" t="s">
        <v>8</v>
      </c>
      <c r="B71" t="s">
        <v>9</v>
      </c>
      <c r="C71" t="str">
        <f t="shared" si="16"/>
        <v>11292</v>
      </c>
      <c r="D71" t="s">
        <v>18</v>
      </c>
      <c r="E71" t="str">
        <f t="shared" si="15"/>
        <v>25</v>
      </c>
      <c r="F71">
        <v>28435</v>
      </c>
      <c r="G71">
        <v>25720</v>
      </c>
      <c r="H71">
        <v>837</v>
      </c>
      <c r="I71" t="str">
        <f>("6")</f>
        <v>6</v>
      </c>
      <c r="J71" t="str">
        <f>("Open Vld")</f>
        <v>Open Vld</v>
      </c>
      <c r="K71">
        <v>719</v>
      </c>
      <c r="L71">
        <v>1360</v>
      </c>
      <c r="M71">
        <v>2079</v>
      </c>
      <c r="N71">
        <v>1386</v>
      </c>
      <c r="O71">
        <v>2</v>
      </c>
    </row>
    <row r="72" spans="1:15" x14ac:dyDescent="0.35">
      <c r="A72" t="s">
        <v>8</v>
      </c>
      <c r="B72" t="s">
        <v>9</v>
      </c>
      <c r="C72" t="str">
        <f t="shared" si="16"/>
        <v>11292</v>
      </c>
      <c r="D72" t="s">
        <v>18</v>
      </c>
      <c r="E72" t="str">
        <f t="shared" si="15"/>
        <v>25</v>
      </c>
      <c r="F72">
        <v>28435</v>
      </c>
      <c r="G72">
        <v>25720</v>
      </c>
      <c r="H72">
        <v>837</v>
      </c>
      <c r="I72" t="str">
        <f>("7")</f>
        <v>7</v>
      </c>
      <c r="J72" t="str">
        <f>("PVDA")</f>
        <v>PVDA</v>
      </c>
      <c r="K72">
        <v>489</v>
      </c>
      <c r="L72">
        <v>1294</v>
      </c>
      <c r="M72">
        <v>1783</v>
      </c>
      <c r="N72">
        <v>1189</v>
      </c>
      <c r="O72">
        <v>2</v>
      </c>
    </row>
    <row r="73" spans="1:15" x14ac:dyDescent="0.35">
      <c r="A73" t="s">
        <v>8</v>
      </c>
      <c r="B73" t="s">
        <v>9</v>
      </c>
      <c r="C73" t="str">
        <f t="shared" si="16"/>
        <v>11292</v>
      </c>
      <c r="D73" t="s">
        <v>18</v>
      </c>
      <c r="E73" t="str">
        <f t="shared" si="15"/>
        <v>25</v>
      </c>
      <c r="F73">
        <v>28435</v>
      </c>
      <c r="G73">
        <v>25720</v>
      </c>
      <c r="H73">
        <v>837</v>
      </c>
      <c r="I73" t="str">
        <f>("8")</f>
        <v>8</v>
      </c>
      <c r="J73" t="str">
        <f>("D-SA")</f>
        <v>D-SA</v>
      </c>
      <c r="K73">
        <v>32</v>
      </c>
      <c r="L73">
        <v>374</v>
      </c>
      <c r="M73">
        <v>406</v>
      </c>
      <c r="O73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C6FEED-EAD9-4457-A552-F2D8CBEB1465}">
  <dimension ref="A1:X1503"/>
  <sheetViews>
    <sheetView tabSelected="1" workbookViewId="0"/>
  </sheetViews>
  <sheetFormatPr defaultRowHeight="14.5" x14ac:dyDescent="0.35"/>
  <cols>
    <col min="1" max="1" width="4.453125" bestFit="1" customWidth="1"/>
    <col min="2" max="2" width="10.453125" bestFit="1" customWidth="1"/>
    <col min="3" max="3" width="5.81640625" bestFit="1" customWidth="1"/>
    <col min="4" max="4" width="23.453125" bestFit="1" customWidth="1"/>
    <col min="5" max="5" width="9.36328125" bestFit="1" customWidth="1"/>
    <col min="6" max="7" width="11.81640625" bestFit="1" customWidth="1"/>
    <col min="8" max="8" width="14.81640625" bestFit="1" customWidth="1"/>
    <col min="9" max="9" width="5.453125" bestFit="1" customWidth="1"/>
    <col min="10" max="10" width="18.08984375" bestFit="1" customWidth="1"/>
    <col min="11" max="12" width="10.36328125" bestFit="1" customWidth="1"/>
    <col min="13" max="13" width="9" bestFit="1" customWidth="1"/>
    <col min="14" max="14" width="19.1796875" bestFit="1" customWidth="1"/>
    <col min="15" max="15" width="9.08984375" bestFit="1" customWidth="1"/>
    <col min="16" max="16" width="6" bestFit="1" customWidth="1"/>
    <col min="17" max="17" width="34" bestFit="1" customWidth="1"/>
    <col min="18" max="18" width="13.453125" bestFit="1" customWidth="1"/>
    <col min="19" max="19" width="16" customWidth="1"/>
    <col min="20" max="20" width="19.81640625" bestFit="1" customWidth="1"/>
    <col min="21" max="21" width="8.36328125" bestFit="1" customWidth="1"/>
    <col min="22" max="22" width="8.08984375" bestFit="1" customWidth="1"/>
    <col min="23" max="23" width="16.36328125" customWidth="1"/>
    <col min="24" max="24" width="14.453125" customWidth="1"/>
  </cols>
  <sheetData>
    <row r="1" spans="1:24" ht="58" x14ac:dyDescent="0.35">
      <c r="A1" t="s">
        <v>19</v>
      </c>
      <c r="B1" t="s">
        <v>20</v>
      </c>
      <c r="C1" s="2" t="s">
        <v>21</v>
      </c>
      <c r="D1" t="s">
        <v>22</v>
      </c>
      <c r="E1" s="1" t="s">
        <v>23</v>
      </c>
      <c r="F1" s="3" t="s">
        <v>24</v>
      </c>
      <c r="G1" s="1" t="s">
        <v>25</v>
      </c>
      <c r="H1" s="1" t="s">
        <v>26</v>
      </c>
      <c r="I1" s="1" t="s">
        <v>27</v>
      </c>
      <c r="J1" t="s">
        <v>28</v>
      </c>
      <c r="K1" s="1" t="s">
        <v>35</v>
      </c>
      <c r="L1" s="1" t="s">
        <v>36</v>
      </c>
      <c r="M1" s="1" t="s">
        <v>29</v>
      </c>
      <c r="N1" s="1" t="s">
        <v>30</v>
      </c>
      <c r="O1" s="3" t="s">
        <v>37</v>
      </c>
      <c r="P1" s="1" t="s">
        <v>31</v>
      </c>
      <c r="Q1" t="s">
        <v>39</v>
      </c>
      <c r="R1" t="s">
        <v>32</v>
      </c>
      <c r="S1" s="3" t="s">
        <v>40</v>
      </c>
      <c r="T1" s="3" t="s">
        <v>42</v>
      </c>
      <c r="U1" t="s">
        <v>33</v>
      </c>
      <c r="V1" t="s">
        <v>34</v>
      </c>
      <c r="W1" s="3" t="s">
        <v>41</v>
      </c>
      <c r="X1" s="3" t="s">
        <v>43</v>
      </c>
    </row>
    <row r="2" spans="1:24" x14ac:dyDescent="0.35">
      <c r="A2" t="s">
        <v>8</v>
      </c>
      <c r="B2" t="s">
        <v>9</v>
      </c>
      <c r="C2" t="str">
        <f t="shared" ref="C2:C65" si="0">("11102")</f>
        <v>11102</v>
      </c>
      <c r="D2" t="s">
        <v>10</v>
      </c>
      <c r="E2" t="str">
        <f t="shared" ref="E2:E65" si="1">("33")</f>
        <v>33</v>
      </c>
      <c r="F2">
        <v>109144</v>
      </c>
      <c r="G2">
        <v>94529</v>
      </c>
      <c r="H2">
        <v>3229</v>
      </c>
      <c r="I2" t="str">
        <f t="shared" ref="I2:I34" si="2">("1")</f>
        <v>1</v>
      </c>
      <c r="J2" t="str">
        <f t="shared" ref="J2:J34" si="3">("sp.a")</f>
        <v>sp.a</v>
      </c>
      <c r="K2">
        <v>2947</v>
      </c>
      <c r="L2">
        <v>8577</v>
      </c>
      <c r="M2">
        <v>11524</v>
      </c>
      <c r="N2">
        <v>9220</v>
      </c>
      <c r="O2">
        <v>4</v>
      </c>
      <c r="P2" t="str">
        <f>("1")</f>
        <v>1</v>
      </c>
      <c r="Q2" t="str">
        <f>("KHERBACHE Yasmine")</f>
        <v>KHERBACHE Yasmine</v>
      </c>
      <c r="R2">
        <v>4356</v>
      </c>
      <c r="S2">
        <v>8286</v>
      </c>
      <c r="T2">
        <v>0</v>
      </c>
      <c r="U2">
        <v>1</v>
      </c>
    </row>
    <row r="3" spans="1:24" x14ac:dyDescent="0.35">
      <c r="A3" t="s">
        <v>8</v>
      </c>
      <c r="B3" t="s">
        <v>9</v>
      </c>
      <c r="C3" t="str">
        <f t="shared" si="0"/>
        <v>11102</v>
      </c>
      <c r="D3" t="s">
        <v>10</v>
      </c>
      <c r="E3" t="str">
        <f t="shared" si="1"/>
        <v>33</v>
      </c>
      <c r="F3">
        <v>109144</v>
      </c>
      <c r="G3">
        <v>94529</v>
      </c>
      <c r="H3">
        <v>3229</v>
      </c>
      <c r="I3" t="str">
        <f t="shared" si="2"/>
        <v>1</v>
      </c>
      <c r="J3" t="str">
        <f t="shared" si="3"/>
        <v>sp.a</v>
      </c>
      <c r="K3">
        <v>2947</v>
      </c>
      <c r="L3">
        <v>8577</v>
      </c>
      <c r="M3">
        <v>11524</v>
      </c>
      <c r="N3">
        <v>9220</v>
      </c>
      <c r="O3">
        <v>4</v>
      </c>
      <c r="P3" t="str">
        <f>("2")</f>
        <v>2</v>
      </c>
      <c r="Q3" t="str">
        <f>("LUYCKX Sascha")</f>
        <v>LUYCKX Sascha</v>
      </c>
      <c r="R3">
        <v>584</v>
      </c>
      <c r="S3" t="s">
        <v>44</v>
      </c>
      <c r="T3">
        <v>0</v>
      </c>
      <c r="V3">
        <v>1</v>
      </c>
      <c r="W3">
        <v>4514</v>
      </c>
      <c r="X3">
        <v>0</v>
      </c>
    </row>
    <row r="4" spans="1:24" x14ac:dyDescent="0.35">
      <c r="A4" t="s">
        <v>8</v>
      </c>
      <c r="B4" t="s">
        <v>9</v>
      </c>
      <c r="C4" t="str">
        <f t="shared" si="0"/>
        <v>11102</v>
      </c>
      <c r="D4" t="s">
        <v>10</v>
      </c>
      <c r="E4" t="str">
        <f t="shared" si="1"/>
        <v>33</v>
      </c>
      <c r="F4">
        <v>109144</v>
      </c>
      <c r="G4">
        <v>94529</v>
      </c>
      <c r="H4">
        <v>3229</v>
      </c>
      <c r="I4" t="str">
        <f t="shared" si="2"/>
        <v>1</v>
      </c>
      <c r="J4" t="str">
        <f t="shared" si="3"/>
        <v>sp.a</v>
      </c>
      <c r="K4">
        <v>2947</v>
      </c>
      <c r="L4">
        <v>8577</v>
      </c>
      <c r="M4">
        <v>11524</v>
      </c>
      <c r="N4">
        <v>9220</v>
      </c>
      <c r="O4">
        <v>4</v>
      </c>
      <c r="P4" t="str">
        <f>("3")</f>
        <v>3</v>
      </c>
      <c r="Q4" t="str">
        <f>("TALHAOUI Fauzaya")</f>
        <v>TALHAOUI Fauzaya</v>
      </c>
      <c r="R4">
        <v>1147</v>
      </c>
      <c r="S4">
        <v>1147</v>
      </c>
      <c r="T4">
        <v>0</v>
      </c>
      <c r="U4">
        <v>2</v>
      </c>
    </row>
    <row r="5" spans="1:24" x14ac:dyDescent="0.35">
      <c r="A5" t="s">
        <v>8</v>
      </c>
      <c r="B5" t="s">
        <v>9</v>
      </c>
      <c r="C5" t="str">
        <f t="shared" si="0"/>
        <v>11102</v>
      </c>
      <c r="D5" t="s">
        <v>10</v>
      </c>
      <c r="E5" t="str">
        <f t="shared" si="1"/>
        <v>33</v>
      </c>
      <c r="F5">
        <v>109144</v>
      </c>
      <c r="G5">
        <v>94529</v>
      </c>
      <c r="H5">
        <v>3229</v>
      </c>
      <c r="I5" t="str">
        <f t="shared" si="2"/>
        <v>1</v>
      </c>
      <c r="J5" t="str">
        <f t="shared" si="3"/>
        <v>sp.a</v>
      </c>
      <c r="K5">
        <v>2947</v>
      </c>
      <c r="L5">
        <v>8577</v>
      </c>
      <c r="M5">
        <v>11524</v>
      </c>
      <c r="N5">
        <v>9220</v>
      </c>
      <c r="O5">
        <v>4</v>
      </c>
      <c r="P5" t="str">
        <f>("4")</f>
        <v>4</v>
      </c>
      <c r="Q5" t="str">
        <f>("VONK Stef")</f>
        <v>VONK Stef</v>
      </c>
      <c r="R5">
        <v>357</v>
      </c>
      <c r="S5" t="s">
        <v>44</v>
      </c>
      <c r="T5">
        <v>0</v>
      </c>
      <c r="V5">
        <v>6</v>
      </c>
      <c r="W5">
        <v>357</v>
      </c>
      <c r="X5">
        <v>0</v>
      </c>
    </row>
    <row r="6" spans="1:24" x14ac:dyDescent="0.35">
      <c r="A6" t="s">
        <v>8</v>
      </c>
      <c r="B6" t="s">
        <v>9</v>
      </c>
      <c r="C6" t="str">
        <f t="shared" si="0"/>
        <v>11102</v>
      </c>
      <c r="D6" t="s">
        <v>10</v>
      </c>
      <c r="E6" t="str">
        <f t="shared" si="1"/>
        <v>33</v>
      </c>
      <c r="F6">
        <v>109144</v>
      </c>
      <c r="G6">
        <v>94529</v>
      </c>
      <c r="H6">
        <v>3229</v>
      </c>
      <c r="I6" t="str">
        <f t="shared" si="2"/>
        <v>1</v>
      </c>
      <c r="J6" t="str">
        <f t="shared" si="3"/>
        <v>sp.a</v>
      </c>
      <c r="K6">
        <v>2947</v>
      </c>
      <c r="L6">
        <v>8577</v>
      </c>
      <c r="M6">
        <v>11524</v>
      </c>
      <c r="N6">
        <v>9220</v>
      </c>
      <c r="O6">
        <v>4</v>
      </c>
      <c r="P6" t="str">
        <f>("5")</f>
        <v>5</v>
      </c>
      <c r="Q6" t="str">
        <f>("DE BRIE Paula")</f>
        <v>DE BRIE Paula</v>
      </c>
      <c r="R6">
        <v>463</v>
      </c>
      <c r="S6" t="s">
        <v>44</v>
      </c>
      <c r="T6">
        <v>0</v>
      </c>
      <c r="V6">
        <v>2</v>
      </c>
      <c r="W6">
        <v>463</v>
      </c>
      <c r="X6">
        <v>0</v>
      </c>
    </row>
    <row r="7" spans="1:24" x14ac:dyDescent="0.35">
      <c r="A7" t="s">
        <v>8</v>
      </c>
      <c r="B7" t="s">
        <v>9</v>
      </c>
      <c r="C7" t="str">
        <f t="shared" si="0"/>
        <v>11102</v>
      </c>
      <c r="D7" t="s">
        <v>10</v>
      </c>
      <c r="E7" t="str">
        <f t="shared" si="1"/>
        <v>33</v>
      </c>
      <c r="F7">
        <v>109144</v>
      </c>
      <c r="G7">
        <v>94529</v>
      </c>
      <c r="H7">
        <v>3229</v>
      </c>
      <c r="I7" t="str">
        <f t="shared" si="2"/>
        <v>1</v>
      </c>
      <c r="J7" t="str">
        <f t="shared" si="3"/>
        <v>sp.a</v>
      </c>
      <c r="K7">
        <v>2947</v>
      </c>
      <c r="L7">
        <v>8577</v>
      </c>
      <c r="M7">
        <v>11524</v>
      </c>
      <c r="N7">
        <v>9220</v>
      </c>
      <c r="O7">
        <v>4</v>
      </c>
      <c r="P7" t="str">
        <f>("6")</f>
        <v>6</v>
      </c>
      <c r="Q7" t="str">
        <f>("VERLEE Peter")</f>
        <v>VERLEE Peter</v>
      </c>
      <c r="R7">
        <v>301</v>
      </c>
      <c r="S7" t="s">
        <v>44</v>
      </c>
      <c r="T7">
        <v>0</v>
      </c>
      <c r="V7">
        <v>8</v>
      </c>
      <c r="W7">
        <v>301</v>
      </c>
      <c r="X7">
        <v>0</v>
      </c>
    </row>
    <row r="8" spans="1:24" x14ac:dyDescent="0.35">
      <c r="A8" t="s">
        <v>8</v>
      </c>
      <c r="B8" t="s">
        <v>9</v>
      </c>
      <c r="C8" t="str">
        <f t="shared" si="0"/>
        <v>11102</v>
      </c>
      <c r="D8" t="s">
        <v>10</v>
      </c>
      <c r="E8" t="str">
        <f t="shared" si="1"/>
        <v>33</v>
      </c>
      <c r="F8">
        <v>109144</v>
      </c>
      <c r="G8">
        <v>94529</v>
      </c>
      <c r="H8">
        <v>3229</v>
      </c>
      <c r="I8" t="str">
        <f t="shared" si="2"/>
        <v>1</v>
      </c>
      <c r="J8" t="str">
        <f t="shared" si="3"/>
        <v>sp.a</v>
      </c>
      <c r="K8">
        <v>2947</v>
      </c>
      <c r="L8">
        <v>8577</v>
      </c>
      <c r="M8">
        <v>11524</v>
      </c>
      <c r="N8">
        <v>9220</v>
      </c>
      <c r="O8">
        <v>4</v>
      </c>
      <c r="P8" t="str">
        <f>("7")</f>
        <v>7</v>
      </c>
      <c r="Q8" t="str">
        <f>("KAZADI TSHIKALA Tatiana")</f>
        <v>KAZADI TSHIKALA Tatiana</v>
      </c>
      <c r="R8">
        <v>388</v>
      </c>
      <c r="S8" t="s">
        <v>44</v>
      </c>
      <c r="T8">
        <v>0</v>
      </c>
      <c r="V8">
        <v>3</v>
      </c>
      <c r="W8">
        <v>388</v>
      </c>
      <c r="X8">
        <v>0</v>
      </c>
    </row>
    <row r="9" spans="1:24" x14ac:dyDescent="0.35">
      <c r="A9" t="s">
        <v>8</v>
      </c>
      <c r="B9" t="s">
        <v>9</v>
      </c>
      <c r="C9" t="str">
        <f t="shared" si="0"/>
        <v>11102</v>
      </c>
      <c r="D9" t="s">
        <v>10</v>
      </c>
      <c r="E9" t="str">
        <f t="shared" si="1"/>
        <v>33</v>
      </c>
      <c r="F9">
        <v>109144</v>
      </c>
      <c r="G9">
        <v>94529</v>
      </c>
      <c r="H9">
        <v>3229</v>
      </c>
      <c r="I9" t="str">
        <f t="shared" si="2"/>
        <v>1</v>
      </c>
      <c r="J9" t="str">
        <f t="shared" si="3"/>
        <v>sp.a</v>
      </c>
      <c r="K9">
        <v>2947</v>
      </c>
      <c r="L9">
        <v>8577</v>
      </c>
      <c r="M9">
        <v>11524</v>
      </c>
      <c r="N9">
        <v>9220</v>
      </c>
      <c r="O9">
        <v>4</v>
      </c>
      <c r="P9" t="str">
        <f>("8")</f>
        <v>8</v>
      </c>
      <c r="Q9" t="str">
        <f>("CENGIC Gordan")</f>
        <v>CENGIC Gordan</v>
      </c>
      <c r="R9">
        <v>199</v>
      </c>
      <c r="S9" t="s">
        <v>44</v>
      </c>
      <c r="T9">
        <v>0</v>
      </c>
      <c r="V9">
        <v>16</v>
      </c>
      <c r="W9">
        <v>199</v>
      </c>
      <c r="X9">
        <v>0</v>
      </c>
    </row>
    <row r="10" spans="1:24" x14ac:dyDescent="0.35">
      <c r="A10" t="s">
        <v>8</v>
      </c>
      <c r="B10" t="s">
        <v>9</v>
      </c>
      <c r="C10" t="str">
        <f t="shared" si="0"/>
        <v>11102</v>
      </c>
      <c r="D10" t="s">
        <v>10</v>
      </c>
      <c r="E10" t="str">
        <f t="shared" si="1"/>
        <v>33</v>
      </c>
      <c r="F10">
        <v>109144</v>
      </c>
      <c r="G10">
        <v>94529</v>
      </c>
      <c r="H10">
        <v>3229</v>
      </c>
      <c r="I10" t="str">
        <f t="shared" si="2"/>
        <v>1</v>
      </c>
      <c r="J10" t="str">
        <f t="shared" si="3"/>
        <v>sp.a</v>
      </c>
      <c r="K10">
        <v>2947</v>
      </c>
      <c r="L10">
        <v>8577</v>
      </c>
      <c r="M10">
        <v>11524</v>
      </c>
      <c r="N10">
        <v>9220</v>
      </c>
      <c r="O10">
        <v>4</v>
      </c>
      <c r="P10" t="str">
        <f>("9")</f>
        <v>9</v>
      </c>
      <c r="Q10" t="str">
        <f>("D'HONDT Freija")</f>
        <v>D'HONDT Freija</v>
      </c>
      <c r="R10">
        <v>266</v>
      </c>
      <c r="S10" t="s">
        <v>44</v>
      </c>
      <c r="T10">
        <v>0</v>
      </c>
      <c r="V10">
        <v>11</v>
      </c>
      <c r="W10">
        <v>266</v>
      </c>
      <c r="X10">
        <v>0</v>
      </c>
    </row>
    <row r="11" spans="1:24" x14ac:dyDescent="0.35">
      <c r="A11" t="s">
        <v>8</v>
      </c>
      <c r="B11" t="s">
        <v>9</v>
      </c>
      <c r="C11" t="str">
        <f t="shared" si="0"/>
        <v>11102</v>
      </c>
      <c r="D11" t="s">
        <v>10</v>
      </c>
      <c r="E11" t="str">
        <f t="shared" si="1"/>
        <v>33</v>
      </c>
      <c r="F11">
        <v>109144</v>
      </c>
      <c r="G11">
        <v>94529</v>
      </c>
      <c r="H11">
        <v>3229</v>
      </c>
      <c r="I11" t="str">
        <f t="shared" si="2"/>
        <v>1</v>
      </c>
      <c r="J11" t="str">
        <f t="shared" si="3"/>
        <v>sp.a</v>
      </c>
      <c r="K11">
        <v>2947</v>
      </c>
      <c r="L11">
        <v>8577</v>
      </c>
      <c r="M11">
        <v>11524</v>
      </c>
      <c r="N11">
        <v>9220</v>
      </c>
      <c r="O11">
        <v>4</v>
      </c>
      <c r="P11" t="str">
        <f>("10")</f>
        <v>10</v>
      </c>
      <c r="Q11" t="str">
        <f>("WIESE Marc")</f>
        <v>WIESE Marc</v>
      </c>
      <c r="R11">
        <v>191</v>
      </c>
      <c r="S11" t="s">
        <v>44</v>
      </c>
      <c r="T11">
        <v>0</v>
      </c>
      <c r="V11">
        <v>19</v>
      </c>
      <c r="W11">
        <v>191</v>
      </c>
      <c r="X11">
        <v>0</v>
      </c>
    </row>
    <row r="12" spans="1:24" x14ac:dyDescent="0.35">
      <c r="A12" t="s">
        <v>8</v>
      </c>
      <c r="B12" t="s">
        <v>9</v>
      </c>
      <c r="C12" t="str">
        <f t="shared" si="0"/>
        <v>11102</v>
      </c>
      <c r="D12" t="s">
        <v>10</v>
      </c>
      <c r="E12" t="str">
        <f t="shared" si="1"/>
        <v>33</v>
      </c>
      <c r="F12">
        <v>109144</v>
      </c>
      <c r="G12">
        <v>94529</v>
      </c>
      <c r="H12">
        <v>3229</v>
      </c>
      <c r="I12" t="str">
        <f t="shared" si="2"/>
        <v>1</v>
      </c>
      <c r="J12" t="str">
        <f t="shared" si="3"/>
        <v>sp.a</v>
      </c>
      <c r="K12">
        <v>2947</v>
      </c>
      <c r="L12">
        <v>8577</v>
      </c>
      <c r="M12">
        <v>11524</v>
      </c>
      <c r="N12">
        <v>9220</v>
      </c>
      <c r="O12">
        <v>4</v>
      </c>
      <c r="P12" t="str">
        <f>("11")</f>
        <v>11</v>
      </c>
      <c r="Q12" t="str">
        <f>("KISTEMAKER Merel")</f>
        <v>KISTEMAKER Merel</v>
      </c>
      <c r="R12">
        <v>186</v>
      </c>
      <c r="S12" t="s">
        <v>44</v>
      </c>
      <c r="T12">
        <v>0</v>
      </c>
      <c r="V12">
        <v>21</v>
      </c>
      <c r="W12">
        <v>186</v>
      </c>
      <c r="X12">
        <v>0</v>
      </c>
    </row>
    <row r="13" spans="1:24" x14ac:dyDescent="0.35">
      <c r="A13" t="s">
        <v>8</v>
      </c>
      <c r="B13" t="s">
        <v>9</v>
      </c>
      <c r="C13" t="str">
        <f t="shared" si="0"/>
        <v>11102</v>
      </c>
      <c r="D13" t="s">
        <v>10</v>
      </c>
      <c r="E13" t="str">
        <f t="shared" si="1"/>
        <v>33</v>
      </c>
      <c r="F13">
        <v>109144</v>
      </c>
      <c r="G13">
        <v>94529</v>
      </c>
      <c r="H13">
        <v>3229</v>
      </c>
      <c r="I13" t="str">
        <f t="shared" si="2"/>
        <v>1</v>
      </c>
      <c r="J13" t="str">
        <f t="shared" si="3"/>
        <v>sp.a</v>
      </c>
      <c r="K13">
        <v>2947</v>
      </c>
      <c r="L13">
        <v>8577</v>
      </c>
      <c r="M13">
        <v>11524</v>
      </c>
      <c r="N13">
        <v>9220</v>
      </c>
      <c r="O13">
        <v>4</v>
      </c>
      <c r="P13" t="str">
        <f>("12")</f>
        <v>12</v>
      </c>
      <c r="Q13" t="str">
        <f>("DOGAN Ebubekir")</f>
        <v>DOGAN Ebubekir</v>
      </c>
      <c r="R13">
        <v>707</v>
      </c>
      <c r="S13">
        <v>707</v>
      </c>
      <c r="T13">
        <v>0</v>
      </c>
      <c r="U13">
        <v>4</v>
      </c>
    </row>
    <row r="14" spans="1:24" x14ac:dyDescent="0.35">
      <c r="A14" t="s">
        <v>8</v>
      </c>
      <c r="B14" t="s">
        <v>9</v>
      </c>
      <c r="C14" t="str">
        <f t="shared" si="0"/>
        <v>11102</v>
      </c>
      <c r="D14" t="s">
        <v>10</v>
      </c>
      <c r="E14" t="str">
        <f t="shared" si="1"/>
        <v>33</v>
      </c>
      <c r="F14">
        <v>109144</v>
      </c>
      <c r="G14">
        <v>94529</v>
      </c>
      <c r="H14">
        <v>3229</v>
      </c>
      <c r="I14" t="str">
        <f t="shared" si="2"/>
        <v>1</v>
      </c>
      <c r="J14" t="str">
        <f t="shared" si="3"/>
        <v>sp.a</v>
      </c>
      <c r="K14">
        <v>2947</v>
      </c>
      <c r="L14">
        <v>8577</v>
      </c>
      <c r="M14">
        <v>11524</v>
      </c>
      <c r="N14">
        <v>9220</v>
      </c>
      <c r="O14">
        <v>4</v>
      </c>
      <c r="P14" t="str">
        <f>("13")</f>
        <v>13</v>
      </c>
      <c r="Q14" t="str">
        <f>("BEYNEN Jessica Kaytessi")</f>
        <v>BEYNEN Jessica Kaytessi</v>
      </c>
      <c r="R14">
        <v>207</v>
      </c>
      <c r="S14" t="s">
        <v>44</v>
      </c>
      <c r="T14">
        <v>0</v>
      </c>
      <c r="V14">
        <v>15</v>
      </c>
      <c r="W14">
        <v>207</v>
      </c>
      <c r="X14">
        <v>0</v>
      </c>
    </row>
    <row r="15" spans="1:24" x14ac:dyDescent="0.35">
      <c r="A15" t="s">
        <v>8</v>
      </c>
      <c r="B15" t="s">
        <v>9</v>
      </c>
      <c r="C15" t="str">
        <f t="shared" si="0"/>
        <v>11102</v>
      </c>
      <c r="D15" t="s">
        <v>10</v>
      </c>
      <c r="E15" t="str">
        <f t="shared" si="1"/>
        <v>33</v>
      </c>
      <c r="F15">
        <v>109144</v>
      </c>
      <c r="G15">
        <v>94529</v>
      </c>
      <c r="H15">
        <v>3229</v>
      </c>
      <c r="I15" t="str">
        <f t="shared" si="2"/>
        <v>1</v>
      </c>
      <c r="J15" t="str">
        <f t="shared" si="3"/>
        <v>sp.a</v>
      </c>
      <c r="K15">
        <v>2947</v>
      </c>
      <c r="L15">
        <v>8577</v>
      </c>
      <c r="M15">
        <v>11524</v>
      </c>
      <c r="N15">
        <v>9220</v>
      </c>
      <c r="O15">
        <v>4</v>
      </c>
      <c r="P15" t="str">
        <f>("14")</f>
        <v>14</v>
      </c>
      <c r="Q15" t="str">
        <f>("MARIN Matthieu")</f>
        <v>MARIN Matthieu</v>
      </c>
      <c r="R15">
        <v>185</v>
      </c>
      <c r="S15" t="s">
        <v>44</v>
      </c>
      <c r="T15">
        <v>0</v>
      </c>
      <c r="V15">
        <v>22</v>
      </c>
      <c r="W15">
        <v>185</v>
      </c>
      <c r="X15">
        <v>0</v>
      </c>
    </row>
    <row r="16" spans="1:24" x14ac:dyDescent="0.35">
      <c r="A16" t="s">
        <v>8</v>
      </c>
      <c r="B16" t="s">
        <v>9</v>
      </c>
      <c r="C16" t="str">
        <f t="shared" si="0"/>
        <v>11102</v>
      </c>
      <c r="D16" t="s">
        <v>10</v>
      </c>
      <c r="E16" t="str">
        <f t="shared" si="1"/>
        <v>33</v>
      </c>
      <c r="F16">
        <v>109144</v>
      </c>
      <c r="G16">
        <v>94529</v>
      </c>
      <c r="H16">
        <v>3229</v>
      </c>
      <c r="I16" t="str">
        <f t="shared" si="2"/>
        <v>1</v>
      </c>
      <c r="J16" t="str">
        <f t="shared" si="3"/>
        <v>sp.a</v>
      </c>
      <c r="K16">
        <v>2947</v>
      </c>
      <c r="L16">
        <v>8577</v>
      </c>
      <c r="M16">
        <v>11524</v>
      </c>
      <c r="N16">
        <v>9220</v>
      </c>
      <c r="O16">
        <v>4</v>
      </c>
      <c r="P16" t="str">
        <f>("15")</f>
        <v>15</v>
      </c>
      <c r="Q16" t="str">
        <f>("BOULAICH KASMI Zhor")</f>
        <v>BOULAICH KASMI Zhor</v>
      </c>
      <c r="R16">
        <v>319</v>
      </c>
      <c r="S16" t="s">
        <v>44</v>
      </c>
      <c r="T16">
        <v>0</v>
      </c>
      <c r="V16">
        <v>7</v>
      </c>
      <c r="W16">
        <v>319</v>
      </c>
      <c r="X16">
        <v>0</v>
      </c>
    </row>
    <row r="17" spans="1:24" x14ac:dyDescent="0.35">
      <c r="A17" t="s">
        <v>8</v>
      </c>
      <c r="B17" t="s">
        <v>9</v>
      </c>
      <c r="C17" t="str">
        <f t="shared" si="0"/>
        <v>11102</v>
      </c>
      <c r="D17" t="s">
        <v>10</v>
      </c>
      <c r="E17" t="str">
        <f t="shared" si="1"/>
        <v>33</v>
      </c>
      <c r="F17">
        <v>109144</v>
      </c>
      <c r="G17">
        <v>94529</v>
      </c>
      <c r="H17">
        <v>3229</v>
      </c>
      <c r="I17" t="str">
        <f t="shared" si="2"/>
        <v>1</v>
      </c>
      <c r="J17" t="str">
        <f t="shared" si="3"/>
        <v>sp.a</v>
      </c>
      <c r="K17">
        <v>2947</v>
      </c>
      <c r="L17">
        <v>8577</v>
      </c>
      <c r="M17">
        <v>11524</v>
      </c>
      <c r="N17">
        <v>9220</v>
      </c>
      <c r="O17">
        <v>4</v>
      </c>
      <c r="P17" t="str">
        <f>("16")</f>
        <v>16</v>
      </c>
      <c r="Q17" t="str">
        <f>("VERHOEVEN Greg")</f>
        <v>VERHOEVEN Greg</v>
      </c>
      <c r="R17">
        <v>299</v>
      </c>
      <c r="S17" t="s">
        <v>44</v>
      </c>
      <c r="T17">
        <v>0</v>
      </c>
      <c r="V17">
        <v>9</v>
      </c>
      <c r="W17">
        <v>299</v>
      </c>
      <c r="X17">
        <v>0</v>
      </c>
    </row>
    <row r="18" spans="1:24" x14ac:dyDescent="0.35">
      <c r="A18" t="s">
        <v>8</v>
      </c>
      <c r="B18" t="s">
        <v>9</v>
      </c>
      <c r="C18" t="str">
        <f t="shared" si="0"/>
        <v>11102</v>
      </c>
      <c r="D18" t="s">
        <v>10</v>
      </c>
      <c r="E18" t="str">
        <f t="shared" si="1"/>
        <v>33</v>
      </c>
      <c r="F18">
        <v>109144</v>
      </c>
      <c r="G18">
        <v>94529</v>
      </c>
      <c r="H18">
        <v>3229</v>
      </c>
      <c r="I18" t="str">
        <f t="shared" si="2"/>
        <v>1</v>
      </c>
      <c r="J18" t="str">
        <f t="shared" si="3"/>
        <v>sp.a</v>
      </c>
      <c r="K18">
        <v>2947</v>
      </c>
      <c r="L18">
        <v>8577</v>
      </c>
      <c r="M18">
        <v>11524</v>
      </c>
      <c r="N18">
        <v>9220</v>
      </c>
      <c r="O18">
        <v>4</v>
      </c>
      <c r="P18" t="str">
        <f>("17")</f>
        <v>17</v>
      </c>
      <c r="Q18" t="str">
        <f>("HANNES Christine")</f>
        <v>HANNES Christine</v>
      </c>
      <c r="R18">
        <v>287</v>
      </c>
      <c r="S18" t="s">
        <v>44</v>
      </c>
      <c r="T18">
        <v>0</v>
      </c>
      <c r="V18">
        <v>10</v>
      </c>
      <c r="W18">
        <v>287</v>
      </c>
      <c r="X18">
        <v>0</v>
      </c>
    </row>
    <row r="19" spans="1:24" x14ac:dyDescent="0.35">
      <c r="A19" t="s">
        <v>8</v>
      </c>
      <c r="B19" t="s">
        <v>9</v>
      </c>
      <c r="C19" t="str">
        <f t="shared" si="0"/>
        <v>11102</v>
      </c>
      <c r="D19" t="s">
        <v>10</v>
      </c>
      <c r="E19" t="str">
        <f t="shared" si="1"/>
        <v>33</v>
      </c>
      <c r="F19">
        <v>109144</v>
      </c>
      <c r="G19">
        <v>94529</v>
      </c>
      <c r="H19">
        <v>3229</v>
      </c>
      <c r="I19" t="str">
        <f t="shared" si="2"/>
        <v>1</v>
      </c>
      <c r="J19" t="str">
        <f t="shared" si="3"/>
        <v>sp.a</v>
      </c>
      <c r="K19">
        <v>2947</v>
      </c>
      <c r="L19">
        <v>8577</v>
      </c>
      <c r="M19">
        <v>11524</v>
      </c>
      <c r="N19">
        <v>9220</v>
      </c>
      <c r="O19">
        <v>4</v>
      </c>
      <c r="P19" t="str">
        <f>("18")</f>
        <v>18</v>
      </c>
      <c r="Q19" t="str">
        <f>("DEN AANTREKKER Ludo")</f>
        <v>DEN AANTREKKER Ludo</v>
      </c>
      <c r="R19">
        <v>192</v>
      </c>
      <c r="S19" t="s">
        <v>44</v>
      </c>
      <c r="T19">
        <v>0</v>
      </c>
      <c r="V19">
        <v>17</v>
      </c>
      <c r="W19">
        <v>192</v>
      </c>
      <c r="X19">
        <v>0</v>
      </c>
    </row>
    <row r="20" spans="1:24" x14ac:dyDescent="0.35">
      <c r="A20" t="s">
        <v>8</v>
      </c>
      <c r="B20" t="s">
        <v>9</v>
      </c>
      <c r="C20" t="str">
        <f t="shared" si="0"/>
        <v>11102</v>
      </c>
      <c r="D20" t="s">
        <v>10</v>
      </c>
      <c r="E20" t="str">
        <f t="shared" si="1"/>
        <v>33</v>
      </c>
      <c r="F20">
        <v>109144</v>
      </c>
      <c r="G20">
        <v>94529</v>
      </c>
      <c r="H20">
        <v>3229</v>
      </c>
      <c r="I20" t="str">
        <f t="shared" si="2"/>
        <v>1</v>
      </c>
      <c r="J20" t="str">
        <f t="shared" si="3"/>
        <v>sp.a</v>
      </c>
      <c r="K20">
        <v>2947</v>
      </c>
      <c r="L20">
        <v>8577</v>
      </c>
      <c r="M20">
        <v>11524</v>
      </c>
      <c r="N20">
        <v>9220</v>
      </c>
      <c r="O20">
        <v>4</v>
      </c>
      <c r="P20" t="str">
        <f>("19")</f>
        <v>19</v>
      </c>
      <c r="Q20" t="str">
        <f>("CLAES Vera")</f>
        <v>CLAES Vera</v>
      </c>
      <c r="R20">
        <v>234</v>
      </c>
      <c r="S20" t="s">
        <v>44</v>
      </c>
      <c r="T20">
        <v>0</v>
      </c>
      <c r="V20">
        <v>12</v>
      </c>
      <c r="W20">
        <v>234</v>
      </c>
      <c r="X20">
        <v>0</v>
      </c>
    </row>
    <row r="21" spans="1:24" x14ac:dyDescent="0.35">
      <c r="A21" t="s">
        <v>8</v>
      </c>
      <c r="B21" t="s">
        <v>9</v>
      </c>
      <c r="C21" t="str">
        <f t="shared" si="0"/>
        <v>11102</v>
      </c>
      <c r="D21" t="s">
        <v>10</v>
      </c>
      <c r="E21" t="str">
        <f t="shared" si="1"/>
        <v>33</v>
      </c>
      <c r="F21">
        <v>109144</v>
      </c>
      <c r="G21">
        <v>94529</v>
      </c>
      <c r="H21">
        <v>3229</v>
      </c>
      <c r="I21" t="str">
        <f t="shared" si="2"/>
        <v>1</v>
      </c>
      <c r="J21" t="str">
        <f t="shared" si="3"/>
        <v>sp.a</v>
      </c>
      <c r="K21">
        <v>2947</v>
      </c>
      <c r="L21">
        <v>8577</v>
      </c>
      <c r="M21">
        <v>11524</v>
      </c>
      <c r="N21">
        <v>9220</v>
      </c>
      <c r="O21">
        <v>4</v>
      </c>
      <c r="P21" t="str">
        <f>("20")</f>
        <v>20</v>
      </c>
      <c r="Q21" t="str">
        <f>("JACOBS Joachim")</f>
        <v>JACOBS Joachim</v>
      </c>
      <c r="R21">
        <v>183</v>
      </c>
      <c r="S21" t="s">
        <v>44</v>
      </c>
      <c r="T21">
        <v>0</v>
      </c>
      <c r="V21">
        <v>23</v>
      </c>
      <c r="W21">
        <v>183</v>
      </c>
      <c r="X21">
        <v>0</v>
      </c>
    </row>
    <row r="22" spans="1:24" x14ac:dyDescent="0.35">
      <c r="A22" t="s">
        <v>8</v>
      </c>
      <c r="B22" t="s">
        <v>9</v>
      </c>
      <c r="C22" t="str">
        <f t="shared" si="0"/>
        <v>11102</v>
      </c>
      <c r="D22" t="s">
        <v>10</v>
      </c>
      <c r="E22" t="str">
        <f t="shared" si="1"/>
        <v>33</v>
      </c>
      <c r="F22">
        <v>109144</v>
      </c>
      <c r="G22">
        <v>94529</v>
      </c>
      <c r="H22">
        <v>3229</v>
      </c>
      <c r="I22" t="str">
        <f t="shared" si="2"/>
        <v>1</v>
      </c>
      <c r="J22" t="str">
        <f t="shared" si="3"/>
        <v>sp.a</v>
      </c>
      <c r="K22">
        <v>2947</v>
      </c>
      <c r="L22">
        <v>8577</v>
      </c>
      <c r="M22">
        <v>11524</v>
      </c>
      <c r="N22">
        <v>9220</v>
      </c>
      <c r="O22">
        <v>4</v>
      </c>
      <c r="P22" t="str">
        <f>("21")</f>
        <v>21</v>
      </c>
      <c r="Q22" t="str">
        <f>("RELISZKO Cindy")</f>
        <v>RELISZKO Cindy</v>
      </c>
      <c r="R22">
        <v>146</v>
      </c>
      <c r="S22" t="s">
        <v>44</v>
      </c>
      <c r="T22">
        <v>0</v>
      </c>
      <c r="V22">
        <v>28</v>
      </c>
      <c r="W22">
        <v>146</v>
      </c>
      <c r="X22">
        <v>0</v>
      </c>
    </row>
    <row r="23" spans="1:24" x14ac:dyDescent="0.35">
      <c r="A23" t="s">
        <v>8</v>
      </c>
      <c r="B23" t="s">
        <v>9</v>
      </c>
      <c r="C23" t="str">
        <f t="shared" si="0"/>
        <v>11102</v>
      </c>
      <c r="D23" t="s">
        <v>10</v>
      </c>
      <c r="E23" t="str">
        <f t="shared" si="1"/>
        <v>33</v>
      </c>
      <c r="F23">
        <v>109144</v>
      </c>
      <c r="G23">
        <v>94529</v>
      </c>
      <c r="H23">
        <v>3229</v>
      </c>
      <c r="I23" t="str">
        <f t="shared" si="2"/>
        <v>1</v>
      </c>
      <c r="J23" t="str">
        <f t="shared" si="3"/>
        <v>sp.a</v>
      </c>
      <c r="K23">
        <v>2947</v>
      </c>
      <c r="L23">
        <v>8577</v>
      </c>
      <c r="M23">
        <v>11524</v>
      </c>
      <c r="N23">
        <v>9220</v>
      </c>
      <c r="O23">
        <v>4</v>
      </c>
      <c r="P23" t="str">
        <f>("22")</f>
        <v>22</v>
      </c>
      <c r="Q23" t="str">
        <f>("TRARI Hocine")</f>
        <v>TRARI Hocine</v>
      </c>
      <c r="R23">
        <v>192</v>
      </c>
      <c r="S23" t="s">
        <v>44</v>
      </c>
      <c r="T23">
        <v>0</v>
      </c>
      <c r="V23">
        <v>18</v>
      </c>
      <c r="W23">
        <v>192</v>
      </c>
      <c r="X23">
        <v>0</v>
      </c>
    </row>
    <row r="24" spans="1:24" x14ac:dyDescent="0.35">
      <c r="A24" t="s">
        <v>8</v>
      </c>
      <c r="B24" t="s">
        <v>9</v>
      </c>
      <c r="C24" t="str">
        <f t="shared" si="0"/>
        <v>11102</v>
      </c>
      <c r="D24" t="s">
        <v>10</v>
      </c>
      <c r="E24" t="str">
        <f t="shared" si="1"/>
        <v>33</v>
      </c>
      <c r="F24">
        <v>109144</v>
      </c>
      <c r="G24">
        <v>94529</v>
      </c>
      <c r="H24">
        <v>3229</v>
      </c>
      <c r="I24" t="str">
        <f t="shared" si="2"/>
        <v>1</v>
      </c>
      <c r="J24" t="str">
        <f t="shared" si="3"/>
        <v>sp.a</v>
      </c>
      <c r="K24">
        <v>2947</v>
      </c>
      <c r="L24">
        <v>8577</v>
      </c>
      <c r="M24">
        <v>11524</v>
      </c>
      <c r="N24">
        <v>9220</v>
      </c>
      <c r="O24">
        <v>4</v>
      </c>
      <c r="P24" t="str">
        <f>("23")</f>
        <v>23</v>
      </c>
      <c r="Q24" t="str">
        <f>("DORIKENS Jeanne")</f>
        <v>DORIKENS Jeanne</v>
      </c>
      <c r="R24">
        <v>182</v>
      </c>
      <c r="S24" t="s">
        <v>44</v>
      </c>
      <c r="T24">
        <v>0</v>
      </c>
      <c r="V24">
        <v>24</v>
      </c>
      <c r="W24">
        <v>182</v>
      </c>
      <c r="X24">
        <v>0</v>
      </c>
    </row>
    <row r="25" spans="1:24" x14ac:dyDescent="0.35">
      <c r="A25" t="s">
        <v>8</v>
      </c>
      <c r="B25" t="s">
        <v>9</v>
      </c>
      <c r="C25" t="str">
        <f t="shared" si="0"/>
        <v>11102</v>
      </c>
      <c r="D25" t="s">
        <v>10</v>
      </c>
      <c r="E25" t="str">
        <f t="shared" si="1"/>
        <v>33</v>
      </c>
      <c r="F25">
        <v>109144</v>
      </c>
      <c r="G25">
        <v>94529</v>
      </c>
      <c r="H25">
        <v>3229</v>
      </c>
      <c r="I25" t="str">
        <f t="shared" si="2"/>
        <v>1</v>
      </c>
      <c r="J25" t="str">
        <f t="shared" si="3"/>
        <v>sp.a</v>
      </c>
      <c r="K25">
        <v>2947</v>
      </c>
      <c r="L25">
        <v>8577</v>
      </c>
      <c r="M25">
        <v>11524</v>
      </c>
      <c r="N25">
        <v>9220</v>
      </c>
      <c r="O25">
        <v>4</v>
      </c>
      <c r="P25" t="str">
        <f>("24")</f>
        <v>24</v>
      </c>
      <c r="Q25" t="str">
        <f>("BECK Theo")</f>
        <v>BECK Theo</v>
      </c>
      <c r="R25">
        <v>210</v>
      </c>
      <c r="S25" t="s">
        <v>44</v>
      </c>
      <c r="T25">
        <v>0</v>
      </c>
      <c r="V25">
        <v>14</v>
      </c>
      <c r="W25">
        <v>210</v>
      </c>
      <c r="X25">
        <v>0</v>
      </c>
    </row>
    <row r="26" spans="1:24" x14ac:dyDescent="0.35">
      <c r="A26" t="s">
        <v>8</v>
      </c>
      <c r="B26" t="s">
        <v>9</v>
      </c>
      <c r="C26" t="str">
        <f t="shared" si="0"/>
        <v>11102</v>
      </c>
      <c r="D26" t="s">
        <v>10</v>
      </c>
      <c r="E26" t="str">
        <f t="shared" si="1"/>
        <v>33</v>
      </c>
      <c r="F26">
        <v>109144</v>
      </c>
      <c r="G26">
        <v>94529</v>
      </c>
      <c r="H26">
        <v>3229</v>
      </c>
      <c r="I26" t="str">
        <f t="shared" si="2"/>
        <v>1</v>
      </c>
      <c r="J26" t="str">
        <f t="shared" si="3"/>
        <v>sp.a</v>
      </c>
      <c r="K26">
        <v>2947</v>
      </c>
      <c r="L26">
        <v>8577</v>
      </c>
      <c r="M26">
        <v>11524</v>
      </c>
      <c r="N26">
        <v>9220</v>
      </c>
      <c r="O26">
        <v>4</v>
      </c>
      <c r="P26" t="str">
        <f>("25")</f>
        <v>25</v>
      </c>
      <c r="Q26" t="str">
        <f>("BOUZIDI Rachid")</f>
        <v>BOUZIDI Rachid</v>
      </c>
      <c r="R26">
        <v>384</v>
      </c>
      <c r="S26" t="s">
        <v>44</v>
      </c>
      <c r="T26">
        <v>0</v>
      </c>
      <c r="V26">
        <v>4</v>
      </c>
      <c r="W26">
        <v>384</v>
      </c>
      <c r="X26">
        <v>0</v>
      </c>
    </row>
    <row r="27" spans="1:24" x14ac:dyDescent="0.35">
      <c r="A27" t="s">
        <v>8</v>
      </c>
      <c r="B27" t="s">
        <v>9</v>
      </c>
      <c r="C27" t="str">
        <f t="shared" si="0"/>
        <v>11102</v>
      </c>
      <c r="D27" t="s">
        <v>10</v>
      </c>
      <c r="E27" t="str">
        <f t="shared" si="1"/>
        <v>33</v>
      </c>
      <c r="F27">
        <v>109144</v>
      </c>
      <c r="G27">
        <v>94529</v>
      </c>
      <c r="H27">
        <v>3229</v>
      </c>
      <c r="I27" t="str">
        <f t="shared" si="2"/>
        <v>1</v>
      </c>
      <c r="J27" t="str">
        <f t="shared" si="3"/>
        <v>sp.a</v>
      </c>
      <c r="K27">
        <v>2947</v>
      </c>
      <c r="L27">
        <v>8577</v>
      </c>
      <c r="M27">
        <v>11524</v>
      </c>
      <c r="N27">
        <v>9220</v>
      </c>
      <c r="O27">
        <v>4</v>
      </c>
      <c r="P27" t="str">
        <f>("26")</f>
        <v>26</v>
      </c>
      <c r="Q27" t="str">
        <f>("VERBIST Frieda")</f>
        <v>VERBIST Frieda</v>
      </c>
      <c r="R27">
        <v>190</v>
      </c>
      <c r="S27" t="s">
        <v>44</v>
      </c>
      <c r="T27">
        <v>0</v>
      </c>
      <c r="V27">
        <v>20</v>
      </c>
      <c r="W27">
        <v>190</v>
      </c>
      <c r="X27">
        <v>0</v>
      </c>
    </row>
    <row r="28" spans="1:24" x14ac:dyDescent="0.35">
      <c r="A28" t="s">
        <v>8</v>
      </c>
      <c r="B28" t="s">
        <v>9</v>
      </c>
      <c r="C28" t="str">
        <f t="shared" si="0"/>
        <v>11102</v>
      </c>
      <c r="D28" t="s">
        <v>10</v>
      </c>
      <c r="E28" t="str">
        <f t="shared" si="1"/>
        <v>33</v>
      </c>
      <c r="F28">
        <v>109144</v>
      </c>
      <c r="G28">
        <v>94529</v>
      </c>
      <c r="H28">
        <v>3229</v>
      </c>
      <c r="I28" t="str">
        <f t="shared" si="2"/>
        <v>1</v>
      </c>
      <c r="J28" t="str">
        <f t="shared" si="3"/>
        <v>sp.a</v>
      </c>
      <c r="K28">
        <v>2947</v>
      </c>
      <c r="L28">
        <v>8577</v>
      </c>
      <c r="M28">
        <v>11524</v>
      </c>
      <c r="N28">
        <v>9220</v>
      </c>
      <c r="O28">
        <v>4</v>
      </c>
      <c r="P28" t="str">
        <f>("27")</f>
        <v>27</v>
      </c>
      <c r="Q28" t="str">
        <f>("SOORS Werner")</f>
        <v>SOORS Werner</v>
      </c>
      <c r="R28">
        <v>147</v>
      </c>
      <c r="S28" t="s">
        <v>44</v>
      </c>
      <c r="T28">
        <v>0</v>
      </c>
      <c r="V28">
        <v>27</v>
      </c>
      <c r="W28">
        <v>147</v>
      </c>
      <c r="X28">
        <v>0</v>
      </c>
    </row>
    <row r="29" spans="1:24" x14ac:dyDescent="0.35">
      <c r="A29" t="s">
        <v>8</v>
      </c>
      <c r="B29" t="s">
        <v>9</v>
      </c>
      <c r="C29" t="str">
        <f t="shared" si="0"/>
        <v>11102</v>
      </c>
      <c r="D29" t="s">
        <v>10</v>
      </c>
      <c r="E29" t="str">
        <f t="shared" si="1"/>
        <v>33</v>
      </c>
      <c r="F29">
        <v>109144</v>
      </c>
      <c r="G29">
        <v>94529</v>
      </c>
      <c r="H29">
        <v>3229</v>
      </c>
      <c r="I29" t="str">
        <f t="shared" si="2"/>
        <v>1</v>
      </c>
      <c r="J29" t="str">
        <f t="shared" si="3"/>
        <v>sp.a</v>
      </c>
      <c r="K29">
        <v>2947</v>
      </c>
      <c r="L29">
        <v>8577</v>
      </c>
      <c r="M29">
        <v>11524</v>
      </c>
      <c r="N29">
        <v>9220</v>
      </c>
      <c r="O29">
        <v>4</v>
      </c>
      <c r="P29" t="str">
        <f>("28")</f>
        <v>28</v>
      </c>
      <c r="Q29" t="str">
        <f>("TERLINGEN Christijn")</f>
        <v>TERLINGEN Christijn</v>
      </c>
      <c r="R29">
        <v>162</v>
      </c>
      <c r="S29" t="s">
        <v>44</v>
      </c>
      <c r="T29">
        <v>0</v>
      </c>
      <c r="V29">
        <v>26</v>
      </c>
      <c r="W29">
        <v>162</v>
      </c>
      <c r="X29">
        <v>0</v>
      </c>
    </row>
    <row r="30" spans="1:24" x14ac:dyDescent="0.35">
      <c r="A30" t="s">
        <v>8</v>
      </c>
      <c r="B30" t="s">
        <v>9</v>
      </c>
      <c r="C30" t="str">
        <f t="shared" si="0"/>
        <v>11102</v>
      </c>
      <c r="D30" t="s">
        <v>10</v>
      </c>
      <c r="E30" t="str">
        <f t="shared" si="1"/>
        <v>33</v>
      </c>
      <c r="F30">
        <v>109144</v>
      </c>
      <c r="G30">
        <v>94529</v>
      </c>
      <c r="H30">
        <v>3229</v>
      </c>
      <c r="I30" t="str">
        <f t="shared" si="2"/>
        <v>1</v>
      </c>
      <c r="J30" t="str">
        <f t="shared" si="3"/>
        <v>sp.a</v>
      </c>
      <c r="K30">
        <v>2947</v>
      </c>
      <c r="L30">
        <v>8577</v>
      </c>
      <c r="M30">
        <v>11524</v>
      </c>
      <c r="N30">
        <v>9220</v>
      </c>
      <c r="O30">
        <v>4</v>
      </c>
      <c r="P30" t="str">
        <f>("29")</f>
        <v>29</v>
      </c>
      <c r="Q30" t="str">
        <f>("DEMIL Vera")</f>
        <v>DEMIL Vera</v>
      </c>
      <c r="R30">
        <v>140</v>
      </c>
      <c r="S30" t="s">
        <v>44</v>
      </c>
      <c r="T30">
        <v>0</v>
      </c>
      <c r="V30">
        <v>29</v>
      </c>
      <c r="W30">
        <v>140</v>
      </c>
      <c r="X30">
        <v>0</v>
      </c>
    </row>
    <row r="31" spans="1:24" x14ac:dyDescent="0.35">
      <c r="A31" t="s">
        <v>8</v>
      </c>
      <c r="B31" t="s">
        <v>9</v>
      </c>
      <c r="C31" t="str">
        <f t="shared" si="0"/>
        <v>11102</v>
      </c>
      <c r="D31" t="s">
        <v>10</v>
      </c>
      <c r="E31" t="str">
        <f t="shared" si="1"/>
        <v>33</v>
      </c>
      <c r="F31">
        <v>109144</v>
      </c>
      <c r="G31">
        <v>94529</v>
      </c>
      <c r="H31">
        <v>3229</v>
      </c>
      <c r="I31" t="str">
        <f t="shared" si="2"/>
        <v>1</v>
      </c>
      <c r="J31" t="str">
        <f t="shared" si="3"/>
        <v>sp.a</v>
      </c>
      <c r="K31">
        <v>2947</v>
      </c>
      <c r="L31">
        <v>8577</v>
      </c>
      <c r="M31">
        <v>11524</v>
      </c>
      <c r="N31">
        <v>9220</v>
      </c>
      <c r="O31">
        <v>4</v>
      </c>
      <c r="P31" t="str">
        <f>("30")</f>
        <v>30</v>
      </c>
      <c r="Q31" t="str">
        <f>("GEERTS Anton")</f>
        <v>GEERTS Anton</v>
      </c>
      <c r="R31">
        <v>163</v>
      </c>
      <c r="S31" t="s">
        <v>44</v>
      </c>
      <c r="T31">
        <v>0</v>
      </c>
      <c r="V31">
        <v>25</v>
      </c>
      <c r="W31">
        <v>163</v>
      </c>
      <c r="X31">
        <v>0</v>
      </c>
    </row>
    <row r="32" spans="1:24" x14ac:dyDescent="0.35">
      <c r="A32" t="s">
        <v>8</v>
      </c>
      <c r="B32" t="s">
        <v>9</v>
      </c>
      <c r="C32" t="str">
        <f t="shared" si="0"/>
        <v>11102</v>
      </c>
      <c r="D32" t="s">
        <v>10</v>
      </c>
      <c r="E32" t="str">
        <f t="shared" si="1"/>
        <v>33</v>
      </c>
      <c r="F32">
        <v>109144</v>
      </c>
      <c r="G32">
        <v>94529</v>
      </c>
      <c r="H32">
        <v>3229</v>
      </c>
      <c r="I32" t="str">
        <f t="shared" si="2"/>
        <v>1</v>
      </c>
      <c r="J32" t="str">
        <f t="shared" si="3"/>
        <v>sp.a</v>
      </c>
      <c r="K32">
        <v>2947</v>
      </c>
      <c r="L32">
        <v>8577</v>
      </c>
      <c r="M32">
        <v>11524</v>
      </c>
      <c r="N32">
        <v>9220</v>
      </c>
      <c r="O32">
        <v>4</v>
      </c>
      <c r="P32" t="str">
        <f>("31")</f>
        <v>31</v>
      </c>
      <c r="Q32" t="str">
        <f>("SCHECK Tatjana")</f>
        <v>SCHECK Tatjana</v>
      </c>
      <c r="R32">
        <v>363</v>
      </c>
      <c r="S32" t="s">
        <v>44</v>
      </c>
      <c r="T32">
        <v>0</v>
      </c>
      <c r="V32">
        <v>5</v>
      </c>
      <c r="W32">
        <v>363</v>
      </c>
      <c r="X32">
        <v>0</v>
      </c>
    </row>
    <row r="33" spans="1:24" x14ac:dyDescent="0.35">
      <c r="A33" t="s">
        <v>8</v>
      </c>
      <c r="B33" t="s">
        <v>9</v>
      </c>
      <c r="C33" t="str">
        <f t="shared" si="0"/>
        <v>11102</v>
      </c>
      <c r="D33" t="s">
        <v>10</v>
      </c>
      <c r="E33" t="str">
        <f t="shared" si="1"/>
        <v>33</v>
      </c>
      <c r="F33">
        <v>109144</v>
      </c>
      <c r="G33">
        <v>94529</v>
      </c>
      <c r="H33">
        <v>3229</v>
      </c>
      <c r="I33" t="str">
        <f t="shared" si="2"/>
        <v>1</v>
      </c>
      <c r="J33" t="str">
        <f t="shared" si="3"/>
        <v>sp.a</v>
      </c>
      <c r="K33">
        <v>2947</v>
      </c>
      <c r="L33">
        <v>8577</v>
      </c>
      <c r="M33">
        <v>11524</v>
      </c>
      <c r="N33">
        <v>9220</v>
      </c>
      <c r="O33">
        <v>4</v>
      </c>
      <c r="P33" t="str">
        <f>("32")</f>
        <v>32</v>
      </c>
      <c r="Q33" t="str">
        <f>("VERMEULEN Jo")</f>
        <v>VERMEULEN Jo</v>
      </c>
      <c r="R33">
        <v>232</v>
      </c>
      <c r="S33" t="s">
        <v>44</v>
      </c>
      <c r="T33">
        <v>0</v>
      </c>
      <c r="V33">
        <v>13</v>
      </c>
      <c r="W33">
        <v>232</v>
      </c>
      <c r="X33">
        <v>0</v>
      </c>
    </row>
    <row r="34" spans="1:24" x14ac:dyDescent="0.35">
      <c r="A34" t="s">
        <v>8</v>
      </c>
      <c r="B34" t="s">
        <v>9</v>
      </c>
      <c r="C34" t="str">
        <f t="shared" si="0"/>
        <v>11102</v>
      </c>
      <c r="D34" t="s">
        <v>10</v>
      </c>
      <c r="E34" t="str">
        <f t="shared" si="1"/>
        <v>33</v>
      </c>
      <c r="F34">
        <v>109144</v>
      </c>
      <c r="G34">
        <v>94529</v>
      </c>
      <c r="H34">
        <v>3229</v>
      </c>
      <c r="I34" t="str">
        <f t="shared" si="2"/>
        <v>1</v>
      </c>
      <c r="J34" t="str">
        <f t="shared" si="3"/>
        <v>sp.a</v>
      </c>
      <c r="K34">
        <v>2947</v>
      </c>
      <c r="L34">
        <v>8577</v>
      </c>
      <c r="M34">
        <v>11524</v>
      </c>
      <c r="N34">
        <v>9220</v>
      </c>
      <c r="O34">
        <v>4</v>
      </c>
      <c r="P34" t="str">
        <f>("33")</f>
        <v>33</v>
      </c>
      <c r="Q34" t="str">
        <f>("DETIEGE Maya")</f>
        <v>DETIEGE Maya</v>
      </c>
      <c r="R34">
        <v>870</v>
      </c>
      <c r="S34">
        <v>870</v>
      </c>
      <c r="T34">
        <v>0</v>
      </c>
      <c r="U34">
        <v>3</v>
      </c>
    </row>
    <row r="35" spans="1:24" x14ac:dyDescent="0.35">
      <c r="A35" t="s">
        <v>8</v>
      </c>
      <c r="B35" t="s">
        <v>9</v>
      </c>
      <c r="C35" t="str">
        <f t="shared" si="0"/>
        <v>11102</v>
      </c>
      <c r="D35" t="s">
        <v>10</v>
      </c>
      <c r="E35" t="str">
        <f t="shared" si="1"/>
        <v>33</v>
      </c>
      <c r="F35">
        <v>109144</v>
      </c>
      <c r="G35">
        <v>94529</v>
      </c>
      <c r="H35">
        <v>3229</v>
      </c>
      <c r="I35" t="str">
        <f t="shared" ref="I35:I67" si="4">("2")</f>
        <v>2</v>
      </c>
      <c r="J35" t="str">
        <f t="shared" ref="J35:J67" si="5">("N-VA")</f>
        <v>N-VA</v>
      </c>
      <c r="K35">
        <v>11733</v>
      </c>
      <c r="L35">
        <v>14333</v>
      </c>
      <c r="M35">
        <v>26066</v>
      </c>
      <c r="N35">
        <v>23697</v>
      </c>
      <c r="O35">
        <v>10</v>
      </c>
      <c r="P35" t="str">
        <f>("1")</f>
        <v>1</v>
      </c>
      <c r="Q35" t="str">
        <f>("CORDY Paul")</f>
        <v>CORDY Paul</v>
      </c>
      <c r="R35">
        <v>4908</v>
      </c>
      <c r="S35">
        <v>23697</v>
      </c>
      <c r="T35">
        <v>20321</v>
      </c>
      <c r="U35">
        <v>1</v>
      </c>
    </row>
    <row r="36" spans="1:24" x14ac:dyDescent="0.35">
      <c r="A36" t="s">
        <v>8</v>
      </c>
      <c r="B36" t="s">
        <v>9</v>
      </c>
      <c r="C36" t="str">
        <f t="shared" si="0"/>
        <v>11102</v>
      </c>
      <c r="D36" t="s">
        <v>10</v>
      </c>
      <c r="E36" t="str">
        <f t="shared" si="1"/>
        <v>33</v>
      </c>
      <c r="F36">
        <v>109144</v>
      </c>
      <c r="G36">
        <v>94529</v>
      </c>
      <c r="H36">
        <v>3229</v>
      </c>
      <c r="I36" t="str">
        <f t="shared" si="4"/>
        <v>2</v>
      </c>
      <c r="J36" t="str">
        <f t="shared" si="5"/>
        <v>N-VA</v>
      </c>
      <c r="K36">
        <v>11733</v>
      </c>
      <c r="L36">
        <v>14333</v>
      </c>
      <c r="M36">
        <v>26066</v>
      </c>
      <c r="N36">
        <v>23697</v>
      </c>
      <c r="O36">
        <v>10</v>
      </c>
      <c r="P36" t="str">
        <f>("2")</f>
        <v>2</v>
      </c>
      <c r="Q36" t="str">
        <f>("VAN LEUFFEL Charlien")</f>
        <v>VAN LEUFFEL Charlien</v>
      </c>
      <c r="R36">
        <v>1773</v>
      </c>
      <c r="S36">
        <v>22094</v>
      </c>
      <c r="T36">
        <v>0</v>
      </c>
      <c r="U36">
        <v>2</v>
      </c>
    </row>
    <row r="37" spans="1:24" x14ac:dyDescent="0.35">
      <c r="A37" t="s">
        <v>8</v>
      </c>
      <c r="B37" t="s">
        <v>9</v>
      </c>
      <c r="C37" t="str">
        <f t="shared" si="0"/>
        <v>11102</v>
      </c>
      <c r="D37" t="s">
        <v>10</v>
      </c>
      <c r="E37" t="str">
        <f t="shared" si="1"/>
        <v>33</v>
      </c>
      <c r="F37">
        <v>109144</v>
      </c>
      <c r="G37">
        <v>94529</v>
      </c>
      <c r="H37">
        <v>3229</v>
      </c>
      <c r="I37" t="str">
        <f t="shared" si="4"/>
        <v>2</v>
      </c>
      <c r="J37" t="str">
        <f t="shared" si="5"/>
        <v>N-VA</v>
      </c>
      <c r="K37">
        <v>11733</v>
      </c>
      <c r="L37">
        <v>14333</v>
      </c>
      <c r="M37">
        <v>26066</v>
      </c>
      <c r="N37">
        <v>23697</v>
      </c>
      <c r="O37">
        <v>10</v>
      </c>
      <c r="P37" t="str">
        <f>("3")</f>
        <v>3</v>
      </c>
      <c r="Q37" t="str">
        <f>("WUYTS Marita")</f>
        <v>WUYTS Marita</v>
      </c>
      <c r="R37">
        <v>1468</v>
      </c>
      <c r="S37">
        <v>1468</v>
      </c>
      <c r="T37">
        <v>0</v>
      </c>
      <c r="U37">
        <v>4</v>
      </c>
    </row>
    <row r="38" spans="1:24" x14ac:dyDescent="0.35">
      <c r="A38" t="s">
        <v>8</v>
      </c>
      <c r="B38" t="s">
        <v>9</v>
      </c>
      <c r="C38" t="str">
        <f t="shared" si="0"/>
        <v>11102</v>
      </c>
      <c r="D38" t="s">
        <v>10</v>
      </c>
      <c r="E38" t="str">
        <f t="shared" si="1"/>
        <v>33</v>
      </c>
      <c r="F38">
        <v>109144</v>
      </c>
      <c r="G38">
        <v>94529</v>
      </c>
      <c r="H38">
        <v>3229</v>
      </c>
      <c r="I38" t="str">
        <f t="shared" si="4"/>
        <v>2</v>
      </c>
      <c r="J38" t="str">
        <f t="shared" si="5"/>
        <v>N-VA</v>
      </c>
      <c r="K38">
        <v>11733</v>
      </c>
      <c r="L38">
        <v>14333</v>
      </c>
      <c r="M38">
        <v>26066</v>
      </c>
      <c r="N38">
        <v>23697</v>
      </c>
      <c r="O38">
        <v>10</v>
      </c>
      <c r="P38" t="str">
        <f>("4")</f>
        <v>4</v>
      </c>
      <c r="Q38" t="str">
        <f>("LAENENS Marco")</f>
        <v>LAENENS Marco</v>
      </c>
      <c r="R38">
        <v>965</v>
      </c>
      <c r="S38">
        <v>965</v>
      </c>
      <c r="T38">
        <v>0</v>
      </c>
      <c r="U38">
        <v>6</v>
      </c>
    </row>
    <row r="39" spans="1:24" x14ac:dyDescent="0.35">
      <c r="A39" t="s">
        <v>8</v>
      </c>
      <c r="B39" t="s">
        <v>9</v>
      </c>
      <c r="C39" t="str">
        <f t="shared" si="0"/>
        <v>11102</v>
      </c>
      <c r="D39" t="s">
        <v>10</v>
      </c>
      <c r="E39" t="str">
        <f t="shared" si="1"/>
        <v>33</v>
      </c>
      <c r="F39">
        <v>109144</v>
      </c>
      <c r="G39">
        <v>94529</v>
      </c>
      <c r="H39">
        <v>3229</v>
      </c>
      <c r="I39" t="str">
        <f t="shared" si="4"/>
        <v>2</v>
      </c>
      <c r="J39" t="str">
        <f t="shared" si="5"/>
        <v>N-VA</v>
      </c>
      <c r="K39">
        <v>11733</v>
      </c>
      <c r="L39">
        <v>14333</v>
      </c>
      <c r="M39">
        <v>26066</v>
      </c>
      <c r="N39">
        <v>23697</v>
      </c>
      <c r="O39">
        <v>10</v>
      </c>
      <c r="P39" t="str">
        <f>("5")</f>
        <v>5</v>
      </c>
      <c r="Q39" t="str">
        <f>("DELMAS Laura")</f>
        <v>DELMAS Laura</v>
      </c>
      <c r="R39">
        <v>940</v>
      </c>
      <c r="S39">
        <v>940</v>
      </c>
      <c r="T39">
        <v>0</v>
      </c>
      <c r="U39">
        <v>7</v>
      </c>
    </row>
    <row r="40" spans="1:24" x14ac:dyDescent="0.35">
      <c r="A40" t="s">
        <v>8</v>
      </c>
      <c r="B40" t="s">
        <v>9</v>
      </c>
      <c r="C40" t="str">
        <f t="shared" si="0"/>
        <v>11102</v>
      </c>
      <c r="D40" t="s">
        <v>10</v>
      </c>
      <c r="E40" t="str">
        <f t="shared" si="1"/>
        <v>33</v>
      </c>
      <c r="F40">
        <v>109144</v>
      </c>
      <c r="G40">
        <v>94529</v>
      </c>
      <c r="H40">
        <v>3229</v>
      </c>
      <c r="I40" t="str">
        <f t="shared" si="4"/>
        <v>2</v>
      </c>
      <c r="J40" t="str">
        <f t="shared" si="5"/>
        <v>N-VA</v>
      </c>
      <c r="K40">
        <v>11733</v>
      </c>
      <c r="L40">
        <v>14333</v>
      </c>
      <c r="M40">
        <v>26066</v>
      </c>
      <c r="N40">
        <v>23697</v>
      </c>
      <c r="O40">
        <v>10</v>
      </c>
      <c r="P40" t="str">
        <f>("6")</f>
        <v>6</v>
      </c>
      <c r="Q40" t="str">
        <f>("NIESTEN Freek")</f>
        <v>NIESTEN Freek</v>
      </c>
      <c r="R40">
        <v>545</v>
      </c>
      <c r="S40" t="s">
        <v>44</v>
      </c>
      <c r="T40">
        <v>0</v>
      </c>
      <c r="V40">
        <v>1</v>
      </c>
      <c r="W40">
        <v>23697</v>
      </c>
      <c r="X40">
        <v>15958</v>
      </c>
    </row>
    <row r="41" spans="1:24" x14ac:dyDescent="0.35">
      <c r="A41" t="s">
        <v>8</v>
      </c>
      <c r="B41" t="s">
        <v>9</v>
      </c>
      <c r="C41" t="str">
        <f t="shared" si="0"/>
        <v>11102</v>
      </c>
      <c r="D41" t="s">
        <v>10</v>
      </c>
      <c r="E41" t="str">
        <f t="shared" si="1"/>
        <v>33</v>
      </c>
      <c r="F41">
        <v>109144</v>
      </c>
      <c r="G41">
        <v>94529</v>
      </c>
      <c r="H41">
        <v>3229</v>
      </c>
      <c r="I41" t="str">
        <f t="shared" si="4"/>
        <v>2</v>
      </c>
      <c r="J41" t="str">
        <f t="shared" si="5"/>
        <v>N-VA</v>
      </c>
      <c r="K41">
        <v>11733</v>
      </c>
      <c r="L41">
        <v>14333</v>
      </c>
      <c r="M41">
        <v>26066</v>
      </c>
      <c r="N41">
        <v>23697</v>
      </c>
      <c r="O41">
        <v>10</v>
      </c>
      <c r="P41" t="str">
        <f>("7")</f>
        <v>7</v>
      </c>
      <c r="Q41" t="str">
        <f>("BOECKMANS Edith")</f>
        <v>BOECKMANS Edith</v>
      </c>
      <c r="R41">
        <v>590</v>
      </c>
      <c r="S41" t="s">
        <v>44</v>
      </c>
      <c r="T41">
        <v>0</v>
      </c>
      <c r="V41">
        <v>2</v>
      </c>
      <c r="W41">
        <v>16548</v>
      </c>
      <c r="X41">
        <v>0</v>
      </c>
    </row>
    <row r="42" spans="1:24" x14ac:dyDescent="0.35">
      <c r="A42" t="s">
        <v>8</v>
      </c>
      <c r="B42" t="s">
        <v>9</v>
      </c>
      <c r="C42" t="str">
        <f t="shared" si="0"/>
        <v>11102</v>
      </c>
      <c r="D42" t="s">
        <v>10</v>
      </c>
      <c r="E42" t="str">
        <f t="shared" si="1"/>
        <v>33</v>
      </c>
      <c r="F42">
        <v>109144</v>
      </c>
      <c r="G42">
        <v>94529</v>
      </c>
      <c r="H42">
        <v>3229</v>
      </c>
      <c r="I42" t="str">
        <f t="shared" si="4"/>
        <v>2</v>
      </c>
      <c r="J42" t="str">
        <f t="shared" si="5"/>
        <v>N-VA</v>
      </c>
      <c r="K42">
        <v>11733</v>
      </c>
      <c r="L42">
        <v>14333</v>
      </c>
      <c r="M42">
        <v>26066</v>
      </c>
      <c r="N42">
        <v>23697</v>
      </c>
      <c r="O42">
        <v>10</v>
      </c>
      <c r="P42" t="str">
        <f>("8")</f>
        <v>8</v>
      </c>
      <c r="Q42" t="str">
        <f>("RENDERS Steven")</f>
        <v>RENDERS Steven</v>
      </c>
      <c r="R42">
        <v>557</v>
      </c>
      <c r="S42" t="s">
        <v>44</v>
      </c>
      <c r="T42">
        <v>0</v>
      </c>
      <c r="V42">
        <v>11</v>
      </c>
      <c r="W42">
        <v>557</v>
      </c>
      <c r="X42">
        <v>0</v>
      </c>
    </row>
    <row r="43" spans="1:24" x14ac:dyDescent="0.35">
      <c r="A43" t="s">
        <v>8</v>
      </c>
      <c r="B43" t="s">
        <v>9</v>
      </c>
      <c r="C43" t="str">
        <f t="shared" si="0"/>
        <v>11102</v>
      </c>
      <c r="D43" t="s">
        <v>10</v>
      </c>
      <c r="E43" t="str">
        <f t="shared" si="1"/>
        <v>33</v>
      </c>
      <c r="F43">
        <v>109144</v>
      </c>
      <c r="G43">
        <v>94529</v>
      </c>
      <c r="H43">
        <v>3229</v>
      </c>
      <c r="I43" t="str">
        <f t="shared" si="4"/>
        <v>2</v>
      </c>
      <c r="J43" t="str">
        <f t="shared" si="5"/>
        <v>N-VA</v>
      </c>
      <c r="K43">
        <v>11733</v>
      </c>
      <c r="L43">
        <v>14333</v>
      </c>
      <c r="M43">
        <v>26066</v>
      </c>
      <c r="N43">
        <v>23697</v>
      </c>
      <c r="O43">
        <v>10</v>
      </c>
      <c r="P43" t="str">
        <f>("9")</f>
        <v>9</v>
      </c>
      <c r="Q43" t="str">
        <f>("BOGAERT Tannicka")</f>
        <v>BOGAERT Tannicka</v>
      </c>
      <c r="R43">
        <v>775</v>
      </c>
      <c r="S43">
        <v>775</v>
      </c>
      <c r="T43">
        <v>0</v>
      </c>
      <c r="U43">
        <v>8</v>
      </c>
    </row>
    <row r="44" spans="1:24" x14ac:dyDescent="0.35">
      <c r="A44" t="s">
        <v>8</v>
      </c>
      <c r="B44" t="s">
        <v>9</v>
      </c>
      <c r="C44" t="str">
        <f t="shared" si="0"/>
        <v>11102</v>
      </c>
      <c r="D44" t="s">
        <v>10</v>
      </c>
      <c r="E44" t="str">
        <f t="shared" si="1"/>
        <v>33</v>
      </c>
      <c r="F44">
        <v>109144</v>
      </c>
      <c r="G44">
        <v>94529</v>
      </c>
      <c r="H44">
        <v>3229</v>
      </c>
      <c r="I44" t="str">
        <f t="shared" si="4"/>
        <v>2</v>
      </c>
      <c r="J44" t="str">
        <f t="shared" si="5"/>
        <v>N-VA</v>
      </c>
      <c r="K44">
        <v>11733</v>
      </c>
      <c r="L44">
        <v>14333</v>
      </c>
      <c r="M44">
        <v>26066</v>
      </c>
      <c r="N44">
        <v>23697</v>
      </c>
      <c r="O44">
        <v>10</v>
      </c>
      <c r="P44" t="str">
        <f>("10")</f>
        <v>10</v>
      </c>
      <c r="Q44" t="str">
        <f>("DE WILDE Nick")</f>
        <v>DE WILDE Nick</v>
      </c>
      <c r="R44">
        <v>613</v>
      </c>
      <c r="S44" t="s">
        <v>44</v>
      </c>
      <c r="T44">
        <v>0</v>
      </c>
      <c r="V44">
        <v>7</v>
      </c>
      <c r="W44">
        <v>613</v>
      </c>
      <c r="X44">
        <v>0</v>
      </c>
    </row>
    <row r="45" spans="1:24" x14ac:dyDescent="0.35">
      <c r="A45" t="s">
        <v>8</v>
      </c>
      <c r="B45" t="s">
        <v>9</v>
      </c>
      <c r="C45" t="str">
        <f t="shared" si="0"/>
        <v>11102</v>
      </c>
      <c r="D45" t="s">
        <v>10</v>
      </c>
      <c r="E45" t="str">
        <f t="shared" si="1"/>
        <v>33</v>
      </c>
      <c r="F45">
        <v>109144</v>
      </c>
      <c r="G45">
        <v>94529</v>
      </c>
      <c r="H45">
        <v>3229</v>
      </c>
      <c r="I45" t="str">
        <f t="shared" si="4"/>
        <v>2</v>
      </c>
      <c r="J45" t="str">
        <f t="shared" si="5"/>
        <v>N-VA</v>
      </c>
      <c r="K45">
        <v>11733</v>
      </c>
      <c r="L45">
        <v>14333</v>
      </c>
      <c r="M45">
        <v>26066</v>
      </c>
      <c r="N45">
        <v>23697</v>
      </c>
      <c r="O45">
        <v>10</v>
      </c>
      <c r="P45" t="str">
        <f>("11")</f>
        <v>11</v>
      </c>
      <c r="Q45" t="str">
        <f>("STEYAERT Bart")</f>
        <v>STEYAERT Bart</v>
      </c>
      <c r="R45">
        <v>626</v>
      </c>
      <c r="S45" t="s">
        <v>44</v>
      </c>
      <c r="T45">
        <v>0</v>
      </c>
      <c r="V45">
        <v>4</v>
      </c>
      <c r="W45">
        <v>626</v>
      </c>
      <c r="X45">
        <v>0</v>
      </c>
    </row>
    <row r="46" spans="1:24" x14ac:dyDescent="0.35">
      <c r="A46" t="s">
        <v>8</v>
      </c>
      <c r="B46" t="s">
        <v>9</v>
      </c>
      <c r="C46" t="str">
        <f t="shared" si="0"/>
        <v>11102</v>
      </c>
      <c r="D46" t="s">
        <v>10</v>
      </c>
      <c r="E46" t="str">
        <f t="shared" si="1"/>
        <v>33</v>
      </c>
      <c r="F46">
        <v>109144</v>
      </c>
      <c r="G46">
        <v>94529</v>
      </c>
      <c r="H46">
        <v>3229</v>
      </c>
      <c r="I46" t="str">
        <f t="shared" si="4"/>
        <v>2</v>
      </c>
      <c r="J46" t="str">
        <f t="shared" si="5"/>
        <v>N-VA</v>
      </c>
      <c r="K46">
        <v>11733</v>
      </c>
      <c r="L46">
        <v>14333</v>
      </c>
      <c r="M46">
        <v>26066</v>
      </c>
      <c r="N46">
        <v>23697</v>
      </c>
      <c r="O46">
        <v>10</v>
      </c>
      <c r="P46" t="str">
        <f>("12")</f>
        <v>12</v>
      </c>
      <c r="Q46" t="str">
        <f>("WALRAVEN Anaïs")</f>
        <v>WALRAVEN Anaïs</v>
      </c>
      <c r="R46">
        <v>604</v>
      </c>
      <c r="S46" t="s">
        <v>44</v>
      </c>
      <c r="T46">
        <v>0</v>
      </c>
      <c r="V46">
        <v>8</v>
      </c>
      <c r="W46">
        <v>604</v>
      </c>
      <c r="X46">
        <v>0</v>
      </c>
    </row>
    <row r="47" spans="1:24" x14ac:dyDescent="0.35">
      <c r="A47" t="s">
        <v>8</v>
      </c>
      <c r="B47" t="s">
        <v>9</v>
      </c>
      <c r="C47" t="str">
        <f t="shared" si="0"/>
        <v>11102</v>
      </c>
      <c r="D47" t="s">
        <v>10</v>
      </c>
      <c r="E47" t="str">
        <f t="shared" si="1"/>
        <v>33</v>
      </c>
      <c r="F47">
        <v>109144</v>
      </c>
      <c r="G47">
        <v>94529</v>
      </c>
      <c r="H47">
        <v>3229</v>
      </c>
      <c r="I47" t="str">
        <f t="shared" si="4"/>
        <v>2</v>
      </c>
      <c r="J47" t="str">
        <f t="shared" si="5"/>
        <v>N-VA</v>
      </c>
      <c r="K47">
        <v>11733</v>
      </c>
      <c r="L47">
        <v>14333</v>
      </c>
      <c r="M47">
        <v>26066</v>
      </c>
      <c r="N47">
        <v>23697</v>
      </c>
      <c r="O47">
        <v>10</v>
      </c>
      <c r="P47" t="str">
        <f>("13")</f>
        <v>13</v>
      </c>
      <c r="Q47" t="str">
        <f>("VERHOEVEN Michèle")</f>
        <v>VERHOEVEN Michèle</v>
      </c>
      <c r="R47">
        <v>560</v>
      </c>
      <c r="S47" t="s">
        <v>44</v>
      </c>
      <c r="T47">
        <v>0</v>
      </c>
      <c r="V47">
        <v>10</v>
      </c>
      <c r="W47">
        <v>560</v>
      </c>
      <c r="X47">
        <v>0</v>
      </c>
    </row>
    <row r="48" spans="1:24" x14ac:dyDescent="0.35">
      <c r="A48" t="s">
        <v>8</v>
      </c>
      <c r="B48" t="s">
        <v>9</v>
      </c>
      <c r="C48" t="str">
        <f t="shared" si="0"/>
        <v>11102</v>
      </c>
      <c r="D48" t="s">
        <v>10</v>
      </c>
      <c r="E48" t="str">
        <f t="shared" si="1"/>
        <v>33</v>
      </c>
      <c r="F48">
        <v>109144</v>
      </c>
      <c r="G48">
        <v>94529</v>
      </c>
      <c r="H48">
        <v>3229</v>
      </c>
      <c r="I48" t="str">
        <f t="shared" si="4"/>
        <v>2</v>
      </c>
      <c r="J48" t="str">
        <f t="shared" si="5"/>
        <v>N-VA</v>
      </c>
      <c r="K48">
        <v>11733</v>
      </c>
      <c r="L48">
        <v>14333</v>
      </c>
      <c r="M48">
        <v>26066</v>
      </c>
      <c r="N48">
        <v>23697</v>
      </c>
      <c r="O48">
        <v>10</v>
      </c>
      <c r="P48" t="str">
        <f>("14")</f>
        <v>14</v>
      </c>
      <c r="Q48" t="str">
        <f>("DEMEYER Annemie")</f>
        <v>DEMEYER Annemie</v>
      </c>
      <c r="R48">
        <v>627</v>
      </c>
      <c r="S48" t="s">
        <v>44</v>
      </c>
      <c r="T48">
        <v>0</v>
      </c>
      <c r="V48">
        <v>3</v>
      </c>
      <c r="W48">
        <v>627</v>
      </c>
      <c r="X48">
        <v>0</v>
      </c>
    </row>
    <row r="49" spans="1:24" x14ac:dyDescent="0.35">
      <c r="A49" t="s">
        <v>8</v>
      </c>
      <c r="B49" t="s">
        <v>9</v>
      </c>
      <c r="C49" t="str">
        <f t="shared" si="0"/>
        <v>11102</v>
      </c>
      <c r="D49" t="s">
        <v>10</v>
      </c>
      <c r="E49" t="str">
        <f t="shared" si="1"/>
        <v>33</v>
      </c>
      <c r="F49">
        <v>109144</v>
      </c>
      <c r="G49">
        <v>94529</v>
      </c>
      <c r="H49">
        <v>3229</v>
      </c>
      <c r="I49" t="str">
        <f t="shared" si="4"/>
        <v>2</v>
      </c>
      <c r="J49" t="str">
        <f t="shared" si="5"/>
        <v>N-VA</v>
      </c>
      <c r="K49">
        <v>11733</v>
      </c>
      <c r="L49">
        <v>14333</v>
      </c>
      <c r="M49">
        <v>26066</v>
      </c>
      <c r="N49">
        <v>23697</v>
      </c>
      <c r="O49">
        <v>10</v>
      </c>
      <c r="P49" t="str">
        <f>("15")</f>
        <v>15</v>
      </c>
      <c r="Q49" t="str">
        <f>("GERMEYS Pieter")</f>
        <v>GERMEYS Pieter</v>
      </c>
      <c r="R49">
        <v>459</v>
      </c>
      <c r="S49" t="s">
        <v>44</v>
      </c>
      <c r="T49">
        <v>0</v>
      </c>
      <c r="V49">
        <v>18</v>
      </c>
      <c r="W49">
        <v>459</v>
      </c>
      <c r="X49">
        <v>0</v>
      </c>
    </row>
    <row r="50" spans="1:24" x14ac:dyDescent="0.35">
      <c r="A50" t="s">
        <v>8</v>
      </c>
      <c r="B50" t="s">
        <v>9</v>
      </c>
      <c r="C50" t="str">
        <f t="shared" si="0"/>
        <v>11102</v>
      </c>
      <c r="D50" t="s">
        <v>10</v>
      </c>
      <c r="E50" t="str">
        <f t="shared" si="1"/>
        <v>33</v>
      </c>
      <c r="F50">
        <v>109144</v>
      </c>
      <c r="G50">
        <v>94529</v>
      </c>
      <c r="H50">
        <v>3229</v>
      </c>
      <c r="I50" t="str">
        <f t="shared" si="4"/>
        <v>2</v>
      </c>
      <c r="J50" t="str">
        <f t="shared" si="5"/>
        <v>N-VA</v>
      </c>
      <c r="K50">
        <v>11733</v>
      </c>
      <c r="L50">
        <v>14333</v>
      </c>
      <c r="M50">
        <v>26066</v>
      </c>
      <c r="N50">
        <v>23697</v>
      </c>
      <c r="O50">
        <v>10</v>
      </c>
      <c r="P50" t="str">
        <f>("16")</f>
        <v>16</v>
      </c>
      <c r="Q50" t="str">
        <f>("VAN HOVE Walter")</f>
        <v>VAN HOVE Walter</v>
      </c>
      <c r="R50">
        <v>494</v>
      </c>
      <c r="S50" t="s">
        <v>44</v>
      </c>
      <c r="T50">
        <v>0</v>
      </c>
      <c r="V50">
        <v>16</v>
      </c>
      <c r="W50">
        <v>494</v>
      </c>
      <c r="X50">
        <v>0</v>
      </c>
    </row>
    <row r="51" spans="1:24" x14ac:dyDescent="0.35">
      <c r="A51" t="s">
        <v>8</v>
      </c>
      <c r="B51" t="s">
        <v>9</v>
      </c>
      <c r="C51" t="str">
        <f t="shared" si="0"/>
        <v>11102</v>
      </c>
      <c r="D51" t="s">
        <v>10</v>
      </c>
      <c r="E51" t="str">
        <f t="shared" si="1"/>
        <v>33</v>
      </c>
      <c r="F51">
        <v>109144</v>
      </c>
      <c r="G51">
        <v>94529</v>
      </c>
      <c r="H51">
        <v>3229</v>
      </c>
      <c r="I51" t="str">
        <f t="shared" si="4"/>
        <v>2</v>
      </c>
      <c r="J51" t="str">
        <f t="shared" si="5"/>
        <v>N-VA</v>
      </c>
      <c r="K51">
        <v>11733</v>
      </c>
      <c r="L51">
        <v>14333</v>
      </c>
      <c r="M51">
        <v>26066</v>
      </c>
      <c r="N51">
        <v>23697</v>
      </c>
      <c r="O51">
        <v>10</v>
      </c>
      <c r="P51" t="str">
        <f>("17")</f>
        <v>17</v>
      </c>
      <c r="Q51" t="str">
        <f>("VAN OVERLOOP Lindsay")</f>
        <v>VAN OVERLOOP Lindsay</v>
      </c>
      <c r="R51">
        <v>586</v>
      </c>
      <c r="S51" t="s">
        <v>44</v>
      </c>
      <c r="T51">
        <v>0</v>
      </c>
      <c r="V51">
        <v>9</v>
      </c>
      <c r="W51">
        <v>586</v>
      </c>
      <c r="X51">
        <v>0</v>
      </c>
    </row>
    <row r="52" spans="1:24" x14ac:dyDescent="0.35">
      <c r="A52" t="s">
        <v>8</v>
      </c>
      <c r="B52" t="s">
        <v>9</v>
      </c>
      <c r="C52" t="str">
        <f t="shared" si="0"/>
        <v>11102</v>
      </c>
      <c r="D52" t="s">
        <v>10</v>
      </c>
      <c r="E52" t="str">
        <f t="shared" si="1"/>
        <v>33</v>
      </c>
      <c r="F52">
        <v>109144</v>
      </c>
      <c r="G52">
        <v>94529</v>
      </c>
      <c r="H52">
        <v>3229</v>
      </c>
      <c r="I52" t="str">
        <f t="shared" si="4"/>
        <v>2</v>
      </c>
      <c r="J52" t="str">
        <f t="shared" si="5"/>
        <v>N-VA</v>
      </c>
      <c r="K52">
        <v>11733</v>
      </c>
      <c r="L52">
        <v>14333</v>
      </c>
      <c r="M52">
        <v>26066</v>
      </c>
      <c r="N52">
        <v>23697</v>
      </c>
      <c r="O52">
        <v>10</v>
      </c>
      <c r="P52" t="str">
        <f>("18")</f>
        <v>18</v>
      </c>
      <c r="Q52" t="str">
        <f>("VAN WINKEL Cordula")</f>
        <v>VAN WINKEL Cordula</v>
      </c>
      <c r="R52">
        <v>615</v>
      </c>
      <c r="S52" t="s">
        <v>44</v>
      </c>
      <c r="T52">
        <v>0</v>
      </c>
      <c r="V52">
        <v>6</v>
      </c>
      <c r="W52">
        <v>615</v>
      </c>
      <c r="X52">
        <v>0</v>
      </c>
    </row>
    <row r="53" spans="1:24" x14ac:dyDescent="0.35">
      <c r="A53" t="s">
        <v>8</v>
      </c>
      <c r="B53" t="s">
        <v>9</v>
      </c>
      <c r="C53" t="str">
        <f t="shared" si="0"/>
        <v>11102</v>
      </c>
      <c r="D53" t="s">
        <v>10</v>
      </c>
      <c r="E53" t="str">
        <f t="shared" si="1"/>
        <v>33</v>
      </c>
      <c r="F53">
        <v>109144</v>
      </c>
      <c r="G53">
        <v>94529</v>
      </c>
      <c r="H53">
        <v>3229</v>
      </c>
      <c r="I53" t="str">
        <f t="shared" si="4"/>
        <v>2</v>
      </c>
      <c r="J53" t="str">
        <f t="shared" si="5"/>
        <v>N-VA</v>
      </c>
      <c r="K53">
        <v>11733</v>
      </c>
      <c r="L53">
        <v>14333</v>
      </c>
      <c r="M53">
        <v>26066</v>
      </c>
      <c r="N53">
        <v>23697</v>
      </c>
      <c r="O53">
        <v>10</v>
      </c>
      <c r="P53" t="str">
        <f>("19")</f>
        <v>19</v>
      </c>
      <c r="Q53" t="str">
        <f>("DE CLERCQ Nick")</f>
        <v>DE CLERCQ Nick</v>
      </c>
      <c r="R53">
        <v>497</v>
      </c>
      <c r="S53" t="s">
        <v>44</v>
      </c>
      <c r="T53">
        <v>0</v>
      </c>
      <c r="V53">
        <v>15</v>
      </c>
      <c r="W53">
        <v>497</v>
      </c>
      <c r="X53">
        <v>0</v>
      </c>
    </row>
    <row r="54" spans="1:24" x14ac:dyDescent="0.35">
      <c r="A54" t="s">
        <v>8</v>
      </c>
      <c r="B54" t="s">
        <v>9</v>
      </c>
      <c r="C54" t="str">
        <f t="shared" si="0"/>
        <v>11102</v>
      </c>
      <c r="D54" t="s">
        <v>10</v>
      </c>
      <c r="E54" t="str">
        <f t="shared" si="1"/>
        <v>33</v>
      </c>
      <c r="F54">
        <v>109144</v>
      </c>
      <c r="G54">
        <v>94529</v>
      </c>
      <c r="H54">
        <v>3229</v>
      </c>
      <c r="I54" t="str">
        <f t="shared" si="4"/>
        <v>2</v>
      </c>
      <c r="J54" t="str">
        <f t="shared" si="5"/>
        <v>N-VA</v>
      </c>
      <c r="K54">
        <v>11733</v>
      </c>
      <c r="L54">
        <v>14333</v>
      </c>
      <c r="M54">
        <v>26066</v>
      </c>
      <c r="N54">
        <v>23697</v>
      </c>
      <c r="O54">
        <v>10</v>
      </c>
      <c r="P54" t="str">
        <f>("20")</f>
        <v>20</v>
      </c>
      <c r="Q54" t="str">
        <f>("DE ROOSTER Stijn")</f>
        <v>DE ROOSTER Stijn</v>
      </c>
      <c r="R54">
        <v>623</v>
      </c>
      <c r="S54" t="s">
        <v>44</v>
      </c>
      <c r="T54">
        <v>0</v>
      </c>
      <c r="V54">
        <v>5</v>
      </c>
      <c r="W54">
        <v>623</v>
      </c>
      <c r="X54">
        <v>0</v>
      </c>
    </row>
    <row r="55" spans="1:24" x14ac:dyDescent="0.35">
      <c r="A55" t="s">
        <v>8</v>
      </c>
      <c r="B55" t="s">
        <v>9</v>
      </c>
      <c r="C55" t="str">
        <f t="shared" si="0"/>
        <v>11102</v>
      </c>
      <c r="D55" t="s">
        <v>10</v>
      </c>
      <c r="E55" t="str">
        <f t="shared" si="1"/>
        <v>33</v>
      </c>
      <c r="F55">
        <v>109144</v>
      </c>
      <c r="G55">
        <v>94529</v>
      </c>
      <c r="H55">
        <v>3229</v>
      </c>
      <c r="I55" t="str">
        <f t="shared" si="4"/>
        <v>2</v>
      </c>
      <c r="J55" t="str">
        <f t="shared" si="5"/>
        <v>N-VA</v>
      </c>
      <c r="K55">
        <v>11733</v>
      </c>
      <c r="L55">
        <v>14333</v>
      </c>
      <c r="M55">
        <v>26066</v>
      </c>
      <c r="N55">
        <v>23697</v>
      </c>
      <c r="O55">
        <v>10</v>
      </c>
      <c r="P55" t="str">
        <f>("21")</f>
        <v>21</v>
      </c>
      <c r="Q55" t="str">
        <f>("MARCELIS Remy")</f>
        <v>MARCELIS Remy</v>
      </c>
      <c r="R55">
        <v>404</v>
      </c>
      <c r="S55" t="s">
        <v>44</v>
      </c>
      <c r="T55">
        <v>0</v>
      </c>
      <c r="V55">
        <v>22</v>
      </c>
      <c r="W55">
        <v>404</v>
      </c>
      <c r="X55">
        <v>0</v>
      </c>
    </row>
    <row r="56" spans="1:24" x14ac:dyDescent="0.35">
      <c r="A56" t="s">
        <v>8</v>
      </c>
      <c r="B56" t="s">
        <v>9</v>
      </c>
      <c r="C56" t="str">
        <f t="shared" si="0"/>
        <v>11102</v>
      </c>
      <c r="D56" t="s">
        <v>10</v>
      </c>
      <c r="E56" t="str">
        <f t="shared" si="1"/>
        <v>33</v>
      </c>
      <c r="F56">
        <v>109144</v>
      </c>
      <c r="G56">
        <v>94529</v>
      </c>
      <c r="H56">
        <v>3229</v>
      </c>
      <c r="I56" t="str">
        <f t="shared" si="4"/>
        <v>2</v>
      </c>
      <c r="J56" t="str">
        <f t="shared" si="5"/>
        <v>N-VA</v>
      </c>
      <c r="K56">
        <v>11733</v>
      </c>
      <c r="L56">
        <v>14333</v>
      </c>
      <c r="M56">
        <v>26066</v>
      </c>
      <c r="N56">
        <v>23697</v>
      </c>
      <c r="O56">
        <v>10</v>
      </c>
      <c r="P56" t="str">
        <f>("22")</f>
        <v>22</v>
      </c>
      <c r="Q56" t="str">
        <f>("DEHAEN Babette")</f>
        <v>DEHAEN Babette</v>
      </c>
      <c r="R56">
        <v>705</v>
      </c>
      <c r="S56">
        <v>705</v>
      </c>
      <c r="T56">
        <v>0</v>
      </c>
      <c r="U56">
        <v>10</v>
      </c>
    </row>
    <row r="57" spans="1:24" x14ac:dyDescent="0.35">
      <c r="A57" t="s">
        <v>8</v>
      </c>
      <c r="B57" t="s">
        <v>9</v>
      </c>
      <c r="C57" t="str">
        <f t="shared" si="0"/>
        <v>11102</v>
      </c>
      <c r="D57" t="s">
        <v>10</v>
      </c>
      <c r="E57" t="str">
        <f t="shared" si="1"/>
        <v>33</v>
      </c>
      <c r="F57">
        <v>109144</v>
      </c>
      <c r="G57">
        <v>94529</v>
      </c>
      <c r="H57">
        <v>3229</v>
      </c>
      <c r="I57" t="str">
        <f t="shared" si="4"/>
        <v>2</v>
      </c>
      <c r="J57" t="str">
        <f t="shared" si="5"/>
        <v>N-VA</v>
      </c>
      <c r="K57">
        <v>11733</v>
      </c>
      <c r="L57">
        <v>14333</v>
      </c>
      <c r="M57">
        <v>26066</v>
      </c>
      <c r="N57">
        <v>23697</v>
      </c>
      <c r="O57">
        <v>10</v>
      </c>
      <c r="P57" t="str">
        <f>("23")</f>
        <v>23</v>
      </c>
      <c r="Q57" t="str">
        <f>("BEKKERS Erwin")</f>
        <v>BEKKERS Erwin</v>
      </c>
      <c r="R57">
        <v>400</v>
      </c>
      <c r="S57" t="s">
        <v>44</v>
      </c>
      <c r="T57">
        <v>0</v>
      </c>
      <c r="V57">
        <v>23</v>
      </c>
      <c r="W57">
        <v>400</v>
      </c>
      <c r="X57">
        <v>0</v>
      </c>
    </row>
    <row r="58" spans="1:24" x14ac:dyDescent="0.35">
      <c r="A58" t="s">
        <v>8</v>
      </c>
      <c r="B58" t="s">
        <v>9</v>
      </c>
      <c r="C58" t="str">
        <f t="shared" si="0"/>
        <v>11102</v>
      </c>
      <c r="D58" t="s">
        <v>10</v>
      </c>
      <c r="E58" t="str">
        <f t="shared" si="1"/>
        <v>33</v>
      </c>
      <c r="F58">
        <v>109144</v>
      </c>
      <c r="G58">
        <v>94529</v>
      </c>
      <c r="H58">
        <v>3229</v>
      </c>
      <c r="I58" t="str">
        <f t="shared" si="4"/>
        <v>2</v>
      </c>
      <c r="J58" t="str">
        <f t="shared" si="5"/>
        <v>N-VA</v>
      </c>
      <c r="K58">
        <v>11733</v>
      </c>
      <c r="L58">
        <v>14333</v>
      </c>
      <c r="M58">
        <v>26066</v>
      </c>
      <c r="N58">
        <v>23697</v>
      </c>
      <c r="O58">
        <v>10</v>
      </c>
      <c r="P58" t="str">
        <f>("24")</f>
        <v>24</v>
      </c>
      <c r="Q58" t="str">
        <f>("ZANZER Isabelle")</f>
        <v>ZANZER Isabelle</v>
      </c>
      <c r="R58">
        <v>1459</v>
      </c>
      <c r="S58">
        <v>1459</v>
      </c>
      <c r="T58">
        <v>0</v>
      </c>
      <c r="U58">
        <v>5</v>
      </c>
    </row>
    <row r="59" spans="1:24" x14ac:dyDescent="0.35">
      <c r="A59" t="s">
        <v>8</v>
      </c>
      <c r="B59" t="s">
        <v>9</v>
      </c>
      <c r="C59" t="str">
        <f t="shared" si="0"/>
        <v>11102</v>
      </c>
      <c r="D59" t="s">
        <v>10</v>
      </c>
      <c r="E59" t="str">
        <f t="shared" si="1"/>
        <v>33</v>
      </c>
      <c r="F59">
        <v>109144</v>
      </c>
      <c r="G59">
        <v>94529</v>
      </c>
      <c r="H59">
        <v>3229</v>
      </c>
      <c r="I59" t="str">
        <f t="shared" si="4"/>
        <v>2</v>
      </c>
      <c r="J59" t="str">
        <f t="shared" si="5"/>
        <v>N-VA</v>
      </c>
      <c r="K59">
        <v>11733</v>
      </c>
      <c r="L59">
        <v>14333</v>
      </c>
      <c r="M59">
        <v>26066</v>
      </c>
      <c r="N59">
        <v>23697</v>
      </c>
      <c r="O59">
        <v>10</v>
      </c>
      <c r="P59" t="str">
        <f>("25")</f>
        <v>25</v>
      </c>
      <c r="Q59" t="str">
        <f>("LUYPAERT Kristof")</f>
        <v>LUYPAERT Kristof</v>
      </c>
      <c r="R59">
        <v>503</v>
      </c>
      <c r="S59" t="s">
        <v>44</v>
      </c>
      <c r="T59">
        <v>0</v>
      </c>
      <c r="V59">
        <v>13</v>
      </c>
      <c r="W59">
        <v>503</v>
      </c>
      <c r="X59">
        <v>0</v>
      </c>
    </row>
    <row r="60" spans="1:24" x14ac:dyDescent="0.35">
      <c r="A60" t="s">
        <v>8</v>
      </c>
      <c r="B60" t="s">
        <v>9</v>
      </c>
      <c r="C60" t="str">
        <f t="shared" si="0"/>
        <v>11102</v>
      </c>
      <c r="D60" t="s">
        <v>10</v>
      </c>
      <c r="E60" t="str">
        <f t="shared" si="1"/>
        <v>33</v>
      </c>
      <c r="F60">
        <v>109144</v>
      </c>
      <c r="G60">
        <v>94529</v>
      </c>
      <c r="H60">
        <v>3229</v>
      </c>
      <c r="I60" t="str">
        <f t="shared" si="4"/>
        <v>2</v>
      </c>
      <c r="J60" t="str">
        <f t="shared" si="5"/>
        <v>N-VA</v>
      </c>
      <c r="K60">
        <v>11733</v>
      </c>
      <c r="L60">
        <v>14333</v>
      </c>
      <c r="M60">
        <v>26066</v>
      </c>
      <c r="N60">
        <v>23697</v>
      </c>
      <c r="O60">
        <v>10</v>
      </c>
      <c r="P60" t="str">
        <f>("26")</f>
        <v>26</v>
      </c>
      <c r="Q60" t="str">
        <f>("RYSHEUVELS-DIELTIENS Anne")</f>
        <v>RYSHEUVELS-DIELTIENS Anne</v>
      </c>
      <c r="R60">
        <v>426</v>
      </c>
      <c r="S60" t="s">
        <v>44</v>
      </c>
      <c r="T60">
        <v>0</v>
      </c>
      <c r="V60">
        <v>20</v>
      </c>
      <c r="W60">
        <v>426</v>
      </c>
      <c r="X60">
        <v>0</v>
      </c>
    </row>
    <row r="61" spans="1:24" x14ac:dyDescent="0.35">
      <c r="A61" t="s">
        <v>8</v>
      </c>
      <c r="B61" t="s">
        <v>9</v>
      </c>
      <c r="C61" t="str">
        <f t="shared" si="0"/>
        <v>11102</v>
      </c>
      <c r="D61" t="s">
        <v>10</v>
      </c>
      <c r="E61" t="str">
        <f t="shared" si="1"/>
        <v>33</v>
      </c>
      <c r="F61">
        <v>109144</v>
      </c>
      <c r="G61">
        <v>94529</v>
      </c>
      <c r="H61">
        <v>3229</v>
      </c>
      <c r="I61" t="str">
        <f t="shared" si="4"/>
        <v>2</v>
      </c>
      <c r="J61" t="str">
        <f t="shared" si="5"/>
        <v>N-VA</v>
      </c>
      <c r="K61">
        <v>11733</v>
      </c>
      <c r="L61">
        <v>14333</v>
      </c>
      <c r="M61">
        <v>26066</v>
      </c>
      <c r="N61">
        <v>23697</v>
      </c>
      <c r="O61">
        <v>10</v>
      </c>
      <c r="P61" t="str">
        <f>("27")</f>
        <v>27</v>
      </c>
      <c r="Q61" t="str">
        <f>("SUETINA Svetlana")</f>
        <v>SUETINA Svetlana</v>
      </c>
      <c r="R61">
        <v>512</v>
      </c>
      <c r="S61" t="s">
        <v>44</v>
      </c>
      <c r="T61">
        <v>0</v>
      </c>
      <c r="V61">
        <v>12</v>
      </c>
      <c r="W61">
        <v>512</v>
      </c>
      <c r="X61">
        <v>0</v>
      </c>
    </row>
    <row r="62" spans="1:24" x14ac:dyDescent="0.35">
      <c r="A62" t="s">
        <v>8</v>
      </c>
      <c r="B62" t="s">
        <v>9</v>
      </c>
      <c r="C62" t="str">
        <f t="shared" si="0"/>
        <v>11102</v>
      </c>
      <c r="D62" t="s">
        <v>10</v>
      </c>
      <c r="E62" t="str">
        <f t="shared" si="1"/>
        <v>33</v>
      </c>
      <c r="F62">
        <v>109144</v>
      </c>
      <c r="G62">
        <v>94529</v>
      </c>
      <c r="H62">
        <v>3229</v>
      </c>
      <c r="I62" t="str">
        <f t="shared" si="4"/>
        <v>2</v>
      </c>
      <c r="J62" t="str">
        <f t="shared" si="5"/>
        <v>N-VA</v>
      </c>
      <c r="K62">
        <v>11733</v>
      </c>
      <c r="L62">
        <v>14333</v>
      </c>
      <c r="M62">
        <v>26066</v>
      </c>
      <c r="N62">
        <v>23697</v>
      </c>
      <c r="O62">
        <v>10</v>
      </c>
      <c r="P62" t="str">
        <f>("28")</f>
        <v>28</v>
      </c>
      <c r="Q62" t="str">
        <f>("LINGIER Cedric")</f>
        <v>LINGIER Cedric</v>
      </c>
      <c r="R62">
        <v>417</v>
      </c>
      <c r="S62" t="s">
        <v>44</v>
      </c>
      <c r="T62">
        <v>0</v>
      </c>
      <c r="V62">
        <v>21</v>
      </c>
      <c r="W62">
        <v>417</v>
      </c>
      <c r="X62">
        <v>0</v>
      </c>
    </row>
    <row r="63" spans="1:24" x14ac:dyDescent="0.35">
      <c r="A63" t="s">
        <v>8</v>
      </c>
      <c r="B63" t="s">
        <v>9</v>
      </c>
      <c r="C63" t="str">
        <f t="shared" si="0"/>
        <v>11102</v>
      </c>
      <c r="D63" t="s">
        <v>10</v>
      </c>
      <c r="E63" t="str">
        <f t="shared" si="1"/>
        <v>33</v>
      </c>
      <c r="F63">
        <v>109144</v>
      </c>
      <c r="G63">
        <v>94529</v>
      </c>
      <c r="H63">
        <v>3229</v>
      </c>
      <c r="I63" t="str">
        <f t="shared" si="4"/>
        <v>2</v>
      </c>
      <c r="J63" t="str">
        <f t="shared" si="5"/>
        <v>N-VA</v>
      </c>
      <c r="K63">
        <v>11733</v>
      </c>
      <c r="L63">
        <v>14333</v>
      </c>
      <c r="M63">
        <v>26066</v>
      </c>
      <c r="N63">
        <v>23697</v>
      </c>
      <c r="O63">
        <v>10</v>
      </c>
      <c r="P63" t="str">
        <f>("29")</f>
        <v>29</v>
      </c>
      <c r="Q63" t="str">
        <f>("NYS Hanna")</f>
        <v>NYS Hanna</v>
      </c>
      <c r="R63">
        <v>499</v>
      </c>
      <c r="S63" t="s">
        <v>44</v>
      </c>
      <c r="T63">
        <v>0</v>
      </c>
      <c r="V63">
        <v>14</v>
      </c>
      <c r="W63">
        <v>499</v>
      </c>
      <c r="X63">
        <v>0</v>
      </c>
    </row>
    <row r="64" spans="1:24" x14ac:dyDescent="0.35">
      <c r="A64" t="s">
        <v>8</v>
      </c>
      <c r="B64" t="s">
        <v>9</v>
      </c>
      <c r="C64" t="str">
        <f t="shared" si="0"/>
        <v>11102</v>
      </c>
      <c r="D64" t="s">
        <v>10</v>
      </c>
      <c r="E64" t="str">
        <f t="shared" si="1"/>
        <v>33</v>
      </c>
      <c r="F64">
        <v>109144</v>
      </c>
      <c r="G64">
        <v>94529</v>
      </c>
      <c r="H64">
        <v>3229</v>
      </c>
      <c r="I64" t="str">
        <f t="shared" si="4"/>
        <v>2</v>
      </c>
      <c r="J64" t="str">
        <f t="shared" si="5"/>
        <v>N-VA</v>
      </c>
      <c r="K64">
        <v>11733</v>
      </c>
      <c r="L64">
        <v>14333</v>
      </c>
      <c r="M64">
        <v>26066</v>
      </c>
      <c r="N64">
        <v>23697</v>
      </c>
      <c r="O64">
        <v>10</v>
      </c>
      <c r="P64" t="str">
        <f>("30")</f>
        <v>30</v>
      </c>
      <c r="Q64" t="str">
        <f>("JANSSENS Eric")</f>
        <v>JANSSENS Eric</v>
      </c>
      <c r="R64">
        <v>480</v>
      </c>
      <c r="S64" t="s">
        <v>44</v>
      </c>
      <c r="T64">
        <v>0</v>
      </c>
      <c r="V64">
        <v>17</v>
      </c>
      <c r="W64">
        <v>480</v>
      </c>
      <c r="X64">
        <v>0</v>
      </c>
    </row>
    <row r="65" spans="1:24" x14ac:dyDescent="0.35">
      <c r="A65" t="s">
        <v>8</v>
      </c>
      <c r="B65" t="s">
        <v>9</v>
      </c>
      <c r="C65" t="str">
        <f t="shared" si="0"/>
        <v>11102</v>
      </c>
      <c r="D65" t="s">
        <v>10</v>
      </c>
      <c r="E65" t="str">
        <f t="shared" si="1"/>
        <v>33</v>
      </c>
      <c r="F65">
        <v>109144</v>
      </c>
      <c r="G65">
        <v>94529</v>
      </c>
      <c r="H65">
        <v>3229</v>
      </c>
      <c r="I65" t="str">
        <f t="shared" si="4"/>
        <v>2</v>
      </c>
      <c r="J65" t="str">
        <f t="shared" si="5"/>
        <v>N-VA</v>
      </c>
      <c r="K65">
        <v>11733</v>
      </c>
      <c r="L65">
        <v>14333</v>
      </c>
      <c r="M65">
        <v>26066</v>
      </c>
      <c r="N65">
        <v>23697</v>
      </c>
      <c r="O65">
        <v>10</v>
      </c>
      <c r="P65" t="str">
        <f>("31")</f>
        <v>31</v>
      </c>
      <c r="Q65" t="str">
        <f>("GODFROID Olivier")</f>
        <v>GODFROID Olivier</v>
      </c>
      <c r="R65">
        <v>430</v>
      </c>
      <c r="S65" t="s">
        <v>44</v>
      </c>
      <c r="T65">
        <v>0</v>
      </c>
      <c r="V65">
        <v>19</v>
      </c>
      <c r="W65">
        <v>430</v>
      </c>
      <c r="X65">
        <v>0</v>
      </c>
    </row>
    <row r="66" spans="1:24" x14ac:dyDescent="0.35">
      <c r="A66" t="s">
        <v>8</v>
      </c>
      <c r="B66" t="s">
        <v>9</v>
      </c>
      <c r="C66" t="str">
        <f t="shared" ref="C66:C129" si="6">("11102")</f>
        <v>11102</v>
      </c>
      <c r="D66" t="s">
        <v>10</v>
      </c>
      <c r="E66" t="str">
        <f t="shared" ref="E66:E129" si="7">("33")</f>
        <v>33</v>
      </c>
      <c r="F66">
        <v>109144</v>
      </c>
      <c r="G66">
        <v>94529</v>
      </c>
      <c r="H66">
        <v>3229</v>
      </c>
      <c r="I66" t="str">
        <f t="shared" si="4"/>
        <v>2</v>
      </c>
      <c r="J66" t="str">
        <f t="shared" si="5"/>
        <v>N-VA</v>
      </c>
      <c r="K66">
        <v>11733</v>
      </c>
      <c r="L66">
        <v>14333</v>
      </c>
      <c r="M66">
        <v>26066</v>
      </c>
      <c r="N66">
        <v>23697</v>
      </c>
      <c r="O66">
        <v>10</v>
      </c>
      <c r="P66" t="str">
        <f>("32")</f>
        <v>32</v>
      </c>
      <c r="Q66" t="str">
        <f>("VAN WERDE Manuela")</f>
        <v>VAN WERDE Manuela</v>
      </c>
      <c r="R66">
        <v>773</v>
      </c>
      <c r="S66">
        <v>773</v>
      </c>
      <c r="T66">
        <v>0</v>
      </c>
      <c r="U66">
        <v>9</v>
      </c>
    </row>
    <row r="67" spans="1:24" x14ac:dyDescent="0.35">
      <c r="A67" t="s">
        <v>8</v>
      </c>
      <c r="B67" t="s">
        <v>9</v>
      </c>
      <c r="C67" t="str">
        <f t="shared" si="6"/>
        <v>11102</v>
      </c>
      <c r="D67" t="s">
        <v>10</v>
      </c>
      <c r="E67" t="str">
        <f t="shared" si="7"/>
        <v>33</v>
      </c>
      <c r="F67">
        <v>109144</v>
      </c>
      <c r="G67">
        <v>94529</v>
      </c>
      <c r="H67">
        <v>3229</v>
      </c>
      <c r="I67" t="str">
        <f t="shared" si="4"/>
        <v>2</v>
      </c>
      <c r="J67" t="str">
        <f t="shared" si="5"/>
        <v>N-VA</v>
      </c>
      <c r="K67">
        <v>11733</v>
      </c>
      <c r="L67">
        <v>14333</v>
      </c>
      <c r="M67">
        <v>26066</v>
      </c>
      <c r="N67">
        <v>23697</v>
      </c>
      <c r="O67">
        <v>10</v>
      </c>
      <c r="P67" t="str">
        <f>("33")</f>
        <v>33</v>
      </c>
      <c r="Q67" t="str">
        <f>("VAN CAMPENHOUT Ludo")</f>
        <v>VAN CAMPENHOUT Ludo</v>
      </c>
      <c r="R67">
        <v>4321</v>
      </c>
      <c r="S67">
        <v>4321</v>
      </c>
      <c r="T67">
        <v>0</v>
      </c>
      <c r="U67">
        <v>3</v>
      </c>
    </row>
    <row r="68" spans="1:24" x14ac:dyDescent="0.35">
      <c r="A68" t="s">
        <v>8</v>
      </c>
      <c r="B68" t="s">
        <v>9</v>
      </c>
      <c r="C68" t="str">
        <f t="shared" si="6"/>
        <v>11102</v>
      </c>
      <c r="D68" t="s">
        <v>10</v>
      </c>
      <c r="E68" t="str">
        <f t="shared" si="7"/>
        <v>33</v>
      </c>
      <c r="F68">
        <v>109144</v>
      </c>
      <c r="G68">
        <v>94529</v>
      </c>
      <c r="H68">
        <v>3229</v>
      </c>
      <c r="I68" t="str">
        <f t="shared" ref="I68:I100" si="8">("3")</f>
        <v>3</v>
      </c>
      <c r="J68" t="str">
        <f t="shared" ref="J68:J100" si="9">("CD&amp;V")</f>
        <v>CD&amp;V</v>
      </c>
      <c r="K68">
        <v>1545</v>
      </c>
      <c r="L68">
        <v>4348</v>
      </c>
      <c r="M68">
        <v>5893</v>
      </c>
      <c r="N68">
        <v>3929</v>
      </c>
      <c r="O68">
        <v>2</v>
      </c>
      <c r="P68" t="str">
        <f>("1")</f>
        <v>1</v>
      </c>
      <c r="Q68" t="str">
        <f>("BRAECKMANS Jan")</f>
        <v>BRAECKMANS Jan</v>
      </c>
      <c r="R68">
        <v>1122</v>
      </c>
      <c r="S68">
        <v>2152</v>
      </c>
      <c r="T68">
        <v>0</v>
      </c>
      <c r="U68">
        <v>1</v>
      </c>
    </row>
    <row r="69" spans="1:24" x14ac:dyDescent="0.35">
      <c r="A69" t="s">
        <v>8</v>
      </c>
      <c r="B69" t="s">
        <v>9</v>
      </c>
      <c r="C69" t="str">
        <f t="shared" si="6"/>
        <v>11102</v>
      </c>
      <c r="D69" t="s">
        <v>10</v>
      </c>
      <c r="E69" t="str">
        <f t="shared" si="7"/>
        <v>33</v>
      </c>
      <c r="F69">
        <v>109144</v>
      </c>
      <c r="G69">
        <v>94529</v>
      </c>
      <c r="H69">
        <v>3229</v>
      </c>
      <c r="I69" t="str">
        <f t="shared" si="8"/>
        <v>3</v>
      </c>
      <c r="J69" t="str">
        <f t="shared" si="9"/>
        <v>CD&amp;V</v>
      </c>
      <c r="K69">
        <v>1545</v>
      </c>
      <c r="L69">
        <v>4348</v>
      </c>
      <c r="M69">
        <v>5893</v>
      </c>
      <c r="N69">
        <v>3929</v>
      </c>
      <c r="O69">
        <v>2</v>
      </c>
      <c r="P69" t="str">
        <f>("2")</f>
        <v>2</v>
      </c>
      <c r="Q69" t="str">
        <f>("THOELEN Annelies")</f>
        <v>THOELEN Annelies</v>
      </c>
      <c r="R69">
        <v>373</v>
      </c>
      <c r="S69" t="s">
        <v>44</v>
      </c>
      <c r="T69">
        <v>0</v>
      </c>
      <c r="V69">
        <v>1</v>
      </c>
      <c r="W69">
        <v>1403</v>
      </c>
      <c r="X69">
        <v>0</v>
      </c>
    </row>
    <row r="70" spans="1:24" x14ac:dyDescent="0.35">
      <c r="A70" t="s">
        <v>8</v>
      </c>
      <c r="B70" t="s">
        <v>9</v>
      </c>
      <c r="C70" t="str">
        <f t="shared" si="6"/>
        <v>11102</v>
      </c>
      <c r="D70" t="s">
        <v>10</v>
      </c>
      <c r="E70" t="str">
        <f t="shared" si="7"/>
        <v>33</v>
      </c>
      <c r="F70">
        <v>109144</v>
      </c>
      <c r="G70">
        <v>94529</v>
      </c>
      <c r="H70">
        <v>3229</v>
      </c>
      <c r="I70" t="str">
        <f t="shared" si="8"/>
        <v>3</v>
      </c>
      <c r="J70" t="str">
        <f t="shared" si="9"/>
        <v>CD&amp;V</v>
      </c>
      <c r="K70">
        <v>1545</v>
      </c>
      <c r="L70">
        <v>4348</v>
      </c>
      <c r="M70">
        <v>5893</v>
      </c>
      <c r="N70">
        <v>3929</v>
      </c>
      <c r="O70">
        <v>2</v>
      </c>
      <c r="P70" t="str">
        <f>("3")</f>
        <v>3</v>
      </c>
      <c r="Q70" t="str">
        <f>("VANLOMMEL Dirk")</f>
        <v>VANLOMMEL Dirk</v>
      </c>
      <c r="R70">
        <v>302</v>
      </c>
      <c r="S70" t="s">
        <v>44</v>
      </c>
      <c r="T70">
        <v>0</v>
      </c>
      <c r="V70">
        <v>3</v>
      </c>
      <c r="W70">
        <v>302</v>
      </c>
      <c r="X70">
        <v>0</v>
      </c>
    </row>
    <row r="71" spans="1:24" x14ac:dyDescent="0.35">
      <c r="A71" t="s">
        <v>8</v>
      </c>
      <c r="B71" t="s">
        <v>9</v>
      </c>
      <c r="C71" t="str">
        <f t="shared" si="6"/>
        <v>11102</v>
      </c>
      <c r="D71" t="s">
        <v>10</v>
      </c>
      <c r="E71" t="str">
        <f t="shared" si="7"/>
        <v>33</v>
      </c>
      <c r="F71">
        <v>109144</v>
      </c>
      <c r="G71">
        <v>94529</v>
      </c>
      <c r="H71">
        <v>3229</v>
      </c>
      <c r="I71" t="str">
        <f t="shared" si="8"/>
        <v>3</v>
      </c>
      <c r="J71" t="str">
        <f t="shared" si="9"/>
        <v>CD&amp;V</v>
      </c>
      <c r="K71">
        <v>1545</v>
      </c>
      <c r="L71">
        <v>4348</v>
      </c>
      <c r="M71">
        <v>5893</v>
      </c>
      <c r="N71">
        <v>3929</v>
      </c>
      <c r="O71">
        <v>2</v>
      </c>
      <c r="P71" t="str">
        <f>("4")</f>
        <v>4</v>
      </c>
      <c r="Q71" t="str">
        <f>("IHARRATANE Touria")</f>
        <v>IHARRATANE Touria</v>
      </c>
      <c r="R71">
        <v>201</v>
      </c>
      <c r="S71" t="s">
        <v>44</v>
      </c>
      <c r="T71">
        <v>0</v>
      </c>
      <c r="V71">
        <v>6</v>
      </c>
      <c r="W71">
        <v>201</v>
      </c>
      <c r="X71">
        <v>0</v>
      </c>
    </row>
    <row r="72" spans="1:24" x14ac:dyDescent="0.35">
      <c r="A72" t="s">
        <v>8</v>
      </c>
      <c r="B72" t="s">
        <v>9</v>
      </c>
      <c r="C72" t="str">
        <f t="shared" si="6"/>
        <v>11102</v>
      </c>
      <c r="D72" t="s">
        <v>10</v>
      </c>
      <c r="E72" t="str">
        <f t="shared" si="7"/>
        <v>33</v>
      </c>
      <c r="F72">
        <v>109144</v>
      </c>
      <c r="G72">
        <v>94529</v>
      </c>
      <c r="H72">
        <v>3229</v>
      </c>
      <c r="I72" t="str">
        <f t="shared" si="8"/>
        <v>3</v>
      </c>
      <c r="J72" t="str">
        <f t="shared" si="9"/>
        <v>CD&amp;V</v>
      </c>
      <c r="K72">
        <v>1545</v>
      </c>
      <c r="L72">
        <v>4348</v>
      </c>
      <c r="M72">
        <v>5893</v>
      </c>
      <c r="N72">
        <v>3929</v>
      </c>
      <c r="O72">
        <v>2</v>
      </c>
      <c r="P72" t="str">
        <f>("5")</f>
        <v>5</v>
      </c>
      <c r="Q72" t="str">
        <f>("AOURIAGHEL Youssef Kobo")</f>
        <v>AOURIAGHEL Youssef Kobo</v>
      </c>
      <c r="R72">
        <v>209</v>
      </c>
      <c r="S72" t="s">
        <v>44</v>
      </c>
      <c r="T72">
        <v>0</v>
      </c>
      <c r="V72">
        <v>5</v>
      </c>
      <c r="W72">
        <v>209</v>
      </c>
      <c r="X72">
        <v>0</v>
      </c>
    </row>
    <row r="73" spans="1:24" x14ac:dyDescent="0.35">
      <c r="A73" t="s">
        <v>8</v>
      </c>
      <c r="B73" t="s">
        <v>9</v>
      </c>
      <c r="C73" t="str">
        <f t="shared" si="6"/>
        <v>11102</v>
      </c>
      <c r="D73" t="s">
        <v>10</v>
      </c>
      <c r="E73" t="str">
        <f t="shared" si="7"/>
        <v>33</v>
      </c>
      <c r="F73">
        <v>109144</v>
      </c>
      <c r="G73">
        <v>94529</v>
      </c>
      <c r="H73">
        <v>3229</v>
      </c>
      <c r="I73" t="str">
        <f t="shared" si="8"/>
        <v>3</v>
      </c>
      <c r="J73" t="str">
        <f t="shared" si="9"/>
        <v>CD&amp;V</v>
      </c>
      <c r="K73">
        <v>1545</v>
      </c>
      <c r="L73">
        <v>4348</v>
      </c>
      <c r="M73">
        <v>5893</v>
      </c>
      <c r="N73">
        <v>3929</v>
      </c>
      <c r="O73">
        <v>2</v>
      </c>
      <c r="P73" t="str">
        <f>("6")</f>
        <v>6</v>
      </c>
      <c r="Q73" t="str">
        <f>("DORJBAYAR Toogi")</f>
        <v>DORJBAYAR Toogi</v>
      </c>
      <c r="R73">
        <v>114</v>
      </c>
      <c r="S73" t="s">
        <v>44</v>
      </c>
      <c r="T73">
        <v>0</v>
      </c>
      <c r="V73">
        <v>18</v>
      </c>
      <c r="W73">
        <v>114</v>
      </c>
      <c r="X73">
        <v>0</v>
      </c>
    </row>
    <row r="74" spans="1:24" x14ac:dyDescent="0.35">
      <c r="A74" t="s">
        <v>8</v>
      </c>
      <c r="B74" t="s">
        <v>9</v>
      </c>
      <c r="C74" t="str">
        <f t="shared" si="6"/>
        <v>11102</v>
      </c>
      <c r="D74" t="s">
        <v>10</v>
      </c>
      <c r="E74" t="str">
        <f t="shared" si="7"/>
        <v>33</v>
      </c>
      <c r="F74">
        <v>109144</v>
      </c>
      <c r="G74">
        <v>94529</v>
      </c>
      <c r="H74">
        <v>3229</v>
      </c>
      <c r="I74" t="str">
        <f t="shared" si="8"/>
        <v>3</v>
      </c>
      <c r="J74" t="str">
        <f t="shared" si="9"/>
        <v>CD&amp;V</v>
      </c>
      <c r="K74">
        <v>1545</v>
      </c>
      <c r="L74">
        <v>4348</v>
      </c>
      <c r="M74">
        <v>5893</v>
      </c>
      <c r="N74">
        <v>3929</v>
      </c>
      <c r="O74">
        <v>2</v>
      </c>
      <c r="P74" t="str">
        <f>("7")</f>
        <v>7</v>
      </c>
      <c r="Q74" t="str">
        <f>("GYSELS Vincent")</f>
        <v>GYSELS Vincent</v>
      </c>
      <c r="R74">
        <v>168</v>
      </c>
      <c r="S74" t="s">
        <v>44</v>
      </c>
      <c r="T74">
        <v>0</v>
      </c>
      <c r="V74">
        <v>10</v>
      </c>
      <c r="W74">
        <v>168</v>
      </c>
      <c r="X74">
        <v>0</v>
      </c>
    </row>
    <row r="75" spans="1:24" x14ac:dyDescent="0.35">
      <c r="A75" t="s">
        <v>8</v>
      </c>
      <c r="B75" t="s">
        <v>9</v>
      </c>
      <c r="C75" t="str">
        <f t="shared" si="6"/>
        <v>11102</v>
      </c>
      <c r="D75" t="s">
        <v>10</v>
      </c>
      <c r="E75" t="str">
        <f t="shared" si="7"/>
        <v>33</v>
      </c>
      <c r="F75">
        <v>109144</v>
      </c>
      <c r="G75">
        <v>94529</v>
      </c>
      <c r="H75">
        <v>3229</v>
      </c>
      <c r="I75" t="str">
        <f t="shared" si="8"/>
        <v>3</v>
      </c>
      <c r="J75" t="str">
        <f t="shared" si="9"/>
        <v>CD&amp;V</v>
      </c>
      <c r="K75">
        <v>1545</v>
      </c>
      <c r="L75">
        <v>4348</v>
      </c>
      <c r="M75">
        <v>5893</v>
      </c>
      <c r="N75">
        <v>3929</v>
      </c>
      <c r="O75">
        <v>2</v>
      </c>
      <c r="P75" t="str">
        <f>("8")</f>
        <v>8</v>
      </c>
      <c r="Q75" t="str">
        <f>("EZZARHOUNI Fatima")</f>
        <v>EZZARHOUNI Fatima</v>
      </c>
      <c r="R75">
        <v>339</v>
      </c>
      <c r="S75" t="s">
        <v>44</v>
      </c>
      <c r="T75">
        <v>0</v>
      </c>
      <c r="V75">
        <v>2</v>
      </c>
      <c r="W75">
        <v>339</v>
      </c>
      <c r="X75">
        <v>0</v>
      </c>
    </row>
    <row r="76" spans="1:24" x14ac:dyDescent="0.35">
      <c r="A76" t="s">
        <v>8</v>
      </c>
      <c r="B76" t="s">
        <v>9</v>
      </c>
      <c r="C76" t="str">
        <f t="shared" si="6"/>
        <v>11102</v>
      </c>
      <c r="D76" t="s">
        <v>10</v>
      </c>
      <c r="E76" t="str">
        <f t="shared" si="7"/>
        <v>33</v>
      </c>
      <c r="F76">
        <v>109144</v>
      </c>
      <c r="G76">
        <v>94529</v>
      </c>
      <c r="H76">
        <v>3229</v>
      </c>
      <c r="I76" t="str">
        <f t="shared" si="8"/>
        <v>3</v>
      </c>
      <c r="J76" t="str">
        <f t="shared" si="9"/>
        <v>CD&amp;V</v>
      </c>
      <c r="K76">
        <v>1545</v>
      </c>
      <c r="L76">
        <v>4348</v>
      </c>
      <c r="M76">
        <v>5893</v>
      </c>
      <c r="N76">
        <v>3929</v>
      </c>
      <c r="O76">
        <v>2</v>
      </c>
      <c r="P76" t="str">
        <f>("9")</f>
        <v>9</v>
      </c>
      <c r="Q76" t="str">
        <f>("DARIA Sahadi")</f>
        <v>DARIA Sahadi</v>
      </c>
      <c r="R76">
        <v>121</v>
      </c>
      <c r="S76" t="s">
        <v>44</v>
      </c>
      <c r="T76">
        <v>0</v>
      </c>
      <c r="V76">
        <v>17</v>
      </c>
      <c r="W76">
        <v>121</v>
      </c>
      <c r="X76">
        <v>0</v>
      </c>
    </row>
    <row r="77" spans="1:24" x14ac:dyDescent="0.35">
      <c r="A77" t="s">
        <v>8</v>
      </c>
      <c r="B77" t="s">
        <v>9</v>
      </c>
      <c r="C77" t="str">
        <f t="shared" si="6"/>
        <v>11102</v>
      </c>
      <c r="D77" t="s">
        <v>10</v>
      </c>
      <c r="E77" t="str">
        <f t="shared" si="7"/>
        <v>33</v>
      </c>
      <c r="F77">
        <v>109144</v>
      </c>
      <c r="G77">
        <v>94529</v>
      </c>
      <c r="H77">
        <v>3229</v>
      </c>
      <c r="I77" t="str">
        <f t="shared" si="8"/>
        <v>3</v>
      </c>
      <c r="J77" t="str">
        <f t="shared" si="9"/>
        <v>CD&amp;V</v>
      </c>
      <c r="K77">
        <v>1545</v>
      </c>
      <c r="L77">
        <v>4348</v>
      </c>
      <c r="M77">
        <v>5893</v>
      </c>
      <c r="N77">
        <v>3929</v>
      </c>
      <c r="O77">
        <v>2</v>
      </c>
      <c r="P77" t="str">
        <f>("10")</f>
        <v>10</v>
      </c>
      <c r="Q77" t="str">
        <f>("RADJUK Pavel")</f>
        <v>RADJUK Pavel</v>
      </c>
      <c r="R77">
        <v>92</v>
      </c>
      <c r="S77" t="s">
        <v>44</v>
      </c>
      <c r="T77">
        <v>0</v>
      </c>
      <c r="V77">
        <v>27</v>
      </c>
      <c r="W77">
        <v>92</v>
      </c>
      <c r="X77">
        <v>0</v>
      </c>
    </row>
    <row r="78" spans="1:24" x14ac:dyDescent="0.35">
      <c r="A78" t="s">
        <v>8</v>
      </c>
      <c r="B78" t="s">
        <v>9</v>
      </c>
      <c r="C78" t="str">
        <f t="shared" si="6"/>
        <v>11102</v>
      </c>
      <c r="D78" t="s">
        <v>10</v>
      </c>
      <c r="E78" t="str">
        <f t="shared" si="7"/>
        <v>33</v>
      </c>
      <c r="F78">
        <v>109144</v>
      </c>
      <c r="G78">
        <v>94529</v>
      </c>
      <c r="H78">
        <v>3229</v>
      </c>
      <c r="I78" t="str">
        <f t="shared" si="8"/>
        <v>3</v>
      </c>
      <c r="J78" t="str">
        <f t="shared" si="9"/>
        <v>CD&amp;V</v>
      </c>
      <c r="K78">
        <v>1545</v>
      </c>
      <c r="L78">
        <v>4348</v>
      </c>
      <c r="M78">
        <v>5893</v>
      </c>
      <c r="N78">
        <v>3929</v>
      </c>
      <c r="O78">
        <v>2</v>
      </c>
      <c r="P78" t="str">
        <f>("11")</f>
        <v>11</v>
      </c>
      <c r="Q78" t="str">
        <f>("CALUWÉ Helena")</f>
        <v>CALUWÉ Helena</v>
      </c>
      <c r="R78">
        <v>199</v>
      </c>
      <c r="S78" t="s">
        <v>44</v>
      </c>
      <c r="T78">
        <v>0</v>
      </c>
      <c r="V78">
        <v>7</v>
      </c>
      <c r="W78">
        <v>199</v>
      </c>
      <c r="X78">
        <v>0</v>
      </c>
    </row>
    <row r="79" spans="1:24" x14ac:dyDescent="0.35">
      <c r="A79" t="s">
        <v>8</v>
      </c>
      <c r="B79" t="s">
        <v>9</v>
      </c>
      <c r="C79" t="str">
        <f t="shared" si="6"/>
        <v>11102</v>
      </c>
      <c r="D79" t="s">
        <v>10</v>
      </c>
      <c r="E79" t="str">
        <f t="shared" si="7"/>
        <v>33</v>
      </c>
      <c r="F79">
        <v>109144</v>
      </c>
      <c r="G79">
        <v>94529</v>
      </c>
      <c r="H79">
        <v>3229</v>
      </c>
      <c r="I79" t="str">
        <f t="shared" si="8"/>
        <v>3</v>
      </c>
      <c r="J79" t="str">
        <f t="shared" si="9"/>
        <v>CD&amp;V</v>
      </c>
      <c r="K79">
        <v>1545</v>
      </c>
      <c r="L79">
        <v>4348</v>
      </c>
      <c r="M79">
        <v>5893</v>
      </c>
      <c r="N79">
        <v>3929</v>
      </c>
      <c r="O79">
        <v>2</v>
      </c>
      <c r="P79" t="str">
        <f>("12")</f>
        <v>12</v>
      </c>
      <c r="Q79" t="str">
        <f>("VAN DER KADEN Emma")</f>
        <v>VAN DER KADEN Emma</v>
      </c>
      <c r="R79">
        <v>149</v>
      </c>
      <c r="S79" t="s">
        <v>44</v>
      </c>
      <c r="T79">
        <v>0</v>
      </c>
      <c r="V79">
        <v>13</v>
      </c>
      <c r="W79">
        <v>149</v>
      </c>
      <c r="X79">
        <v>0</v>
      </c>
    </row>
    <row r="80" spans="1:24" x14ac:dyDescent="0.35">
      <c r="A80" t="s">
        <v>8</v>
      </c>
      <c r="B80" t="s">
        <v>9</v>
      </c>
      <c r="C80" t="str">
        <f t="shared" si="6"/>
        <v>11102</v>
      </c>
      <c r="D80" t="s">
        <v>10</v>
      </c>
      <c r="E80" t="str">
        <f t="shared" si="7"/>
        <v>33</v>
      </c>
      <c r="F80">
        <v>109144</v>
      </c>
      <c r="G80">
        <v>94529</v>
      </c>
      <c r="H80">
        <v>3229</v>
      </c>
      <c r="I80" t="str">
        <f t="shared" si="8"/>
        <v>3</v>
      </c>
      <c r="J80" t="str">
        <f t="shared" si="9"/>
        <v>CD&amp;V</v>
      </c>
      <c r="K80">
        <v>1545</v>
      </c>
      <c r="L80">
        <v>4348</v>
      </c>
      <c r="M80">
        <v>5893</v>
      </c>
      <c r="N80">
        <v>3929</v>
      </c>
      <c r="O80">
        <v>2</v>
      </c>
      <c r="P80" t="str">
        <f>("13")</f>
        <v>13</v>
      </c>
      <c r="Q80" t="str">
        <f>("MAKHARADZE Khatuna")</f>
        <v>MAKHARADZE Khatuna</v>
      </c>
      <c r="R80">
        <v>105</v>
      </c>
      <c r="S80" t="s">
        <v>44</v>
      </c>
      <c r="T80">
        <v>0</v>
      </c>
      <c r="V80">
        <v>24</v>
      </c>
      <c r="W80">
        <v>105</v>
      </c>
      <c r="X80">
        <v>0</v>
      </c>
    </row>
    <row r="81" spans="1:24" x14ac:dyDescent="0.35">
      <c r="A81" t="s">
        <v>8</v>
      </c>
      <c r="B81" t="s">
        <v>9</v>
      </c>
      <c r="C81" t="str">
        <f t="shared" si="6"/>
        <v>11102</v>
      </c>
      <c r="D81" t="s">
        <v>10</v>
      </c>
      <c r="E81" t="str">
        <f t="shared" si="7"/>
        <v>33</v>
      </c>
      <c r="F81">
        <v>109144</v>
      </c>
      <c r="G81">
        <v>94529</v>
      </c>
      <c r="H81">
        <v>3229</v>
      </c>
      <c r="I81" t="str">
        <f t="shared" si="8"/>
        <v>3</v>
      </c>
      <c r="J81" t="str">
        <f t="shared" si="9"/>
        <v>CD&amp;V</v>
      </c>
      <c r="K81">
        <v>1545</v>
      </c>
      <c r="L81">
        <v>4348</v>
      </c>
      <c r="M81">
        <v>5893</v>
      </c>
      <c r="N81">
        <v>3929</v>
      </c>
      <c r="O81">
        <v>2</v>
      </c>
      <c r="P81" t="str">
        <f>("14")</f>
        <v>14</v>
      </c>
      <c r="Q81" t="str">
        <f>("HERREMANS Tom")</f>
        <v>HERREMANS Tom</v>
      </c>
      <c r="R81">
        <v>131</v>
      </c>
      <c r="S81" t="s">
        <v>44</v>
      </c>
      <c r="T81">
        <v>0</v>
      </c>
      <c r="V81">
        <v>15</v>
      </c>
      <c r="W81">
        <v>131</v>
      </c>
      <c r="X81">
        <v>0</v>
      </c>
    </row>
    <row r="82" spans="1:24" x14ac:dyDescent="0.35">
      <c r="A82" t="s">
        <v>8</v>
      </c>
      <c r="B82" t="s">
        <v>9</v>
      </c>
      <c r="C82" t="str">
        <f t="shared" si="6"/>
        <v>11102</v>
      </c>
      <c r="D82" t="s">
        <v>10</v>
      </c>
      <c r="E82" t="str">
        <f t="shared" si="7"/>
        <v>33</v>
      </c>
      <c r="F82">
        <v>109144</v>
      </c>
      <c r="G82">
        <v>94529</v>
      </c>
      <c r="H82">
        <v>3229</v>
      </c>
      <c r="I82" t="str">
        <f t="shared" si="8"/>
        <v>3</v>
      </c>
      <c r="J82" t="str">
        <f t="shared" si="9"/>
        <v>CD&amp;V</v>
      </c>
      <c r="K82">
        <v>1545</v>
      </c>
      <c r="L82">
        <v>4348</v>
      </c>
      <c r="M82">
        <v>5893</v>
      </c>
      <c r="N82">
        <v>3929</v>
      </c>
      <c r="O82">
        <v>2</v>
      </c>
      <c r="P82" t="str">
        <f>("15")</f>
        <v>15</v>
      </c>
      <c r="Q82" t="str">
        <f>("LEYSEN Danielle")</f>
        <v>LEYSEN Danielle</v>
      </c>
      <c r="R82">
        <v>110</v>
      </c>
      <c r="S82" t="s">
        <v>44</v>
      </c>
      <c r="T82">
        <v>0</v>
      </c>
      <c r="V82">
        <v>22</v>
      </c>
      <c r="W82">
        <v>110</v>
      </c>
      <c r="X82">
        <v>0</v>
      </c>
    </row>
    <row r="83" spans="1:24" x14ac:dyDescent="0.35">
      <c r="A83" t="s">
        <v>8</v>
      </c>
      <c r="B83" t="s">
        <v>9</v>
      </c>
      <c r="C83" t="str">
        <f t="shared" si="6"/>
        <v>11102</v>
      </c>
      <c r="D83" t="s">
        <v>10</v>
      </c>
      <c r="E83" t="str">
        <f t="shared" si="7"/>
        <v>33</v>
      </c>
      <c r="F83">
        <v>109144</v>
      </c>
      <c r="G83">
        <v>94529</v>
      </c>
      <c r="H83">
        <v>3229</v>
      </c>
      <c r="I83" t="str">
        <f t="shared" si="8"/>
        <v>3</v>
      </c>
      <c r="J83" t="str">
        <f t="shared" si="9"/>
        <v>CD&amp;V</v>
      </c>
      <c r="K83">
        <v>1545</v>
      </c>
      <c r="L83">
        <v>4348</v>
      </c>
      <c r="M83">
        <v>5893</v>
      </c>
      <c r="N83">
        <v>3929</v>
      </c>
      <c r="O83">
        <v>2</v>
      </c>
      <c r="P83" t="str">
        <f>("16")</f>
        <v>16</v>
      </c>
      <c r="Q83" t="str">
        <f>("FRIEDMAN Rezi")</f>
        <v>FRIEDMAN Rezi</v>
      </c>
      <c r="R83">
        <v>113</v>
      </c>
      <c r="S83" t="s">
        <v>44</v>
      </c>
      <c r="T83">
        <v>0</v>
      </c>
      <c r="V83">
        <v>19</v>
      </c>
      <c r="W83">
        <v>113</v>
      </c>
      <c r="X83">
        <v>0</v>
      </c>
    </row>
    <row r="84" spans="1:24" x14ac:dyDescent="0.35">
      <c r="A84" t="s">
        <v>8</v>
      </c>
      <c r="B84" t="s">
        <v>9</v>
      </c>
      <c r="C84" t="str">
        <f t="shared" si="6"/>
        <v>11102</v>
      </c>
      <c r="D84" t="s">
        <v>10</v>
      </c>
      <c r="E84" t="str">
        <f t="shared" si="7"/>
        <v>33</v>
      </c>
      <c r="F84">
        <v>109144</v>
      </c>
      <c r="G84">
        <v>94529</v>
      </c>
      <c r="H84">
        <v>3229</v>
      </c>
      <c r="I84" t="str">
        <f t="shared" si="8"/>
        <v>3</v>
      </c>
      <c r="J84" t="str">
        <f t="shared" si="9"/>
        <v>CD&amp;V</v>
      </c>
      <c r="K84">
        <v>1545</v>
      </c>
      <c r="L84">
        <v>4348</v>
      </c>
      <c r="M84">
        <v>5893</v>
      </c>
      <c r="N84">
        <v>3929</v>
      </c>
      <c r="O84">
        <v>2</v>
      </c>
      <c r="P84" t="str">
        <f>("17")</f>
        <v>17</v>
      </c>
      <c r="Q84" t="str">
        <f>("DE BLESER Herman")</f>
        <v>DE BLESER Herman</v>
      </c>
      <c r="R84">
        <v>161</v>
      </c>
      <c r="S84" t="s">
        <v>44</v>
      </c>
      <c r="T84">
        <v>0</v>
      </c>
      <c r="V84">
        <v>11</v>
      </c>
      <c r="W84">
        <v>161</v>
      </c>
      <c r="X84">
        <v>0</v>
      </c>
    </row>
    <row r="85" spans="1:24" x14ac:dyDescent="0.35">
      <c r="A85" t="s">
        <v>8</v>
      </c>
      <c r="B85" t="s">
        <v>9</v>
      </c>
      <c r="C85" t="str">
        <f t="shared" si="6"/>
        <v>11102</v>
      </c>
      <c r="D85" t="s">
        <v>10</v>
      </c>
      <c r="E85" t="str">
        <f t="shared" si="7"/>
        <v>33</v>
      </c>
      <c r="F85">
        <v>109144</v>
      </c>
      <c r="G85">
        <v>94529</v>
      </c>
      <c r="H85">
        <v>3229</v>
      </c>
      <c r="I85" t="str">
        <f t="shared" si="8"/>
        <v>3</v>
      </c>
      <c r="J85" t="str">
        <f t="shared" si="9"/>
        <v>CD&amp;V</v>
      </c>
      <c r="K85">
        <v>1545</v>
      </c>
      <c r="L85">
        <v>4348</v>
      </c>
      <c r="M85">
        <v>5893</v>
      </c>
      <c r="N85">
        <v>3929</v>
      </c>
      <c r="O85">
        <v>2</v>
      </c>
      <c r="P85" t="str">
        <f>("18")</f>
        <v>18</v>
      </c>
      <c r="Q85" t="str">
        <f>("DE VROEY Paul")</f>
        <v>DE VROEY Paul</v>
      </c>
      <c r="R85">
        <v>192</v>
      </c>
      <c r="S85" t="s">
        <v>44</v>
      </c>
      <c r="T85">
        <v>0</v>
      </c>
      <c r="V85">
        <v>8</v>
      </c>
      <c r="W85">
        <v>192</v>
      </c>
      <c r="X85">
        <v>0</v>
      </c>
    </row>
    <row r="86" spans="1:24" x14ac:dyDescent="0.35">
      <c r="A86" t="s">
        <v>8</v>
      </c>
      <c r="B86" t="s">
        <v>9</v>
      </c>
      <c r="C86" t="str">
        <f t="shared" si="6"/>
        <v>11102</v>
      </c>
      <c r="D86" t="s">
        <v>10</v>
      </c>
      <c r="E86" t="str">
        <f t="shared" si="7"/>
        <v>33</v>
      </c>
      <c r="F86">
        <v>109144</v>
      </c>
      <c r="G86">
        <v>94529</v>
      </c>
      <c r="H86">
        <v>3229</v>
      </c>
      <c r="I86" t="str">
        <f t="shared" si="8"/>
        <v>3</v>
      </c>
      <c r="J86" t="str">
        <f t="shared" si="9"/>
        <v>CD&amp;V</v>
      </c>
      <c r="K86">
        <v>1545</v>
      </c>
      <c r="L86">
        <v>4348</v>
      </c>
      <c r="M86">
        <v>5893</v>
      </c>
      <c r="N86">
        <v>3929</v>
      </c>
      <c r="O86">
        <v>2</v>
      </c>
      <c r="P86" t="str">
        <f>("19")</f>
        <v>19</v>
      </c>
      <c r="Q86" t="str">
        <f>("CRAB Rita")</f>
        <v>CRAB Rita</v>
      </c>
      <c r="R86">
        <v>169</v>
      </c>
      <c r="S86" t="s">
        <v>44</v>
      </c>
      <c r="T86">
        <v>0</v>
      </c>
      <c r="V86">
        <v>9</v>
      </c>
      <c r="W86">
        <v>169</v>
      </c>
      <c r="X86">
        <v>0</v>
      </c>
    </row>
    <row r="87" spans="1:24" x14ac:dyDescent="0.35">
      <c r="A87" t="s">
        <v>8</v>
      </c>
      <c r="B87" t="s">
        <v>9</v>
      </c>
      <c r="C87" t="str">
        <f t="shared" si="6"/>
        <v>11102</v>
      </c>
      <c r="D87" t="s">
        <v>10</v>
      </c>
      <c r="E87" t="str">
        <f t="shared" si="7"/>
        <v>33</v>
      </c>
      <c r="F87">
        <v>109144</v>
      </c>
      <c r="G87">
        <v>94529</v>
      </c>
      <c r="H87">
        <v>3229</v>
      </c>
      <c r="I87" t="str">
        <f t="shared" si="8"/>
        <v>3</v>
      </c>
      <c r="J87" t="str">
        <f t="shared" si="9"/>
        <v>CD&amp;V</v>
      </c>
      <c r="K87">
        <v>1545</v>
      </c>
      <c r="L87">
        <v>4348</v>
      </c>
      <c r="M87">
        <v>5893</v>
      </c>
      <c r="N87">
        <v>3929</v>
      </c>
      <c r="O87">
        <v>2</v>
      </c>
      <c r="P87" t="str">
        <f>("20")</f>
        <v>20</v>
      </c>
      <c r="Q87" t="str">
        <f>("AHMADZAY Naweed")</f>
        <v>AHMADZAY Naweed</v>
      </c>
      <c r="R87">
        <v>135</v>
      </c>
      <c r="S87" t="s">
        <v>44</v>
      </c>
      <c r="T87">
        <v>0</v>
      </c>
      <c r="V87">
        <v>14</v>
      </c>
      <c r="W87">
        <v>135</v>
      </c>
      <c r="X87">
        <v>0</v>
      </c>
    </row>
    <row r="88" spans="1:24" x14ac:dyDescent="0.35">
      <c r="A88" t="s">
        <v>8</v>
      </c>
      <c r="B88" t="s">
        <v>9</v>
      </c>
      <c r="C88" t="str">
        <f t="shared" si="6"/>
        <v>11102</v>
      </c>
      <c r="D88" t="s">
        <v>10</v>
      </c>
      <c r="E88" t="str">
        <f t="shared" si="7"/>
        <v>33</v>
      </c>
      <c r="F88">
        <v>109144</v>
      </c>
      <c r="G88">
        <v>94529</v>
      </c>
      <c r="H88">
        <v>3229</v>
      </c>
      <c r="I88" t="str">
        <f t="shared" si="8"/>
        <v>3</v>
      </c>
      <c r="J88" t="str">
        <f t="shared" si="9"/>
        <v>CD&amp;V</v>
      </c>
      <c r="K88">
        <v>1545</v>
      </c>
      <c r="L88">
        <v>4348</v>
      </c>
      <c r="M88">
        <v>5893</v>
      </c>
      <c r="N88">
        <v>3929</v>
      </c>
      <c r="O88">
        <v>2</v>
      </c>
      <c r="P88" t="str">
        <f>("21")</f>
        <v>21</v>
      </c>
      <c r="Q88" t="str">
        <f>("BIKHAN Zeki")</f>
        <v>BIKHAN Zeki</v>
      </c>
      <c r="R88">
        <v>157</v>
      </c>
      <c r="S88" t="s">
        <v>44</v>
      </c>
      <c r="T88">
        <v>0</v>
      </c>
      <c r="V88">
        <v>12</v>
      </c>
      <c r="W88">
        <v>157</v>
      </c>
      <c r="X88">
        <v>0</v>
      </c>
    </row>
    <row r="89" spans="1:24" x14ac:dyDescent="0.35">
      <c r="A89" t="s">
        <v>8</v>
      </c>
      <c r="B89" t="s">
        <v>9</v>
      </c>
      <c r="C89" t="str">
        <f t="shared" si="6"/>
        <v>11102</v>
      </c>
      <c r="D89" t="s">
        <v>10</v>
      </c>
      <c r="E89" t="str">
        <f t="shared" si="7"/>
        <v>33</v>
      </c>
      <c r="F89">
        <v>109144</v>
      </c>
      <c r="G89">
        <v>94529</v>
      </c>
      <c r="H89">
        <v>3229</v>
      </c>
      <c r="I89" t="str">
        <f t="shared" si="8"/>
        <v>3</v>
      </c>
      <c r="J89" t="str">
        <f t="shared" si="9"/>
        <v>CD&amp;V</v>
      </c>
      <c r="K89">
        <v>1545</v>
      </c>
      <c r="L89">
        <v>4348</v>
      </c>
      <c r="M89">
        <v>5893</v>
      </c>
      <c r="N89">
        <v>3929</v>
      </c>
      <c r="O89">
        <v>2</v>
      </c>
      <c r="P89" t="str">
        <f>("22")</f>
        <v>22</v>
      </c>
      <c r="Q89" t="str">
        <f>("DE LOOS Maria")</f>
        <v>DE LOOS Maria</v>
      </c>
      <c r="R89">
        <v>86</v>
      </c>
      <c r="S89" t="s">
        <v>44</v>
      </c>
      <c r="T89">
        <v>0</v>
      </c>
      <c r="V89">
        <v>29</v>
      </c>
      <c r="W89">
        <v>86</v>
      </c>
      <c r="X89">
        <v>0</v>
      </c>
    </row>
    <row r="90" spans="1:24" x14ac:dyDescent="0.35">
      <c r="A90" t="s">
        <v>8</v>
      </c>
      <c r="B90" t="s">
        <v>9</v>
      </c>
      <c r="C90" t="str">
        <f t="shared" si="6"/>
        <v>11102</v>
      </c>
      <c r="D90" t="s">
        <v>10</v>
      </c>
      <c r="E90" t="str">
        <f t="shared" si="7"/>
        <v>33</v>
      </c>
      <c r="F90">
        <v>109144</v>
      </c>
      <c r="G90">
        <v>94529</v>
      </c>
      <c r="H90">
        <v>3229</v>
      </c>
      <c r="I90" t="str">
        <f t="shared" si="8"/>
        <v>3</v>
      </c>
      <c r="J90" t="str">
        <f t="shared" si="9"/>
        <v>CD&amp;V</v>
      </c>
      <c r="K90">
        <v>1545</v>
      </c>
      <c r="L90">
        <v>4348</v>
      </c>
      <c r="M90">
        <v>5893</v>
      </c>
      <c r="N90">
        <v>3929</v>
      </c>
      <c r="O90">
        <v>2</v>
      </c>
      <c r="P90" t="str">
        <f>("23")</f>
        <v>23</v>
      </c>
      <c r="Q90" t="str">
        <f>("ABDURAHMAN Sekandar")</f>
        <v>ABDURAHMAN Sekandar</v>
      </c>
      <c r="R90">
        <v>111</v>
      </c>
      <c r="S90" t="s">
        <v>44</v>
      </c>
      <c r="T90">
        <v>0</v>
      </c>
      <c r="V90">
        <v>21</v>
      </c>
      <c r="W90">
        <v>111</v>
      </c>
      <c r="X90">
        <v>0</v>
      </c>
    </row>
    <row r="91" spans="1:24" x14ac:dyDescent="0.35">
      <c r="A91" t="s">
        <v>8</v>
      </c>
      <c r="B91" t="s">
        <v>9</v>
      </c>
      <c r="C91" t="str">
        <f t="shared" si="6"/>
        <v>11102</v>
      </c>
      <c r="D91" t="s">
        <v>10</v>
      </c>
      <c r="E91" t="str">
        <f t="shared" si="7"/>
        <v>33</v>
      </c>
      <c r="F91">
        <v>109144</v>
      </c>
      <c r="G91">
        <v>94529</v>
      </c>
      <c r="H91">
        <v>3229</v>
      </c>
      <c r="I91" t="str">
        <f t="shared" si="8"/>
        <v>3</v>
      </c>
      <c r="J91" t="str">
        <f t="shared" si="9"/>
        <v>CD&amp;V</v>
      </c>
      <c r="K91">
        <v>1545</v>
      </c>
      <c r="L91">
        <v>4348</v>
      </c>
      <c r="M91">
        <v>5893</v>
      </c>
      <c r="N91">
        <v>3929</v>
      </c>
      <c r="O91">
        <v>2</v>
      </c>
      <c r="P91" t="str">
        <f>("24")</f>
        <v>24</v>
      </c>
      <c r="Q91" t="str">
        <f>("DEPESTEL Dina")</f>
        <v>DEPESTEL Dina</v>
      </c>
      <c r="R91">
        <v>113</v>
      </c>
      <c r="S91" t="s">
        <v>44</v>
      </c>
      <c r="T91">
        <v>0</v>
      </c>
      <c r="V91">
        <v>20</v>
      </c>
      <c r="W91">
        <v>113</v>
      </c>
      <c r="X91">
        <v>0</v>
      </c>
    </row>
    <row r="92" spans="1:24" x14ac:dyDescent="0.35">
      <c r="A92" t="s">
        <v>8</v>
      </c>
      <c r="B92" t="s">
        <v>9</v>
      </c>
      <c r="C92" t="str">
        <f t="shared" si="6"/>
        <v>11102</v>
      </c>
      <c r="D92" t="s">
        <v>10</v>
      </c>
      <c r="E92" t="str">
        <f t="shared" si="7"/>
        <v>33</v>
      </c>
      <c r="F92">
        <v>109144</v>
      </c>
      <c r="G92">
        <v>94529</v>
      </c>
      <c r="H92">
        <v>3229</v>
      </c>
      <c r="I92" t="str">
        <f t="shared" si="8"/>
        <v>3</v>
      </c>
      <c r="J92" t="str">
        <f t="shared" si="9"/>
        <v>CD&amp;V</v>
      </c>
      <c r="K92">
        <v>1545</v>
      </c>
      <c r="L92">
        <v>4348</v>
      </c>
      <c r="M92">
        <v>5893</v>
      </c>
      <c r="N92">
        <v>3929</v>
      </c>
      <c r="O92">
        <v>2</v>
      </c>
      <c r="P92" t="str">
        <f>("25")</f>
        <v>25</v>
      </c>
      <c r="Q92" t="str">
        <f>("TEUNEN Carine")</f>
        <v>TEUNEN Carine</v>
      </c>
      <c r="R92">
        <v>99</v>
      </c>
      <c r="S92" t="s">
        <v>44</v>
      </c>
      <c r="T92">
        <v>0</v>
      </c>
      <c r="V92">
        <v>25</v>
      </c>
      <c r="W92">
        <v>99</v>
      </c>
      <c r="X92">
        <v>0</v>
      </c>
    </row>
    <row r="93" spans="1:24" x14ac:dyDescent="0.35">
      <c r="A93" t="s">
        <v>8</v>
      </c>
      <c r="B93" t="s">
        <v>9</v>
      </c>
      <c r="C93" t="str">
        <f t="shared" si="6"/>
        <v>11102</v>
      </c>
      <c r="D93" t="s">
        <v>10</v>
      </c>
      <c r="E93" t="str">
        <f t="shared" si="7"/>
        <v>33</v>
      </c>
      <c r="F93">
        <v>109144</v>
      </c>
      <c r="G93">
        <v>94529</v>
      </c>
      <c r="H93">
        <v>3229</v>
      </c>
      <c r="I93" t="str">
        <f t="shared" si="8"/>
        <v>3</v>
      </c>
      <c r="J93" t="str">
        <f t="shared" si="9"/>
        <v>CD&amp;V</v>
      </c>
      <c r="K93">
        <v>1545</v>
      </c>
      <c r="L93">
        <v>4348</v>
      </c>
      <c r="M93">
        <v>5893</v>
      </c>
      <c r="N93">
        <v>3929</v>
      </c>
      <c r="O93">
        <v>2</v>
      </c>
      <c r="P93" t="str">
        <f>("26")</f>
        <v>26</v>
      </c>
      <c r="Q93" t="str">
        <f>("SARENS Tanguy")</f>
        <v>SARENS Tanguy</v>
      </c>
      <c r="R93">
        <v>107</v>
      </c>
      <c r="S93" t="s">
        <v>44</v>
      </c>
      <c r="T93">
        <v>0</v>
      </c>
      <c r="V93">
        <v>23</v>
      </c>
      <c r="W93">
        <v>107</v>
      </c>
      <c r="X93">
        <v>0</v>
      </c>
    </row>
    <row r="94" spans="1:24" x14ac:dyDescent="0.35">
      <c r="A94" t="s">
        <v>8</v>
      </c>
      <c r="B94" t="s">
        <v>9</v>
      </c>
      <c r="C94" t="str">
        <f t="shared" si="6"/>
        <v>11102</v>
      </c>
      <c r="D94" t="s">
        <v>10</v>
      </c>
      <c r="E94" t="str">
        <f t="shared" si="7"/>
        <v>33</v>
      </c>
      <c r="F94">
        <v>109144</v>
      </c>
      <c r="G94">
        <v>94529</v>
      </c>
      <c r="H94">
        <v>3229</v>
      </c>
      <c r="I94" t="str">
        <f t="shared" si="8"/>
        <v>3</v>
      </c>
      <c r="J94" t="str">
        <f t="shared" si="9"/>
        <v>CD&amp;V</v>
      </c>
      <c r="K94">
        <v>1545</v>
      </c>
      <c r="L94">
        <v>4348</v>
      </c>
      <c r="M94">
        <v>5893</v>
      </c>
      <c r="N94">
        <v>3929</v>
      </c>
      <c r="O94">
        <v>2</v>
      </c>
      <c r="P94" t="str">
        <f>("27")</f>
        <v>27</v>
      </c>
      <c r="Q94" t="str">
        <f>("LOUYET Anna-Maria")</f>
        <v>LOUYET Anna-Maria</v>
      </c>
      <c r="R94">
        <v>64</v>
      </c>
      <c r="S94" t="s">
        <v>44</v>
      </c>
      <c r="T94">
        <v>0</v>
      </c>
      <c r="V94">
        <v>30</v>
      </c>
      <c r="W94">
        <v>64</v>
      </c>
      <c r="X94">
        <v>0</v>
      </c>
    </row>
    <row r="95" spans="1:24" x14ac:dyDescent="0.35">
      <c r="A95" t="s">
        <v>8</v>
      </c>
      <c r="B95" t="s">
        <v>9</v>
      </c>
      <c r="C95" t="str">
        <f t="shared" si="6"/>
        <v>11102</v>
      </c>
      <c r="D95" t="s">
        <v>10</v>
      </c>
      <c r="E95" t="str">
        <f t="shared" si="7"/>
        <v>33</v>
      </c>
      <c r="F95">
        <v>109144</v>
      </c>
      <c r="G95">
        <v>94529</v>
      </c>
      <c r="H95">
        <v>3229</v>
      </c>
      <c r="I95" t="str">
        <f t="shared" si="8"/>
        <v>3</v>
      </c>
      <c r="J95" t="str">
        <f t="shared" si="9"/>
        <v>CD&amp;V</v>
      </c>
      <c r="K95">
        <v>1545</v>
      </c>
      <c r="L95">
        <v>4348</v>
      </c>
      <c r="M95">
        <v>5893</v>
      </c>
      <c r="N95">
        <v>3929</v>
      </c>
      <c r="O95">
        <v>2</v>
      </c>
      <c r="P95" t="str">
        <f>("28")</f>
        <v>28</v>
      </c>
      <c r="Q95" t="str">
        <f>("LKHAGVA Alta")</f>
        <v>LKHAGVA Alta</v>
      </c>
      <c r="R95">
        <v>60</v>
      </c>
      <c r="S95" t="s">
        <v>44</v>
      </c>
      <c r="T95">
        <v>0</v>
      </c>
      <c r="V95">
        <v>31</v>
      </c>
      <c r="W95">
        <v>60</v>
      </c>
      <c r="X95">
        <v>0</v>
      </c>
    </row>
    <row r="96" spans="1:24" x14ac:dyDescent="0.35">
      <c r="A96" t="s">
        <v>8</v>
      </c>
      <c r="B96" t="s">
        <v>9</v>
      </c>
      <c r="C96" t="str">
        <f t="shared" si="6"/>
        <v>11102</v>
      </c>
      <c r="D96" t="s">
        <v>10</v>
      </c>
      <c r="E96" t="str">
        <f t="shared" si="7"/>
        <v>33</v>
      </c>
      <c r="F96">
        <v>109144</v>
      </c>
      <c r="G96">
        <v>94529</v>
      </c>
      <c r="H96">
        <v>3229</v>
      </c>
      <c r="I96" t="str">
        <f t="shared" si="8"/>
        <v>3</v>
      </c>
      <c r="J96" t="str">
        <f t="shared" si="9"/>
        <v>CD&amp;V</v>
      </c>
      <c r="K96">
        <v>1545</v>
      </c>
      <c r="L96">
        <v>4348</v>
      </c>
      <c r="M96">
        <v>5893</v>
      </c>
      <c r="N96">
        <v>3929</v>
      </c>
      <c r="O96">
        <v>2</v>
      </c>
      <c r="P96" t="str">
        <f>("29")</f>
        <v>29</v>
      </c>
      <c r="Q96" t="str">
        <f>("ANTHONISSEN Tommy")</f>
        <v>ANTHONISSEN Tommy</v>
      </c>
      <c r="R96">
        <v>94</v>
      </c>
      <c r="S96" t="s">
        <v>44</v>
      </c>
      <c r="T96">
        <v>0</v>
      </c>
      <c r="V96">
        <v>26</v>
      </c>
      <c r="W96">
        <v>94</v>
      </c>
      <c r="X96">
        <v>0</v>
      </c>
    </row>
    <row r="97" spans="1:24" x14ac:dyDescent="0.35">
      <c r="A97" t="s">
        <v>8</v>
      </c>
      <c r="B97" t="s">
        <v>9</v>
      </c>
      <c r="C97" t="str">
        <f t="shared" si="6"/>
        <v>11102</v>
      </c>
      <c r="D97" t="s">
        <v>10</v>
      </c>
      <c r="E97" t="str">
        <f t="shared" si="7"/>
        <v>33</v>
      </c>
      <c r="F97">
        <v>109144</v>
      </c>
      <c r="G97">
        <v>94529</v>
      </c>
      <c r="H97">
        <v>3229</v>
      </c>
      <c r="I97" t="str">
        <f t="shared" si="8"/>
        <v>3</v>
      </c>
      <c r="J97" t="str">
        <f t="shared" si="9"/>
        <v>CD&amp;V</v>
      </c>
      <c r="K97">
        <v>1545</v>
      </c>
      <c r="L97">
        <v>4348</v>
      </c>
      <c r="M97">
        <v>5893</v>
      </c>
      <c r="N97">
        <v>3929</v>
      </c>
      <c r="O97">
        <v>2</v>
      </c>
      <c r="P97" t="str">
        <f>("30")</f>
        <v>30</v>
      </c>
      <c r="Q97" t="str">
        <f>("GEIRNAERT Annette")</f>
        <v>GEIRNAERT Annette</v>
      </c>
      <c r="R97">
        <v>88</v>
      </c>
      <c r="S97" t="s">
        <v>44</v>
      </c>
      <c r="T97">
        <v>0</v>
      </c>
      <c r="V97">
        <v>28</v>
      </c>
      <c r="W97">
        <v>88</v>
      </c>
      <c r="X97">
        <v>0</v>
      </c>
    </row>
    <row r="98" spans="1:24" x14ac:dyDescent="0.35">
      <c r="A98" t="s">
        <v>8</v>
      </c>
      <c r="B98" t="s">
        <v>9</v>
      </c>
      <c r="C98" t="str">
        <f t="shared" si="6"/>
        <v>11102</v>
      </c>
      <c r="D98" t="s">
        <v>10</v>
      </c>
      <c r="E98" t="str">
        <f t="shared" si="7"/>
        <v>33</v>
      </c>
      <c r="F98">
        <v>109144</v>
      </c>
      <c r="G98">
        <v>94529</v>
      </c>
      <c r="H98">
        <v>3229</v>
      </c>
      <c r="I98" t="str">
        <f t="shared" si="8"/>
        <v>3</v>
      </c>
      <c r="J98" t="str">
        <f t="shared" si="9"/>
        <v>CD&amp;V</v>
      </c>
      <c r="K98">
        <v>1545</v>
      </c>
      <c r="L98">
        <v>4348</v>
      </c>
      <c r="M98">
        <v>5893</v>
      </c>
      <c r="N98">
        <v>3929</v>
      </c>
      <c r="O98">
        <v>2</v>
      </c>
      <c r="P98" t="str">
        <f>("31")</f>
        <v>31</v>
      </c>
      <c r="Q98" t="str">
        <f>("VAN DE WAUWER Orry")</f>
        <v>VAN DE WAUWER Orry</v>
      </c>
      <c r="R98">
        <v>243</v>
      </c>
      <c r="S98" t="s">
        <v>44</v>
      </c>
      <c r="T98">
        <v>0</v>
      </c>
      <c r="V98">
        <v>4</v>
      </c>
      <c r="W98">
        <v>243</v>
      </c>
      <c r="X98">
        <v>0</v>
      </c>
    </row>
    <row r="99" spans="1:24" x14ac:dyDescent="0.35">
      <c r="A99" t="s">
        <v>8</v>
      </c>
      <c r="B99" t="s">
        <v>9</v>
      </c>
      <c r="C99" t="str">
        <f t="shared" si="6"/>
        <v>11102</v>
      </c>
      <c r="D99" t="s">
        <v>10</v>
      </c>
      <c r="E99" t="str">
        <f t="shared" si="7"/>
        <v>33</v>
      </c>
      <c r="F99">
        <v>109144</v>
      </c>
      <c r="G99">
        <v>94529</v>
      </c>
      <c r="H99">
        <v>3229</v>
      </c>
      <c r="I99" t="str">
        <f t="shared" si="8"/>
        <v>3</v>
      </c>
      <c r="J99" t="str">
        <f t="shared" si="9"/>
        <v>CD&amp;V</v>
      </c>
      <c r="K99">
        <v>1545</v>
      </c>
      <c r="L99">
        <v>4348</v>
      </c>
      <c r="M99">
        <v>5893</v>
      </c>
      <c r="N99">
        <v>3929</v>
      </c>
      <c r="O99">
        <v>2</v>
      </c>
      <c r="P99" t="str">
        <f>("32")</f>
        <v>32</v>
      </c>
      <c r="Q99" t="str">
        <f>("MEES Jos")</f>
        <v>MEES Jos</v>
      </c>
      <c r="R99">
        <v>130</v>
      </c>
      <c r="S99" t="s">
        <v>44</v>
      </c>
      <c r="T99">
        <v>0</v>
      </c>
      <c r="V99">
        <v>16</v>
      </c>
      <c r="W99">
        <v>130</v>
      </c>
      <c r="X99">
        <v>0</v>
      </c>
    </row>
    <row r="100" spans="1:24" x14ac:dyDescent="0.35">
      <c r="A100" t="s">
        <v>8</v>
      </c>
      <c r="B100" t="s">
        <v>9</v>
      </c>
      <c r="C100" t="str">
        <f t="shared" si="6"/>
        <v>11102</v>
      </c>
      <c r="D100" t="s">
        <v>10</v>
      </c>
      <c r="E100" t="str">
        <f t="shared" si="7"/>
        <v>33</v>
      </c>
      <c r="F100">
        <v>109144</v>
      </c>
      <c r="G100">
        <v>94529</v>
      </c>
      <c r="H100">
        <v>3229</v>
      </c>
      <c r="I100" t="str">
        <f t="shared" si="8"/>
        <v>3</v>
      </c>
      <c r="J100" t="str">
        <f t="shared" si="9"/>
        <v>CD&amp;V</v>
      </c>
      <c r="K100">
        <v>1545</v>
      </c>
      <c r="L100">
        <v>4348</v>
      </c>
      <c r="M100">
        <v>5893</v>
      </c>
      <c r="N100">
        <v>3929</v>
      </c>
      <c r="O100">
        <v>2</v>
      </c>
      <c r="P100" t="str">
        <f>("33")</f>
        <v>33</v>
      </c>
      <c r="Q100" t="str">
        <f>("PEETERS Kris")</f>
        <v>PEETERS Kris</v>
      </c>
      <c r="R100">
        <v>1476</v>
      </c>
      <c r="S100">
        <v>1476</v>
      </c>
      <c r="T100">
        <v>0</v>
      </c>
      <c r="U100">
        <v>2</v>
      </c>
    </row>
    <row r="101" spans="1:24" x14ac:dyDescent="0.35">
      <c r="A101" t="s">
        <v>8</v>
      </c>
      <c r="B101" t="s">
        <v>9</v>
      </c>
      <c r="C101" t="str">
        <f t="shared" si="6"/>
        <v>11102</v>
      </c>
      <c r="D101" t="s">
        <v>10</v>
      </c>
      <c r="E101" t="str">
        <f t="shared" si="7"/>
        <v>33</v>
      </c>
      <c r="F101">
        <v>109144</v>
      </c>
      <c r="G101">
        <v>94529</v>
      </c>
      <c r="H101">
        <v>3229</v>
      </c>
      <c r="I101" t="str">
        <f t="shared" ref="I101:I133" si="10">("4")</f>
        <v>4</v>
      </c>
      <c r="J101" t="str">
        <f t="shared" ref="J101:J133" si="11">("Groen")</f>
        <v>Groen</v>
      </c>
      <c r="K101">
        <v>9213</v>
      </c>
      <c r="L101">
        <v>11867</v>
      </c>
      <c r="M101">
        <v>21080</v>
      </c>
      <c r="N101">
        <v>18738</v>
      </c>
      <c r="O101">
        <v>8</v>
      </c>
      <c r="P101" t="str">
        <f>("1")</f>
        <v>1</v>
      </c>
      <c r="Q101" t="str">
        <f>("VAN DEN BORNE Tom")</f>
        <v>VAN DEN BORNE Tom</v>
      </c>
      <c r="R101">
        <v>3846</v>
      </c>
      <c r="S101">
        <v>18738</v>
      </c>
      <c r="T101">
        <v>9676</v>
      </c>
      <c r="U101">
        <v>1</v>
      </c>
    </row>
    <row r="102" spans="1:24" x14ac:dyDescent="0.35">
      <c r="A102" t="s">
        <v>8</v>
      </c>
      <c r="B102" t="s">
        <v>9</v>
      </c>
      <c r="C102" t="str">
        <f t="shared" si="6"/>
        <v>11102</v>
      </c>
      <c r="D102" t="s">
        <v>10</v>
      </c>
      <c r="E102" t="str">
        <f t="shared" si="7"/>
        <v>33</v>
      </c>
      <c r="F102">
        <v>109144</v>
      </c>
      <c r="G102">
        <v>94529</v>
      </c>
      <c r="H102">
        <v>3229</v>
      </c>
      <c r="I102" t="str">
        <f t="shared" si="10"/>
        <v>4</v>
      </c>
      <c r="J102" t="str">
        <f t="shared" si="11"/>
        <v>Groen</v>
      </c>
      <c r="K102">
        <v>9213</v>
      </c>
      <c r="L102">
        <v>11867</v>
      </c>
      <c r="M102">
        <v>21080</v>
      </c>
      <c r="N102">
        <v>18738</v>
      </c>
      <c r="O102">
        <v>8</v>
      </c>
      <c r="P102" t="str">
        <f>("2")</f>
        <v>2</v>
      </c>
      <c r="Q102" t="str">
        <f>("MEEUSEN Femke")</f>
        <v>MEEUSEN Femke</v>
      </c>
      <c r="R102">
        <v>2563</v>
      </c>
      <c r="S102">
        <v>12239</v>
      </c>
      <c r="T102">
        <v>0</v>
      </c>
      <c r="U102">
        <v>2</v>
      </c>
    </row>
    <row r="103" spans="1:24" x14ac:dyDescent="0.35">
      <c r="A103" t="s">
        <v>8</v>
      </c>
      <c r="B103" t="s">
        <v>9</v>
      </c>
      <c r="C103" t="str">
        <f t="shared" si="6"/>
        <v>11102</v>
      </c>
      <c r="D103" t="s">
        <v>10</v>
      </c>
      <c r="E103" t="str">
        <f t="shared" si="7"/>
        <v>33</v>
      </c>
      <c r="F103">
        <v>109144</v>
      </c>
      <c r="G103">
        <v>94529</v>
      </c>
      <c r="H103">
        <v>3229</v>
      </c>
      <c r="I103" t="str">
        <f t="shared" si="10"/>
        <v>4</v>
      </c>
      <c r="J103" t="str">
        <f t="shared" si="11"/>
        <v>Groen</v>
      </c>
      <c r="K103">
        <v>9213</v>
      </c>
      <c r="L103">
        <v>11867</v>
      </c>
      <c r="M103">
        <v>21080</v>
      </c>
      <c r="N103">
        <v>18738</v>
      </c>
      <c r="O103">
        <v>8</v>
      </c>
      <c r="P103" t="str">
        <f>("3")</f>
        <v>3</v>
      </c>
      <c r="Q103" t="str">
        <f>("STALLAERT Lieve")</f>
        <v>STALLAERT Lieve</v>
      </c>
      <c r="R103">
        <v>1319</v>
      </c>
      <c r="S103">
        <v>1319</v>
      </c>
      <c r="T103">
        <v>0</v>
      </c>
      <c r="U103">
        <v>5</v>
      </c>
    </row>
    <row r="104" spans="1:24" x14ac:dyDescent="0.35">
      <c r="A104" t="s">
        <v>8</v>
      </c>
      <c r="B104" t="s">
        <v>9</v>
      </c>
      <c r="C104" t="str">
        <f t="shared" si="6"/>
        <v>11102</v>
      </c>
      <c r="D104" t="s">
        <v>10</v>
      </c>
      <c r="E104" t="str">
        <f t="shared" si="7"/>
        <v>33</v>
      </c>
      <c r="F104">
        <v>109144</v>
      </c>
      <c r="G104">
        <v>94529</v>
      </c>
      <c r="H104">
        <v>3229</v>
      </c>
      <c r="I104" t="str">
        <f t="shared" si="10"/>
        <v>4</v>
      </c>
      <c r="J104" t="str">
        <f t="shared" si="11"/>
        <v>Groen</v>
      </c>
      <c r="K104">
        <v>9213</v>
      </c>
      <c r="L104">
        <v>11867</v>
      </c>
      <c r="M104">
        <v>21080</v>
      </c>
      <c r="N104">
        <v>18738</v>
      </c>
      <c r="O104">
        <v>8</v>
      </c>
      <c r="P104" t="str">
        <f>("4")</f>
        <v>4</v>
      </c>
      <c r="Q104" t="str">
        <f>("VERREET Simon")</f>
        <v>VERREET Simon</v>
      </c>
      <c r="R104">
        <v>757</v>
      </c>
      <c r="S104" t="s">
        <v>44</v>
      </c>
      <c r="T104">
        <v>0</v>
      </c>
      <c r="V104">
        <v>1</v>
      </c>
      <c r="W104">
        <v>18738</v>
      </c>
      <c r="X104">
        <v>6587</v>
      </c>
    </row>
    <row r="105" spans="1:24" x14ac:dyDescent="0.35">
      <c r="A105" t="s">
        <v>8</v>
      </c>
      <c r="B105" t="s">
        <v>9</v>
      </c>
      <c r="C105" t="str">
        <f t="shared" si="6"/>
        <v>11102</v>
      </c>
      <c r="D105" t="s">
        <v>10</v>
      </c>
      <c r="E105" t="str">
        <f t="shared" si="7"/>
        <v>33</v>
      </c>
      <c r="F105">
        <v>109144</v>
      </c>
      <c r="G105">
        <v>94529</v>
      </c>
      <c r="H105">
        <v>3229</v>
      </c>
      <c r="I105" t="str">
        <f t="shared" si="10"/>
        <v>4</v>
      </c>
      <c r="J105" t="str">
        <f t="shared" si="11"/>
        <v>Groen</v>
      </c>
      <c r="K105">
        <v>9213</v>
      </c>
      <c r="L105">
        <v>11867</v>
      </c>
      <c r="M105">
        <v>21080</v>
      </c>
      <c r="N105">
        <v>18738</v>
      </c>
      <c r="O105">
        <v>8</v>
      </c>
      <c r="P105" t="str">
        <f>("5")</f>
        <v>5</v>
      </c>
      <c r="Q105" t="str">
        <f>("POPPE Anne")</f>
        <v>POPPE Anne</v>
      </c>
      <c r="R105">
        <v>1007</v>
      </c>
      <c r="S105">
        <v>1007</v>
      </c>
      <c r="T105">
        <v>0</v>
      </c>
      <c r="U105">
        <v>7</v>
      </c>
    </row>
    <row r="106" spans="1:24" x14ac:dyDescent="0.35">
      <c r="A106" t="s">
        <v>8</v>
      </c>
      <c r="B106" t="s">
        <v>9</v>
      </c>
      <c r="C106" t="str">
        <f t="shared" si="6"/>
        <v>11102</v>
      </c>
      <c r="D106" t="s">
        <v>10</v>
      </c>
      <c r="E106" t="str">
        <f t="shared" si="7"/>
        <v>33</v>
      </c>
      <c r="F106">
        <v>109144</v>
      </c>
      <c r="G106">
        <v>94529</v>
      </c>
      <c r="H106">
        <v>3229</v>
      </c>
      <c r="I106" t="str">
        <f t="shared" si="10"/>
        <v>4</v>
      </c>
      <c r="J106" t="str">
        <f t="shared" si="11"/>
        <v>Groen</v>
      </c>
      <c r="K106">
        <v>9213</v>
      </c>
      <c r="L106">
        <v>11867</v>
      </c>
      <c r="M106">
        <v>21080</v>
      </c>
      <c r="N106">
        <v>18738</v>
      </c>
      <c r="O106">
        <v>8</v>
      </c>
      <c r="P106" t="str">
        <f>("6")</f>
        <v>6</v>
      </c>
      <c r="Q106" t="str">
        <f>("TOURÉ Anna")</f>
        <v>TOURÉ Anna</v>
      </c>
      <c r="R106">
        <v>1072</v>
      </c>
      <c r="S106">
        <v>1072</v>
      </c>
      <c r="T106">
        <v>0</v>
      </c>
      <c r="U106">
        <v>6</v>
      </c>
    </row>
    <row r="107" spans="1:24" x14ac:dyDescent="0.35">
      <c r="A107" t="s">
        <v>8</v>
      </c>
      <c r="B107" t="s">
        <v>9</v>
      </c>
      <c r="C107" t="str">
        <f t="shared" si="6"/>
        <v>11102</v>
      </c>
      <c r="D107" t="s">
        <v>10</v>
      </c>
      <c r="E107" t="str">
        <f t="shared" si="7"/>
        <v>33</v>
      </c>
      <c r="F107">
        <v>109144</v>
      </c>
      <c r="G107">
        <v>94529</v>
      </c>
      <c r="H107">
        <v>3229</v>
      </c>
      <c r="I107" t="str">
        <f t="shared" si="10"/>
        <v>4</v>
      </c>
      <c r="J107" t="str">
        <f t="shared" si="11"/>
        <v>Groen</v>
      </c>
      <c r="K107">
        <v>9213</v>
      </c>
      <c r="L107">
        <v>11867</v>
      </c>
      <c r="M107">
        <v>21080</v>
      </c>
      <c r="N107">
        <v>18738</v>
      </c>
      <c r="O107">
        <v>8</v>
      </c>
      <c r="P107" t="str">
        <f>("7")</f>
        <v>7</v>
      </c>
      <c r="Q107" t="str">
        <f>("VERSTRAETEN Gina")</f>
        <v>VERSTRAETEN Gina</v>
      </c>
      <c r="R107">
        <v>769</v>
      </c>
      <c r="S107" t="s">
        <v>44</v>
      </c>
      <c r="T107">
        <v>0</v>
      </c>
      <c r="V107">
        <v>2</v>
      </c>
      <c r="W107">
        <v>7356</v>
      </c>
      <c r="X107">
        <v>0</v>
      </c>
    </row>
    <row r="108" spans="1:24" x14ac:dyDescent="0.35">
      <c r="A108" t="s">
        <v>8</v>
      </c>
      <c r="B108" t="s">
        <v>9</v>
      </c>
      <c r="C108" t="str">
        <f t="shared" si="6"/>
        <v>11102</v>
      </c>
      <c r="D108" t="s">
        <v>10</v>
      </c>
      <c r="E108" t="str">
        <f t="shared" si="7"/>
        <v>33</v>
      </c>
      <c r="F108">
        <v>109144</v>
      </c>
      <c r="G108">
        <v>94529</v>
      </c>
      <c r="H108">
        <v>3229</v>
      </c>
      <c r="I108" t="str">
        <f t="shared" si="10"/>
        <v>4</v>
      </c>
      <c r="J108" t="str">
        <f t="shared" si="11"/>
        <v>Groen</v>
      </c>
      <c r="K108">
        <v>9213</v>
      </c>
      <c r="L108">
        <v>11867</v>
      </c>
      <c r="M108">
        <v>21080</v>
      </c>
      <c r="N108">
        <v>18738</v>
      </c>
      <c r="O108">
        <v>8</v>
      </c>
      <c r="P108" t="str">
        <f>("8")</f>
        <v>8</v>
      </c>
      <c r="Q108" t="str">
        <f>("DE VOS Staf")</f>
        <v>DE VOS Staf</v>
      </c>
      <c r="R108">
        <v>528</v>
      </c>
      <c r="S108" t="s">
        <v>44</v>
      </c>
      <c r="T108">
        <v>0</v>
      </c>
      <c r="V108">
        <v>11</v>
      </c>
      <c r="W108">
        <v>528</v>
      </c>
      <c r="X108">
        <v>0</v>
      </c>
    </row>
    <row r="109" spans="1:24" x14ac:dyDescent="0.35">
      <c r="A109" t="s">
        <v>8</v>
      </c>
      <c r="B109" t="s">
        <v>9</v>
      </c>
      <c r="C109" t="str">
        <f t="shared" si="6"/>
        <v>11102</v>
      </c>
      <c r="D109" t="s">
        <v>10</v>
      </c>
      <c r="E109" t="str">
        <f t="shared" si="7"/>
        <v>33</v>
      </c>
      <c r="F109">
        <v>109144</v>
      </c>
      <c r="G109">
        <v>94529</v>
      </c>
      <c r="H109">
        <v>3229</v>
      </c>
      <c r="I109" t="str">
        <f t="shared" si="10"/>
        <v>4</v>
      </c>
      <c r="J109" t="str">
        <f t="shared" si="11"/>
        <v>Groen</v>
      </c>
      <c r="K109">
        <v>9213</v>
      </c>
      <c r="L109">
        <v>11867</v>
      </c>
      <c r="M109">
        <v>21080</v>
      </c>
      <c r="N109">
        <v>18738</v>
      </c>
      <c r="O109">
        <v>8</v>
      </c>
      <c r="P109" t="str">
        <f>("9")</f>
        <v>9</v>
      </c>
      <c r="Q109" t="str">
        <f>("PARIS Amber")</f>
        <v>PARIS Amber</v>
      </c>
      <c r="R109">
        <v>964</v>
      </c>
      <c r="S109">
        <v>964</v>
      </c>
      <c r="T109">
        <v>0</v>
      </c>
      <c r="U109">
        <v>8</v>
      </c>
    </row>
    <row r="110" spans="1:24" x14ac:dyDescent="0.35">
      <c r="A110" t="s">
        <v>8</v>
      </c>
      <c r="B110" t="s">
        <v>9</v>
      </c>
      <c r="C110" t="str">
        <f t="shared" si="6"/>
        <v>11102</v>
      </c>
      <c r="D110" t="s">
        <v>10</v>
      </c>
      <c r="E110" t="str">
        <f t="shared" si="7"/>
        <v>33</v>
      </c>
      <c r="F110">
        <v>109144</v>
      </c>
      <c r="G110">
        <v>94529</v>
      </c>
      <c r="H110">
        <v>3229</v>
      </c>
      <c r="I110" t="str">
        <f t="shared" si="10"/>
        <v>4</v>
      </c>
      <c r="J110" t="str">
        <f t="shared" si="11"/>
        <v>Groen</v>
      </c>
      <c r="K110">
        <v>9213</v>
      </c>
      <c r="L110">
        <v>11867</v>
      </c>
      <c r="M110">
        <v>21080</v>
      </c>
      <c r="N110">
        <v>18738</v>
      </c>
      <c r="O110">
        <v>8</v>
      </c>
      <c r="P110" t="str">
        <f>("10")</f>
        <v>10</v>
      </c>
      <c r="Q110" t="str">
        <f>("GOHARI Firuz")</f>
        <v>GOHARI Firuz</v>
      </c>
      <c r="R110">
        <v>655</v>
      </c>
      <c r="S110" t="s">
        <v>44</v>
      </c>
      <c r="T110">
        <v>0</v>
      </c>
      <c r="V110">
        <v>7</v>
      </c>
      <c r="W110">
        <v>655</v>
      </c>
      <c r="X110">
        <v>0</v>
      </c>
    </row>
    <row r="111" spans="1:24" x14ac:dyDescent="0.35">
      <c r="A111" t="s">
        <v>8</v>
      </c>
      <c r="B111" t="s">
        <v>9</v>
      </c>
      <c r="C111" t="str">
        <f t="shared" si="6"/>
        <v>11102</v>
      </c>
      <c r="D111" t="s">
        <v>10</v>
      </c>
      <c r="E111" t="str">
        <f t="shared" si="7"/>
        <v>33</v>
      </c>
      <c r="F111">
        <v>109144</v>
      </c>
      <c r="G111">
        <v>94529</v>
      </c>
      <c r="H111">
        <v>3229</v>
      </c>
      <c r="I111" t="str">
        <f t="shared" si="10"/>
        <v>4</v>
      </c>
      <c r="J111" t="str">
        <f t="shared" si="11"/>
        <v>Groen</v>
      </c>
      <c r="K111">
        <v>9213</v>
      </c>
      <c r="L111">
        <v>11867</v>
      </c>
      <c r="M111">
        <v>21080</v>
      </c>
      <c r="N111">
        <v>18738</v>
      </c>
      <c r="O111">
        <v>8</v>
      </c>
      <c r="P111" t="str">
        <f>("11")</f>
        <v>11</v>
      </c>
      <c r="Q111" t="str">
        <f>("SAVELKOUL Philip")</f>
        <v>SAVELKOUL Philip</v>
      </c>
      <c r="R111">
        <v>514</v>
      </c>
      <c r="S111" t="s">
        <v>44</v>
      </c>
      <c r="T111">
        <v>0</v>
      </c>
      <c r="V111">
        <v>12</v>
      </c>
      <c r="W111">
        <v>514</v>
      </c>
      <c r="X111">
        <v>0</v>
      </c>
    </row>
    <row r="112" spans="1:24" x14ac:dyDescent="0.35">
      <c r="A112" t="s">
        <v>8</v>
      </c>
      <c r="B112" t="s">
        <v>9</v>
      </c>
      <c r="C112" t="str">
        <f t="shared" si="6"/>
        <v>11102</v>
      </c>
      <c r="D112" t="s">
        <v>10</v>
      </c>
      <c r="E112" t="str">
        <f t="shared" si="7"/>
        <v>33</v>
      </c>
      <c r="F112">
        <v>109144</v>
      </c>
      <c r="G112">
        <v>94529</v>
      </c>
      <c r="H112">
        <v>3229</v>
      </c>
      <c r="I112" t="str">
        <f t="shared" si="10"/>
        <v>4</v>
      </c>
      <c r="J112" t="str">
        <f t="shared" si="11"/>
        <v>Groen</v>
      </c>
      <c r="K112">
        <v>9213</v>
      </c>
      <c r="L112">
        <v>11867</v>
      </c>
      <c r="M112">
        <v>21080</v>
      </c>
      <c r="N112">
        <v>18738</v>
      </c>
      <c r="O112">
        <v>8</v>
      </c>
      <c r="P112" t="str">
        <f>("12")</f>
        <v>12</v>
      </c>
      <c r="Q112" t="str">
        <f>("VRELUST Marie")</f>
        <v>VRELUST Marie</v>
      </c>
      <c r="R112">
        <v>676</v>
      </c>
      <c r="S112" t="s">
        <v>44</v>
      </c>
      <c r="T112">
        <v>0</v>
      </c>
      <c r="V112">
        <v>5</v>
      </c>
      <c r="W112">
        <v>676</v>
      </c>
      <c r="X112">
        <v>0</v>
      </c>
    </row>
    <row r="113" spans="1:24" x14ac:dyDescent="0.35">
      <c r="A113" t="s">
        <v>8</v>
      </c>
      <c r="B113" t="s">
        <v>9</v>
      </c>
      <c r="C113" t="str">
        <f t="shared" si="6"/>
        <v>11102</v>
      </c>
      <c r="D113" t="s">
        <v>10</v>
      </c>
      <c r="E113" t="str">
        <f t="shared" si="7"/>
        <v>33</v>
      </c>
      <c r="F113">
        <v>109144</v>
      </c>
      <c r="G113">
        <v>94529</v>
      </c>
      <c r="H113">
        <v>3229</v>
      </c>
      <c r="I113" t="str">
        <f t="shared" si="10"/>
        <v>4</v>
      </c>
      <c r="J113" t="str">
        <f t="shared" si="11"/>
        <v>Groen</v>
      </c>
      <c r="K113">
        <v>9213</v>
      </c>
      <c r="L113">
        <v>11867</v>
      </c>
      <c r="M113">
        <v>21080</v>
      </c>
      <c r="N113">
        <v>18738</v>
      </c>
      <c r="O113">
        <v>8</v>
      </c>
      <c r="P113" t="str">
        <f>("13")</f>
        <v>13</v>
      </c>
      <c r="Q113" t="str">
        <f>("FRANSSEN Kevin")</f>
        <v>FRANSSEN Kevin</v>
      </c>
      <c r="R113">
        <v>448</v>
      </c>
      <c r="S113" t="s">
        <v>44</v>
      </c>
      <c r="T113">
        <v>0</v>
      </c>
      <c r="V113">
        <v>19</v>
      </c>
      <c r="W113">
        <v>448</v>
      </c>
      <c r="X113">
        <v>0</v>
      </c>
    </row>
    <row r="114" spans="1:24" x14ac:dyDescent="0.35">
      <c r="A114" t="s">
        <v>8</v>
      </c>
      <c r="B114" t="s">
        <v>9</v>
      </c>
      <c r="C114" t="str">
        <f t="shared" si="6"/>
        <v>11102</v>
      </c>
      <c r="D114" t="s">
        <v>10</v>
      </c>
      <c r="E114" t="str">
        <f t="shared" si="7"/>
        <v>33</v>
      </c>
      <c r="F114">
        <v>109144</v>
      </c>
      <c r="G114">
        <v>94529</v>
      </c>
      <c r="H114">
        <v>3229</v>
      </c>
      <c r="I114" t="str">
        <f t="shared" si="10"/>
        <v>4</v>
      </c>
      <c r="J114" t="str">
        <f t="shared" si="11"/>
        <v>Groen</v>
      </c>
      <c r="K114">
        <v>9213</v>
      </c>
      <c r="L114">
        <v>11867</v>
      </c>
      <c r="M114">
        <v>21080</v>
      </c>
      <c r="N114">
        <v>18738</v>
      </c>
      <c r="O114">
        <v>8</v>
      </c>
      <c r="P114" t="str">
        <f>("14")</f>
        <v>14</v>
      </c>
      <c r="Q114" t="str">
        <f>("VAN CAMP Lotte")</f>
        <v>VAN CAMP Lotte</v>
      </c>
      <c r="R114">
        <v>724</v>
      </c>
      <c r="S114" t="s">
        <v>44</v>
      </c>
      <c r="T114">
        <v>0</v>
      </c>
      <c r="V114">
        <v>4</v>
      </c>
      <c r="W114">
        <v>724</v>
      </c>
      <c r="X114">
        <v>0</v>
      </c>
    </row>
    <row r="115" spans="1:24" x14ac:dyDescent="0.35">
      <c r="A115" t="s">
        <v>8</v>
      </c>
      <c r="B115" t="s">
        <v>9</v>
      </c>
      <c r="C115" t="str">
        <f t="shared" si="6"/>
        <v>11102</v>
      </c>
      <c r="D115" t="s">
        <v>10</v>
      </c>
      <c r="E115" t="str">
        <f t="shared" si="7"/>
        <v>33</v>
      </c>
      <c r="F115">
        <v>109144</v>
      </c>
      <c r="G115">
        <v>94529</v>
      </c>
      <c r="H115">
        <v>3229</v>
      </c>
      <c r="I115" t="str">
        <f t="shared" si="10"/>
        <v>4</v>
      </c>
      <c r="J115" t="str">
        <f t="shared" si="11"/>
        <v>Groen</v>
      </c>
      <c r="K115">
        <v>9213</v>
      </c>
      <c r="L115">
        <v>11867</v>
      </c>
      <c r="M115">
        <v>21080</v>
      </c>
      <c r="N115">
        <v>18738</v>
      </c>
      <c r="O115">
        <v>8</v>
      </c>
      <c r="P115" t="str">
        <f>("15")</f>
        <v>15</v>
      </c>
      <c r="Q115" t="str">
        <f>("STEURS Jasper")</f>
        <v>STEURS Jasper</v>
      </c>
      <c r="R115">
        <v>488</v>
      </c>
      <c r="S115" t="s">
        <v>44</v>
      </c>
      <c r="T115">
        <v>0</v>
      </c>
      <c r="V115">
        <v>13</v>
      </c>
      <c r="W115">
        <v>488</v>
      </c>
      <c r="X115">
        <v>0</v>
      </c>
    </row>
    <row r="116" spans="1:24" x14ac:dyDescent="0.35">
      <c r="A116" t="s">
        <v>8</v>
      </c>
      <c r="B116" t="s">
        <v>9</v>
      </c>
      <c r="C116" t="str">
        <f t="shared" si="6"/>
        <v>11102</v>
      </c>
      <c r="D116" t="s">
        <v>10</v>
      </c>
      <c r="E116" t="str">
        <f t="shared" si="7"/>
        <v>33</v>
      </c>
      <c r="F116">
        <v>109144</v>
      </c>
      <c r="G116">
        <v>94529</v>
      </c>
      <c r="H116">
        <v>3229</v>
      </c>
      <c r="I116" t="str">
        <f t="shared" si="10"/>
        <v>4</v>
      </c>
      <c r="J116" t="str">
        <f t="shared" si="11"/>
        <v>Groen</v>
      </c>
      <c r="K116">
        <v>9213</v>
      </c>
      <c r="L116">
        <v>11867</v>
      </c>
      <c r="M116">
        <v>21080</v>
      </c>
      <c r="N116">
        <v>18738</v>
      </c>
      <c r="O116">
        <v>8</v>
      </c>
      <c r="P116" t="str">
        <f>("16")</f>
        <v>16</v>
      </c>
      <c r="Q116" t="str">
        <f>("JORIS Elka")</f>
        <v>JORIS Elka</v>
      </c>
      <c r="R116">
        <v>575</v>
      </c>
      <c r="S116" t="s">
        <v>44</v>
      </c>
      <c r="T116">
        <v>0</v>
      </c>
      <c r="V116">
        <v>9</v>
      </c>
      <c r="W116">
        <v>575</v>
      </c>
      <c r="X116">
        <v>0</v>
      </c>
    </row>
    <row r="117" spans="1:24" x14ac:dyDescent="0.35">
      <c r="A117" t="s">
        <v>8</v>
      </c>
      <c r="B117" t="s">
        <v>9</v>
      </c>
      <c r="C117" t="str">
        <f t="shared" si="6"/>
        <v>11102</v>
      </c>
      <c r="D117" t="s">
        <v>10</v>
      </c>
      <c r="E117" t="str">
        <f t="shared" si="7"/>
        <v>33</v>
      </c>
      <c r="F117">
        <v>109144</v>
      </c>
      <c r="G117">
        <v>94529</v>
      </c>
      <c r="H117">
        <v>3229</v>
      </c>
      <c r="I117" t="str">
        <f t="shared" si="10"/>
        <v>4</v>
      </c>
      <c r="J117" t="str">
        <f t="shared" si="11"/>
        <v>Groen</v>
      </c>
      <c r="K117">
        <v>9213</v>
      </c>
      <c r="L117">
        <v>11867</v>
      </c>
      <c r="M117">
        <v>21080</v>
      </c>
      <c r="N117">
        <v>18738</v>
      </c>
      <c r="O117">
        <v>8</v>
      </c>
      <c r="P117" t="str">
        <f>("17")</f>
        <v>17</v>
      </c>
      <c r="Q117" t="str">
        <f>("ABDELOIFI Jamal")</f>
        <v>ABDELOIFI Jamal</v>
      </c>
      <c r="R117">
        <v>1586</v>
      </c>
      <c r="S117">
        <v>1586</v>
      </c>
      <c r="T117">
        <v>0</v>
      </c>
      <c r="U117">
        <v>3</v>
      </c>
    </row>
    <row r="118" spans="1:24" x14ac:dyDescent="0.35">
      <c r="A118" t="s">
        <v>8</v>
      </c>
      <c r="B118" t="s">
        <v>9</v>
      </c>
      <c r="C118" t="str">
        <f t="shared" si="6"/>
        <v>11102</v>
      </c>
      <c r="D118" t="s">
        <v>10</v>
      </c>
      <c r="E118" t="str">
        <f t="shared" si="7"/>
        <v>33</v>
      </c>
      <c r="F118">
        <v>109144</v>
      </c>
      <c r="G118">
        <v>94529</v>
      </c>
      <c r="H118">
        <v>3229</v>
      </c>
      <c r="I118" t="str">
        <f t="shared" si="10"/>
        <v>4</v>
      </c>
      <c r="J118" t="str">
        <f t="shared" si="11"/>
        <v>Groen</v>
      </c>
      <c r="K118">
        <v>9213</v>
      </c>
      <c r="L118">
        <v>11867</v>
      </c>
      <c r="M118">
        <v>21080</v>
      </c>
      <c r="N118">
        <v>18738</v>
      </c>
      <c r="O118">
        <v>8</v>
      </c>
      <c r="P118" t="str">
        <f>("18")</f>
        <v>18</v>
      </c>
      <c r="Q118" t="str">
        <f>("LAUKENS Joke")</f>
        <v>LAUKENS Joke</v>
      </c>
      <c r="R118">
        <v>862</v>
      </c>
      <c r="S118" t="s">
        <v>44</v>
      </c>
      <c r="T118">
        <v>0</v>
      </c>
      <c r="V118">
        <v>3</v>
      </c>
      <c r="W118">
        <v>862</v>
      </c>
      <c r="X118">
        <v>0</v>
      </c>
    </row>
    <row r="119" spans="1:24" x14ac:dyDescent="0.35">
      <c r="A119" t="s">
        <v>8</v>
      </c>
      <c r="B119" t="s">
        <v>9</v>
      </c>
      <c r="C119" t="str">
        <f t="shared" si="6"/>
        <v>11102</v>
      </c>
      <c r="D119" t="s">
        <v>10</v>
      </c>
      <c r="E119" t="str">
        <f t="shared" si="7"/>
        <v>33</v>
      </c>
      <c r="F119">
        <v>109144</v>
      </c>
      <c r="G119">
        <v>94529</v>
      </c>
      <c r="H119">
        <v>3229</v>
      </c>
      <c r="I119" t="str">
        <f t="shared" si="10"/>
        <v>4</v>
      </c>
      <c r="J119" t="str">
        <f t="shared" si="11"/>
        <v>Groen</v>
      </c>
      <c r="K119">
        <v>9213</v>
      </c>
      <c r="L119">
        <v>11867</v>
      </c>
      <c r="M119">
        <v>21080</v>
      </c>
      <c r="N119">
        <v>18738</v>
      </c>
      <c r="O119">
        <v>8</v>
      </c>
      <c r="P119" t="str">
        <f>("19")</f>
        <v>19</v>
      </c>
      <c r="Q119" t="str">
        <f>("COLLIN Ignace")</f>
        <v>COLLIN Ignace</v>
      </c>
      <c r="R119">
        <v>330</v>
      </c>
      <c r="S119" t="s">
        <v>44</v>
      </c>
      <c r="T119">
        <v>0</v>
      </c>
      <c r="V119">
        <v>23</v>
      </c>
      <c r="W119">
        <v>330</v>
      </c>
      <c r="X119">
        <v>0</v>
      </c>
    </row>
    <row r="120" spans="1:24" x14ac:dyDescent="0.35">
      <c r="A120" t="s">
        <v>8</v>
      </c>
      <c r="B120" t="s">
        <v>9</v>
      </c>
      <c r="C120" t="str">
        <f t="shared" si="6"/>
        <v>11102</v>
      </c>
      <c r="D120" t="s">
        <v>10</v>
      </c>
      <c r="E120" t="str">
        <f t="shared" si="7"/>
        <v>33</v>
      </c>
      <c r="F120">
        <v>109144</v>
      </c>
      <c r="G120">
        <v>94529</v>
      </c>
      <c r="H120">
        <v>3229</v>
      </c>
      <c r="I120" t="str">
        <f t="shared" si="10"/>
        <v>4</v>
      </c>
      <c r="J120" t="str">
        <f t="shared" si="11"/>
        <v>Groen</v>
      </c>
      <c r="K120">
        <v>9213</v>
      </c>
      <c r="L120">
        <v>11867</v>
      </c>
      <c r="M120">
        <v>21080</v>
      </c>
      <c r="N120">
        <v>18738</v>
      </c>
      <c r="O120">
        <v>8</v>
      </c>
      <c r="P120" t="str">
        <f>("20")</f>
        <v>20</v>
      </c>
      <c r="Q120" t="str">
        <f>("LANGIUS Willemijn")</f>
        <v>LANGIUS Willemijn</v>
      </c>
      <c r="R120">
        <v>383</v>
      </c>
      <c r="S120" t="s">
        <v>44</v>
      </c>
      <c r="T120">
        <v>0</v>
      </c>
      <c r="V120">
        <v>21</v>
      </c>
      <c r="W120">
        <v>383</v>
      </c>
      <c r="X120">
        <v>0</v>
      </c>
    </row>
    <row r="121" spans="1:24" x14ac:dyDescent="0.35">
      <c r="A121" t="s">
        <v>8</v>
      </c>
      <c r="B121" t="s">
        <v>9</v>
      </c>
      <c r="C121" t="str">
        <f t="shared" si="6"/>
        <v>11102</v>
      </c>
      <c r="D121" t="s">
        <v>10</v>
      </c>
      <c r="E121" t="str">
        <f t="shared" si="7"/>
        <v>33</v>
      </c>
      <c r="F121">
        <v>109144</v>
      </c>
      <c r="G121">
        <v>94529</v>
      </c>
      <c r="H121">
        <v>3229</v>
      </c>
      <c r="I121" t="str">
        <f t="shared" si="10"/>
        <v>4</v>
      </c>
      <c r="J121" t="str">
        <f t="shared" si="11"/>
        <v>Groen</v>
      </c>
      <c r="K121">
        <v>9213</v>
      </c>
      <c r="L121">
        <v>11867</v>
      </c>
      <c r="M121">
        <v>21080</v>
      </c>
      <c r="N121">
        <v>18738</v>
      </c>
      <c r="O121">
        <v>8</v>
      </c>
      <c r="P121" t="str">
        <f>("21")</f>
        <v>21</v>
      </c>
      <c r="Q121" t="str">
        <f>("VAN BERCKELAER Christophe")</f>
        <v>VAN BERCKELAER Christophe</v>
      </c>
      <c r="R121">
        <v>473</v>
      </c>
      <c r="S121" t="s">
        <v>44</v>
      </c>
      <c r="T121">
        <v>0</v>
      </c>
      <c r="V121">
        <v>17</v>
      </c>
      <c r="W121">
        <v>473</v>
      </c>
      <c r="X121">
        <v>0</v>
      </c>
    </row>
    <row r="122" spans="1:24" x14ac:dyDescent="0.35">
      <c r="A122" t="s">
        <v>8</v>
      </c>
      <c r="B122" t="s">
        <v>9</v>
      </c>
      <c r="C122" t="str">
        <f t="shared" si="6"/>
        <v>11102</v>
      </c>
      <c r="D122" t="s">
        <v>10</v>
      </c>
      <c r="E122" t="str">
        <f t="shared" si="7"/>
        <v>33</v>
      </c>
      <c r="F122">
        <v>109144</v>
      </c>
      <c r="G122">
        <v>94529</v>
      </c>
      <c r="H122">
        <v>3229</v>
      </c>
      <c r="I122" t="str">
        <f t="shared" si="10"/>
        <v>4</v>
      </c>
      <c r="J122" t="str">
        <f t="shared" si="11"/>
        <v>Groen</v>
      </c>
      <c r="K122">
        <v>9213</v>
      </c>
      <c r="L122">
        <v>11867</v>
      </c>
      <c r="M122">
        <v>21080</v>
      </c>
      <c r="N122">
        <v>18738</v>
      </c>
      <c r="O122">
        <v>8</v>
      </c>
      <c r="P122" t="str">
        <f>("22")</f>
        <v>22</v>
      </c>
      <c r="Q122" t="str">
        <f>("TAMBA Jean-Jacques")</f>
        <v>TAMBA Jean-Jacques</v>
      </c>
      <c r="R122">
        <v>474</v>
      </c>
      <c r="S122" t="s">
        <v>44</v>
      </c>
      <c r="T122">
        <v>0</v>
      </c>
      <c r="V122">
        <v>16</v>
      </c>
      <c r="W122">
        <v>474</v>
      </c>
      <c r="X122">
        <v>0</v>
      </c>
    </row>
    <row r="123" spans="1:24" x14ac:dyDescent="0.35">
      <c r="A123" t="s">
        <v>8</v>
      </c>
      <c r="B123" t="s">
        <v>9</v>
      </c>
      <c r="C123" t="str">
        <f t="shared" si="6"/>
        <v>11102</v>
      </c>
      <c r="D123" t="s">
        <v>10</v>
      </c>
      <c r="E123" t="str">
        <f t="shared" si="7"/>
        <v>33</v>
      </c>
      <c r="F123">
        <v>109144</v>
      </c>
      <c r="G123">
        <v>94529</v>
      </c>
      <c r="H123">
        <v>3229</v>
      </c>
      <c r="I123" t="str">
        <f t="shared" si="10"/>
        <v>4</v>
      </c>
      <c r="J123" t="str">
        <f t="shared" si="11"/>
        <v>Groen</v>
      </c>
      <c r="K123">
        <v>9213</v>
      </c>
      <c r="L123">
        <v>11867</v>
      </c>
      <c r="M123">
        <v>21080</v>
      </c>
      <c r="N123">
        <v>18738</v>
      </c>
      <c r="O123">
        <v>8</v>
      </c>
      <c r="P123" t="str">
        <f>("23")</f>
        <v>23</v>
      </c>
      <c r="Q123" t="str">
        <f>("RIJNHOUT Leida")</f>
        <v>RIJNHOUT Leida</v>
      </c>
      <c r="R123">
        <v>484</v>
      </c>
      <c r="S123" t="s">
        <v>44</v>
      </c>
      <c r="T123">
        <v>0</v>
      </c>
      <c r="V123">
        <v>14</v>
      </c>
      <c r="W123">
        <v>484</v>
      </c>
      <c r="X123">
        <v>0</v>
      </c>
    </row>
    <row r="124" spans="1:24" x14ac:dyDescent="0.35">
      <c r="A124" t="s">
        <v>8</v>
      </c>
      <c r="B124" t="s">
        <v>9</v>
      </c>
      <c r="C124" t="str">
        <f t="shared" si="6"/>
        <v>11102</v>
      </c>
      <c r="D124" t="s">
        <v>10</v>
      </c>
      <c r="E124" t="str">
        <f t="shared" si="7"/>
        <v>33</v>
      </c>
      <c r="F124">
        <v>109144</v>
      </c>
      <c r="G124">
        <v>94529</v>
      </c>
      <c r="H124">
        <v>3229</v>
      </c>
      <c r="I124" t="str">
        <f t="shared" si="10"/>
        <v>4</v>
      </c>
      <c r="J124" t="str">
        <f t="shared" si="11"/>
        <v>Groen</v>
      </c>
      <c r="K124">
        <v>9213</v>
      </c>
      <c r="L124">
        <v>11867</v>
      </c>
      <c r="M124">
        <v>21080</v>
      </c>
      <c r="N124">
        <v>18738</v>
      </c>
      <c r="O124">
        <v>8</v>
      </c>
      <c r="P124" t="str">
        <f>("24")</f>
        <v>24</v>
      </c>
      <c r="Q124" t="str">
        <f>("WOUTERS Magda")</f>
        <v>WOUTERS Magda</v>
      </c>
      <c r="R124">
        <v>593</v>
      </c>
      <c r="S124" t="s">
        <v>44</v>
      </c>
      <c r="T124">
        <v>0</v>
      </c>
      <c r="V124">
        <v>8</v>
      </c>
      <c r="W124">
        <v>593</v>
      </c>
      <c r="X124">
        <v>0</v>
      </c>
    </row>
    <row r="125" spans="1:24" x14ac:dyDescent="0.35">
      <c r="A125" t="s">
        <v>8</v>
      </c>
      <c r="B125" t="s">
        <v>9</v>
      </c>
      <c r="C125" t="str">
        <f t="shared" si="6"/>
        <v>11102</v>
      </c>
      <c r="D125" t="s">
        <v>10</v>
      </c>
      <c r="E125" t="str">
        <f t="shared" si="7"/>
        <v>33</v>
      </c>
      <c r="F125">
        <v>109144</v>
      </c>
      <c r="G125">
        <v>94529</v>
      </c>
      <c r="H125">
        <v>3229</v>
      </c>
      <c r="I125" t="str">
        <f t="shared" si="10"/>
        <v>4</v>
      </c>
      <c r="J125" t="str">
        <f t="shared" si="11"/>
        <v>Groen</v>
      </c>
      <c r="K125">
        <v>9213</v>
      </c>
      <c r="L125">
        <v>11867</v>
      </c>
      <c r="M125">
        <v>21080</v>
      </c>
      <c r="N125">
        <v>18738</v>
      </c>
      <c r="O125">
        <v>8</v>
      </c>
      <c r="P125" t="str">
        <f>("25")</f>
        <v>25</v>
      </c>
      <c r="Q125" t="str">
        <f>("VAN DER SCHOOT Pieter")</f>
        <v>VAN DER SCHOOT Pieter</v>
      </c>
      <c r="R125">
        <v>328</v>
      </c>
      <c r="S125" t="s">
        <v>44</v>
      </c>
      <c r="T125">
        <v>0</v>
      </c>
      <c r="V125">
        <v>24</v>
      </c>
      <c r="W125">
        <v>328</v>
      </c>
      <c r="X125">
        <v>0</v>
      </c>
    </row>
    <row r="126" spans="1:24" x14ac:dyDescent="0.35">
      <c r="A126" t="s">
        <v>8</v>
      </c>
      <c r="B126" t="s">
        <v>9</v>
      </c>
      <c r="C126" t="str">
        <f t="shared" si="6"/>
        <v>11102</v>
      </c>
      <c r="D126" t="s">
        <v>10</v>
      </c>
      <c r="E126" t="str">
        <f t="shared" si="7"/>
        <v>33</v>
      </c>
      <c r="F126">
        <v>109144</v>
      </c>
      <c r="G126">
        <v>94529</v>
      </c>
      <c r="H126">
        <v>3229</v>
      </c>
      <c r="I126" t="str">
        <f t="shared" si="10"/>
        <v>4</v>
      </c>
      <c r="J126" t="str">
        <f t="shared" si="11"/>
        <v>Groen</v>
      </c>
      <c r="K126">
        <v>9213</v>
      </c>
      <c r="L126">
        <v>11867</v>
      </c>
      <c r="M126">
        <v>21080</v>
      </c>
      <c r="N126">
        <v>18738</v>
      </c>
      <c r="O126">
        <v>8</v>
      </c>
      <c r="P126" t="str">
        <f>("26")</f>
        <v>26</v>
      </c>
      <c r="Q126" t="str">
        <f>("WEYERS Jeannine")</f>
        <v>WEYERS Jeannine</v>
      </c>
      <c r="R126">
        <v>480</v>
      </c>
      <c r="S126" t="s">
        <v>44</v>
      </c>
      <c r="T126">
        <v>0</v>
      </c>
      <c r="V126">
        <v>15</v>
      </c>
      <c r="W126">
        <v>480</v>
      </c>
      <c r="X126">
        <v>0</v>
      </c>
    </row>
    <row r="127" spans="1:24" x14ac:dyDescent="0.35">
      <c r="A127" t="s">
        <v>8</v>
      </c>
      <c r="B127" t="s">
        <v>9</v>
      </c>
      <c r="C127" t="str">
        <f t="shared" si="6"/>
        <v>11102</v>
      </c>
      <c r="D127" t="s">
        <v>10</v>
      </c>
      <c r="E127" t="str">
        <f t="shared" si="7"/>
        <v>33</v>
      </c>
      <c r="F127">
        <v>109144</v>
      </c>
      <c r="G127">
        <v>94529</v>
      </c>
      <c r="H127">
        <v>3229</v>
      </c>
      <c r="I127" t="str">
        <f t="shared" si="10"/>
        <v>4</v>
      </c>
      <c r="J127" t="str">
        <f t="shared" si="11"/>
        <v>Groen</v>
      </c>
      <c r="K127">
        <v>9213</v>
      </c>
      <c r="L127">
        <v>11867</v>
      </c>
      <c r="M127">
        <v>21080</v>
      </c>
      <c r="N127">
        <v>18738</v>
      </c>
      <c r="O127">
        <v>8</v>
      </c>
      <c r="P127" t="str">
        <f>("27")</f>
        <v>27</v>
      </c>
      <c r="Q127" t="str">
        <f>("MONSIEUR Frédéric")</f>
        <v>MONSIEUR Frédéric</v>
      </c>
      <c r="R127">
        <v>333</v>
      </c>
      <c r="S127" t="s">
        <v>44</v>
      </c>
      <c r="T127">
        <v>0</v>
      </c>
      <c r="V127">
        <v>22</v>
      </c>
      <c r="W127">
        <v>333</v>
      </c>
      <c r="X127">
        <v>0</v>
      </c>
    </row>
    <row r="128" spans="1:24" x14ac:dyDescent="0.35">
      <c r="A128" t="s">
        <v>8</v>
      </c>
      <c r="B128" t="s">
        <v>9</v>
      </c>
      <c r="C128" t="str">
        <f t="shared" si="6"/>
        <v>11102</v>
      </c>
      <c r="D128" t="s">
        <v>10</v>
      </c>
      <c r="E128" t="str">
        <f t="shared" si="7"/>
        <v>33</v>
      </c>
      <c r="F128">
        <v>109144</v>
      </c>
      <c r="G128">
        <v>94529</v>
      </c>
      <c r="H128">
        <v>3229</v>
      </c>
      <c r="I128" t="str">
        <f t="shared" si="10"/>
        <v>4</v>
      </c>
      <c r="J128" t="str">
        <f t="shared" si="11"/>
        <v>Groen</v>
      </c>
      <c r="K128">
        <v>9213</v>
      </c>
      <c r="L128">
        <v>11867</v>
      </c>
      <c r="M128">
        <v>21080</v>
      </c>
      <c r="N128">
        <v>18738</v>
      </c>
      <c r="O128">
        <v>8</v>
      </c>
      <c r="P128" t="str">
        <f>("28")</f>
        <v>28</v>
      </c>
      <c r="Q128" t="str">
        <f>("PARMENTIER Emma")</f>
        <v>PARMENTIER Emma</v>
      </c>
      <c r="R128">
        <v>571</v>
      </c>
      <c r="S128" t="s">
        <v>44</v>
      </c>
      <c r="T128">
        <v>0</v>
      </c>
      <c r="V128">
        <v>10</v>
      </c>
      <c r="W128">
        <v>571</v>
      </c>
      <c r="X128">
        <v>0</v>
      </c>
    </row>
    <row r="129" spans="1:24" x14ac:dyDescent="0.35">
      <c r="A129" t="s">
        <v>8</v>
      </c>
      <c r="B129" t="s">
        <v>9</v>
      </c>
      <c r="C129" t="str">
        <f t="shared" si="6"/>
        <v>11102</v>
      </c>
      <c r="D129" t="s">
        <v>10</v>
      </c>
      <c r="E129" t="str">
        <f t="shared" si="7"/>
        <v>33</v>
      </c>
      <c r="F129">
        <v>109144</v>
      </c>
      <c r="G129">
        <v>94529</v>
      </c>
      <c r="H129">
        <v>3229</v>
      </c>
      <c r="I129" t="str">
        <f t="shared" si="10"/>
        <v>4</v>
      </c>
      <c r="J129" t="str">
        <f t="shared" si="11"/>
        <v>Groen</v>
      </c>
      <c r="K129">
        <v>9213</v>
      </c>
      <c r="L129">
        <v>11867</v>
      </c>
      <c r="M129">
        <v>21080</v>
      </c>
      <c r="N129">
        <v>18738</v>
      </c>
      <c r="O129">
        <v>8</v>
      </c>
      <c r="P129" t="str">
        <f>("29")</f>
        <v>29</v>
      </c>
      <c r="Q129" t="str">
        <f>("GEERTS Seppe")</f>
        <v>GEERTS Seppe</v>
      </c>
      <c r="R129">
        <v>391</v>
      </c>
      <c r="S129" t="s">
        <v>44</v>
      </c>
      <c r="T129">
        <v>0</v>
      </c>
      <c r="V129">
        <v>20</v>
      </c>
      <c r="W129">
        <v>391</v>
      </c>
      <c r="X129">
        <v>0</v>
      </c>
    </row>
    <row r="130" spans="1:24" x14ac:dyDescent="0.35">
      <c r="A130" t="s">
        <v>8</v>
      </c>
      <c r="B130" t="s">
        <v>9</v>
      </c>
      <c r="C130" t="str">
        <f t="shared" ref="C130:C193" si="12">("11102")</f>
        <v>11102</v>
      </c>
      <c r="D130" t="s">
        <v>10</v>
      </c>
      <c r="E130" t="str">
        <f t="shared" ref="E130:E193" si="13">("33")</f>
        <v>33</v>
      </c>
      <c r="F130">
        <v>109144</v>
      </c>
      <c r="G130">
        <v>94529</v>
      </c>
      <c r="H130">
        <v>3229</v>
      </c>
      <c r="I130" t="str">
        <f t="shared" si="10"/>
        <v>4</v>
      </c>
      <c r="J130" t="str">
        <f t="shared" si="11"/>
        <v>Groen</v>
      </c>
      <c r="K130">
        <v>9213</v>
      </c>
      <c r="L130">
        <v>11867</v>
      </c>
      <c r="M130">
        <v>21080</v>
      </c>
      <c r="N130">
        <v>18738</v>
      </c>
      <c r="O130">
        <v>8</v>
      </c>
      <c r="P130" t="str">
        <f>("30")</f>
        <v>30</v>
      </c>
      <c r="Q130" t="str">
        <f>("VAN PARYS Aaron")</f>
        <v>VAN PARYS Aaron</v>
      </c>
      <c r="R130">
        <v>318</v>
      </c>
      <c r="S130" t="s">
        <v>44</v>
      </c>
      <c r="T130">
        <v>0</v>
      </c>
      <c r="V130">
        <v>25</v>
      </c>
      <c r="W130">
        <v>318</v>
      </c>
      <c r="X130">
        <v>0</v>
      </c>
    </row>
    <row r="131" spans="1:24" x14ac:dyDescent="0.35">
      <c r="A131" t="s">
        <v>8</v>
      </c>
      <c r="B131" t="s">
        <v>9</v>
      </c>
      <c r="C131" t="str">
        <f t="shared" si="12"/>
        <v>11102</v>
      </c>
      <c r="D131" t="s">
        <v>10</v>
      </c>
      <c r="E131" t="str">
        <f t="shared" si="13"/>
        <v>33</v>
      </c>
      <c r="F131">
        <v>109144</v>
      </c>
      <c r="G131">
        <v>94529</v>
      </c>
      <c r="H131">
        <v>3229</v>
      </c>
      <c r="I131" t="str">
        <f t="shared" si="10"/>
        <v>4</v>
      </c>
      <c r="J131" t="str">
        <f t="shared" si="11"/>
        <v>Groen</v>
      </c>
      <c r="K131">
        <v>9213</v>
      </c>
      <c r="L131">
        <v>11867</v>
      </c>
      <c r="M131">
        <v>21080</v>
      </c>
      <c r="N131">
        <v>18738</v>
      </c>
      <c r="O131">
        <v>8</v>
      </c>
      <c r="P131" t="str">
        <f>("31")</f>
        <v>31</v>
      </c>
      <c r="Q131" t="str">
        <f>("DE WILDE Sarah")</f>
        <v>DE WILDE Sarah</v>
      </c>
      <c r="R131">
        <v>675</v>
      </c>
      <c r="S131" t="s">
        <v>44</v>
      </c>
      <c r="T131">
        <v>0</v>
      </c>
      <c r="V131">
        <v>6</v>
      </c>
      <c r="W131">
        <v>675</v>
      </c>
      <c r="X131">
        <v>0</v>
      </c>
    </row>
    <row r="132" spans="1:24" x14ac:dyDescent="0.35">
      <c r="A132" t="s">
        <v>8</v>
      </c>
      <c r="B132" t="s">
        <v>9</v>
      </c>
      <c r="C132" t="str">
        <f t="shared" si="12"/>
        <v>11102</v>
      </c>
      <c r="D132" t="s">
        <v>10</v>
      </c>
      <c r="E132" t="str">
        <f t="shared" si="13"/>
        <v>33</v>
      </c>
      <c r="F132">
        <v>109144</v>
      </c>
      <c r="G132">
        <v>94529</v>
      </c>
      <c r="H132">
        <v>3229</v>
      </c>
      <c r="I132" t="str">
        <f t="shared" si="10"/>
        <v>4</v>
      </c>
      <c r="J132" t="str">
        <f t="shared" si="11"/>
        <v>Groen</v>
      </c>
      <c r="K132">
        <v>9213</v>
      </c>
      <c r="L132">
        <v>11867</v>
      </c>
      <c r="M132">
        <v>21080</v>
      </c>
      <c r="N132">
        <v>18738</v>
      </c>
      <c r="O132">
        <v>8</v>
      </c>
      <c r="P132" t="str">
        <f>("32")</f>
        <v>32</v>
      </c>
      <c r="Q132" t="str">
        <f>("GIEBENS Joris")</f>
        <v>GIEBENS Joris</v>
      </c>
      <c r="R132">
        <v>464</v>
      </c>
      <c r="S132" t="s">
        <v>44</v>
      </c>
      <c r="T132">
        <v>0</v>
      </c>
      <c r="V132">
        <v>18</v>
      </c>
      <c r="W132">
        <v>464</v>
      </c>
      <c r="X132">
        <v>0</v>
      </c>
    </row>
    <row r="133" spans="1:24" x14ac:dyDescent="0.35">
      <c r="A133" t="s">
        <v>8</v>
      </c>
      <c r="B133" t="s">
        <v>9</v>
      </c>
      <c r="C133" t="str">
        <f t="shared" si="12"/>
        <v>11102</v>
      </c>
      <c r="D133" t="s">
        <v>10</v>
      </c>
      <c r="E133" t="str">
        <f t="shared" si="13"/>
        <v>33</v>
      </c>
      <c r="F133">
        <v>109144</v>
      </c>
      <c r="G133">
        <v>94529</v>
      </c>
      <c r="H133">
        <v>3229</v>
      </c>
      <c r="I133" t="str">
        <f t="shared" si="10"/>
        <v>4</v>
      </c>
      <c r="J133" t="str">
        <f t="shared" si="11"/>
        <v>Groen</v>
      </c>
      <c r="K133">
        <v>9213</v>
      </c>
      <c r="L133">
        <v>11867</v>
      </c>
      <c r="M133">
        <v>21080</v>
      </c>
      <c r="N133">
        <v>18738</v>
      </c>
      <c r="O133">
        <v>8</v>
      </c>
      <c r="P133" t="str">
        <f>("33")</f>
        <v>33</v>
      </c>
      <c r="Q133" t="str">
        <f>("STAES Bart")</f>
        <v>STAES Bart</v>
      </c>
      <c r="R133">
        <v>1582</v>
      </c>
      <c r="S133">
        <v>1582</v>
      </c>
      <c r="T133">
        <v>0</v>
      </c>
      <c r="U133">
        <v>4</v>
      </c>
    </row>
    <row r="134" spans="1:24" x14ac:dyDescent="0.35">
      <c r="A134" t="s">
        <v>8</v>
      </c>
      <c r="B134" t="s">
        <v>9</v>
      </c>
      <c r="C134" t="str">
        <f t="shared" si="12"/>
        <v>11102</v>
      </c>
      <c r="D134" t="s">
        <v>10</v>
      </c>
      <c r="E134" t="str">
        <f t="shared" si="13"/>
        <v>33</v>
      </c>
      <c r="F134">
        <v>109144</v>
      </c>
      <c r="G134">
        <v>94529</v>
      </c>
      <c r="H134">
        <v>3229</v>
      </c>
      <c r="I134" t="str">
        <f t="shared" ref="I134:I149" si="14">("5")</f>
        <v>5</v>
      </c>
      <c r="J134" t="str">
        <f t="shared" ref="J134:J149" si="15">("VLAAMS BELANG")</f>
        <v>VLAAMS BELANG</v>
      </c>
      <c r="K134">
        <v>1897</v>
      </c>
      <c r="L134">
        <v>4397</v>
      </c>
      <c r="M134">
        <v>6294</v>
      </c>
      <c r="N134">
        <v>4196</v>
      </c>
      <c r="O134">
        <v>2</v>
      </c>
      <c r="P134" t="str">
        <f>("1")</f>
        <v>1</v>
      </c>
      <c r="Q134" t="str">
        <f>("HUYSMANS Isabelle")</f>
        <v>HUYSMANS Isabelle</v>
      </c>
      <c r="R134">
        <v>1339</v>
      </c>
      <c r="S134">
        <v>2604</v>
      </c>
      <c r="T134">
        <v>0</v>
      </c>
      <c r="U134">
        <v>1</v>
      </c>
    </row>
    <row r="135" spans="1:24" x14ac:dyDescent="0.35">
      <c r="A135" t="s">
        <v>8</v>
      </c>
      <c r="B135" t="s">
        <v>9</v>
      </c>
      <c r="C135" t="str">
        <f t="shared" si="12"/>
        <v>11102</v>
      </c>
      <c r="D135" t="s">
        <v>10</v>
      </c>
      <c r="E135" t="str">
        <f t="shared" si="13"/>
        <v>33</v>
      </c>
      <c r="F135">
        <v>109144</v>
      </c>
      <c r="G135">
        <v>94529</v>
      </c>
      <c r="H135">
        <v>3229</v>
      </c>
      <c r="I135" t="str">
        <f t="shared" si="14"/>
        <v>5</v>
      </c>
      <c r="J135" t="str">
        <f t="shared" si="15"/>
        <v>VLAAMS BELANG</v>
      </c>
      <c r="K135">
        <v>1897</v>
      </c>
      <c r="L135">
        <v>4397</v>
      </c>
      <c r="M135">
        <v>6294</v>
      </c>
      <c r="N135">
        <v>4196</v>
      </c>
      <c r="O135">
        <v>2</v>
      </c>
      <c r="P135" t="str">
        <f>("2")</f>
        <v>2</v>
      </c>
      <c r="Q135" t="str">
        <f>("CORNELISSEN Cedric")</f>
        <v>CORNELISSEN Cedric</v>
      </c>
      <c r="R135">
        <v>285</v>
      </c>
      <c r="S135" t="s">
        <v>44</v>
      </c>
      <c r="T135">
        <v>0</v>
      </c>
      <c r="V135">
        <v>1</v>
      </c>
      <c r="W135">
        <v>1550</v>
      </c>
      <c r="X135">
        <v>0</v>
      </c>
    </row>
    <row r="136" spans="1:24" x14ac:dyDescent="0.35">
      <c r="A136" t="s">
        <v>8</v>
      </c>
      <c r="B136" t="s">
        <v>9</v>
      </c>
      <c r="C136" t="str">
        <f t="shared" si="12"/>
        <v>11102</v>
      </c>
      <c r="D136" t="s">
        <v>10</v>
      </c>
      <c r="E136" t="str">
        <f t="shared" si="13"/>
        <v>33</v>
      </c>
      <c r="F136">
        <v>109144</v>
      </c>
      <c r="G136">
        <v>94529</v>
      </c>
      <c r="H136">
        <v>3229</v>
      </c>
      <c r="I136" t="str">
        <f t="shared" si="14"/>
        <v>5</v>
      </c>
      <c r="J136" t="str">
        <f t="shared" si="15"/>
        <v>VLAAMS BELANG</v>
      </c>
      <c r="K136">
        <v>1897</v>
      </c>
      <c r="L136">
        <v>4397</v>
      </c>
      <c r="M136">
        <v>6294</v>
      </c>
      <c r="N136">
        <v>4196</v>
      </c>
      <c r="O136">
        <v>2</v>
      </c>
      <c r="P136" t="str">
        <f>("3")</f>
        <v>3</v>
      </c>
      <c r="Q136" t="str">
        <f>("DEWINTER Veroniek")</f>
        <v>DEWINTER Veroniek</v>
      </c>
      <c r="R136">
        <v>1818</v>
      </c>
      <c r="S136">
        <v>1818</v>
      </c>
      <c r="T136">
        <v>0</v>
      </c>
      <c r="U136">
        <v>2</v>
      </c>
    </row>
    <row r="137" spans="1:24" x14ac:dyDescent="0.35">
      <c r="A137" t="s">
        <v>8</v>
      </c>
      <c r="B137" t="s">
        <v>9</v>
      </c>
      <c r="C137" t="str">
        <f t="shared" si="12"/>
        <v>11102</v>
      </c>
      <c r="D137" t="s">
        <v>10</v>
      </c>
      <c r="E137" t="str">
        <f t="shared" si="13"/>
        <v>33</v>
      </c>
      <c r="F137">
        <v>109144</v>
      </c>
      <c r="G137">
        <v>94529</v>
      </c>
      <c r="H137">
        <v>3229</v>
      </c>
      <c r="I137" t="str">
        <f t="shared" si="14"/>
        <v>5</v>
      </c>
      <c r="J137" t="str">
        <f t="shared" si="15"/>
        <v>VLAAMS BELANG</v>
      </c>
      <c r="K137">
        <v>1897</v>
      </c>
      <c r="L137">
        <v>4397</v>
      </c>
      <c r="M137">
        <v>6294</v>
      </c>
      <c r="N137">
        <v>4196</v>
      </c>
      <c r="O137">
        <v>2</v>
      </c>
      <c r="P137" t="str">
        <f>("4")</f>
        <v>4</v>
      </c>
      <c r="Q137" t="str">
        <f>("CARDON Michel")</f>
        <v>CARDON Michel</v>
      </c>
      <c r="R137">
        <v>157</v>
      </c>
      <c r="S137" t="s">
        <v>44</v>
      </c>
      <c r="T137">
        <v>0</v>
      </c>
      <c r="V137">
        <v>6</v>
      </c>
      <c r="W137">
        <v>157</v>
      </c>
      <c r="X137">
        <v>0</v>
      </c>
    </row>
    <row r="138" spans="1:24" x14ac:dyDescent="0.35">
      <c r="A138" t="s">
        <v>8</v>
      </c>
      <c r="B138" t="s">
        <v>9</v>
      </c>
      <c r="C138" t="str">
        <f t="shared" si="12"/>
        <v>11102</v>
      </c>
      <c r="D138" t="s">
        <v>10</v>
      </c>
      <c r="E138" t="str">
        <f t="shared" si="13"/>
        <v>33</v>
      </c>
      <c r="F138">
        <v>109144</v>
      </c>
      <c r="G138">
        <v>94529</v>
      </c>
      <c r="H138">
        <v>3229</v>
      </c>
      <c r="I138" t="str">
        <f t="shared" si="14"/>
        <v>5</v>
      </c>
      <c r="J138" t="str">
        <f t="shared" si="15"/>
        <v>VLAAMS BELANG</v>
      </c>
      <c r="K138">
        <v>1897</v>
      </c>
      <c r="L138">
        <v>4397</v>
      </c>
      <c r="M138">
        <v>6294</v>
      </c>
      <c r="N138">
        <v>4196</v>
      </c>
      <c r="O138">
        <v>2</v>
      </c>
      <c r="P138" t="str">
        <f>("5")</f>
        <v>5</v>
      </c>
      <c r="Q138" t="str">
        <f>("VAN CRAENENBROECK Lutgard")</f>
        <v>VAN CRAENENBROECK Lutgard</v>
      </c>
      <c r="R138">
        <v>203</v>
      </c>
      <c r="S138" t="s">
        <v>44</v>
      </c>
      <c r="T138">
        <v>0</v>
      </c>
      <c r="V138">
        <v>3</v>
      </c>
      <c r="W138">
        <v>203</v>
      </c>
      <c r="X138">
        <v>0</v>
      </c>
    </row>
    <row r="139" spans="1:24" x14ac:dyDescent="0.35">
      <c r="A139" t="s">
        <v>8</v>
      </c>
      <c r="B139" t="s">
        <v>9</v>
      </c>
      <c r="C139" t="str">
        <f t="shared" si="12"/>
        <v>11102</v>
      </c>
      <c r="D139" t="s">
        <v>10</v>
      </c>
      <c r="E139" t="str">
        <f t="shared" si="13"/>
        <v>33</v>
      </c>
      <c r="F139">
        <v>109144</v>
      </c>
      <c r="G139">
        <v>94529</v>
      </c>
      <c r="H139">
        <v>3229</v>
      </c>
      <c r="I139" t="str">
        <f t="shared" si="14"/>
        <v>5</v>
      </c>
      <c r="J139" t="str">
        <f t="shared" si="15"/>
        <v>VLAAMS BELANG</v>
      </c>
      <c r="K139">
        <v>1897</v>
      </c>
      <c r="L139">
        <v>4397</v>
      </c>
      <c r="M139">
        <v>6294</v>
      </c>
      <c r="N139">
        <v>4196</v>
      </c>
      <c r="O139">
        <v>2</v>
      </c>
      <c r="P139" t="str">
        <f>("6")</f>
        <v>6</v>
      </c>
      <c r="Q139" t="str">
        <f>("VAN LOOY Johan")</f>
        <v>VAN LOOY Johan</v>
      </c>
      <c r="R139">
        <v>186</v>
      </c>
      <c r="S139" t="s">
        <v>44</v>
      </c>
      <c r="T139">
        <v>0</v>
      </c>
      <c r="V139">
        <v>4</v>
      </c>
      <c r="W139">
        <v>186</v>
      </c>
      <c r="X139">
        <v>0</v>
      </c>
    </row>
    <row r="140" spans="1:24" x14ac:dyDescent="0.35">
      <c r="A140" t="s">
        <v>8</v>
      </c>
      <c r="B140" t="s">
        <v>9</v>
      </c>
      <c r="C140" t="str">
        <f t="shared" si="12"/>
        <v>11102</v>
      </c>
      <c r="D140" t="s">
        <v>10</v>
      </c>
      <c r="E140" t="str">
        <f t="shared" si="13"/>
        <v>33</v>
      </c>
      <c r="F140">
        <v>109144</v>
      </c>
      <c r="G140">
        <v>94529</v>
      </c>
      <c r="H140">
        <v>3229</v>
      </c>
      <c r="I140" t="str">
        <f t="shared" si="14"/>
        <v>5</v>
      </c>
      <c r="J140" t="str">
        <f t="shared" si="15"/>
        <v>VLAAMS BELANG</v>
      </c>
      <c r="K140">
        <v>1897</v>
      </c>
      <c r="L140">
        <v>4397</v>
      </c>
      <c r="M140">
        <v>6294</v>
      </c>
      <c r="N140">
        <v>4196</v>
      </c>
      <c r="O140">
        <v>2</v>
      </c>
      <c r="P140" t="str">
        <f>("7")</f>
        <v>7</v>
      </c>
      <c r="Q140" t="str">
        <f>("MARCHAL Chris")</f>
        <v>MARCHAL Chris</v>
      </c>
      <c r="R140">
        <v>153</v>
      </c>
      <c r="S140" t="s">
        <v>44</v>
      </c>
      <c r="T140">
        <v>0</v>
      </c>
      <c r="V140">
        <v>7</v>
      </c>
      <c r="W140">
        <v>153</v>
      </c>
      <c r="X140">
        <v>0</v>
      </c>
    </row>
    <row r="141" spans="1:24" x14ac:dyDescent="0.35">
      <c r="A141" t="s">
        <v>8</v>
      </c>
      <c r="B141" t="s">
        <v>9</v>
      </c>
      <c r="C141" t="str">
        <f t="shared" si="12"/>
        <v>11102</v>
      </c>
      <c r="D141" t="s">
        <v>10</v>
      </c>
      <c r="E141" t="str">
        <f t="shared" si="13"/>
        <v>33</v>
      </c>
      <c r="F141">
        <v>109144</v>
      </c>
      <c r="G141">
        <v>94529</v>
      </c>
      <c r="H141">
        <v>3229</v>
      </c>
      <c r="I141" t="str">
        <f t="shared" si="14"/>
        <v>5</v>
      </c>
      <c r="J141" t="str">
        <f t="shared" si="15"/>
        <v>VLAAMS BELANG</v>
      </c>
      <c r="K141">
        <v>1897</v>
      </c>
      <c r="L141">
        <v>4397</v>
      </c>
      <c r="M141">
        <v>6294</v>
      </c>
      <c r="N141">
        <v>4196</v>
      </c>
      <c r="O141">
        <v>2</v>
      </c>
      <c r="P141" t="str">
        <f>("8")</f>
        <v>8</v>
      </c>
      <c r="Q141" t="str">
        <f>("VERELST Eddy")</f>
        <v>VERELST Eddy</v>
      </c>
      <c r="R141">
        <v>151</v>
      </c>
      <c r="S141" t="s">
        <v>44</v>
      </c>
      <c r="T141">
        <v>0</v>
      </c>
      <c r="V141">
        <v>8</v>
      </c>
      <c r="W141">
        <v>151</v>
      </c>
      <c r="X141">
        <v>0</v>
      </c>
    </row>
    <row r="142" spans="1:24" x14ac:dyDescent="0.35">
      <c r="A142" t="s">
        <v>8</v>
      </c>
      <c r="B142" t="s">
        <v>9</v>
      </c>
      <c r="C142" t="str">
        <f t="shared" si="12"/>
        <v>11102</v>
      </c>
      <c r="D142" t="s">
        <v>10</v>
      </c>
      <c r="E142" t="str">
        <f t="shared" si="13"/>
        <v>33</v>
      </c>
      <c r="F142">
        <v>109144</v>
      </c>
      <c r="G142">
        <v>94529</v>
      </c>
      <c r="H142">
        <v>3229</v>
      </c>
      <c r="I142" t="str">
        <f t="shared" si="14"/>
        <v>5</v>
      </c>
      <c r="J142" t="str">
        <f t="shared" si="15"/>
        <v>VLAAMS BELANG</v>
      </c>
      <c r="K142">
        <v>1897</v>
      </c>
      <c r="L142">
        <v>4397</v>
      </c>
      <c r="M142">
        <v>6294</v>
      </c>
      <c r="N142">
        <v>4196</v>
      </c>
      <c r="O142">
        <v>2</v>
      </c>
      <c r="P142" t="str">
        <f>("9")</f>
        <v>9</v>
      </c>
      <c r="Q142" t="str">
        <f>("WUYTS Andrea")</f>
        <v>WUYTS Andrea</v>
      </c>
      <c r="R142">
        <v>145</v>
      </c>
      <c r="S142" t="s">
        <v>44</v>
      </c>
      <c r="T142">
        <v>0</v>
      </c>
      <c r="V142">
        <v>9</v>
      </c>
      <c r="W142">
        <v>145</v>
      </c>
      <c r="X142">
        <v>0</v>
      </c>
    </row>
    <row r="143" spans="1:24" x14ac:dyDescent="0.35">
      <c r="A143" t="s">
        <v>8</v>
      </c>
      <c r="B143" t="s">
        <v>9</v>
      </c>
      <c r="C143" t="str">
        <f t="shared" si="12"/>
        <v>11102</v>
      </c>
      <c r="D143" t="s">
        <v>10</v>
      </c>
      <c r="E143" t="str">
        <f t="shared" si="13"/>
        <v>33</v>
      </c>
      <c r="F143">
        <v>109144</v>
      </c>
      <c r="G143">
        <v>94529</v>
      </c>
      <c r="H143">
        <v>3229</v>
      </c>
      <c r="I143" t="str">
        <f t="shared" si="14"/>
        <v>5</v>
      </c>
      <c r="J143" t="str">
        <f t="shared" si="15"/>
        <v>VLAAMS BELANG</v>
      </c>
      <c r="K143">
        <v>1897</v>
      </c>
      <c r="L143">
        <v>4397</v>
      </c>
      <c r="M143">
        <v>6294</v>
      </c>
      <c r="N143">
        <v>4196</v>
      </c>
      <c r="O143">
        <v>2</v>
      </c>
      <c r="P143" t="str">
        <f>("10")</f>
        <v>10</v>
      </c>
      <c r="Q143" t="str">
        <f>("COLAES Pieter")</f>
        <v>COLAES Pieter</v>
      </c>
      <c r="R143">
        <v>112</v>
      </c>
      <c r="S143" t="s">
        <v>44</v>
      </c>
      <c r="T143">
        <v>0</v>
      </c>
      <c r="V143">
        <v>12</v>
      </c>
      <c r="W143">
        <v>112</v>
      </c>
      <c r="X143">
        <v>0</v>
      </c>
    </row>
    <row r="144" spans="1:24" x14ac:dyDescent="0.35">
      <c r="A144" t="s">
        <v>8</v>
      </c>
      <c r="B144" t="s">
        <v>9</v>
      </c>
      <c r="C144" t="str">
        <f t="shared" si="12"/>
        <v>11102</v>
      </c>
      <c r="D144" t="s">
        <v>10</v>
      </c>
      <c r="E144" t="str">
        <f t="shared" si="13"/>
        <v>33</v>
      </c>
      <c r="F144">
        <v>109144</v>
      </c>
      <c r="G144">
        <v>94529</v>
      </c>
      <c r="H144">
        <v>3229</v>
      </c>
      <c r="I144" t="str">
        <f t="shared" si="14"/>
        <v>5</v>
      </c>
      <c r="J144" t="str">
        <f t="shared" si="15"/>
        <v>VLAAMS BELANG</v>
      </c>
      <c r="K144">
        <v>1897</v>
      </c>
      <c r="L144">
        <v>4397</v>
      </c>
      <c r="M144">
        <v>6294</v>
      </c>
      <c r="N144">
        <v>4196</v>
      </c>
      <c r="O144">
        <v>2</v>
      </c>
      <c r="P144" t="str">
        <f>("11")</f>
        <v>11</v>
      </c>
      <c r="Q144" t="str">
        <f>("VAN ONCKELEN Lidwina")</f>
        <v>VAN ONCKELEN Lidwina</v>
      </c>
      <c r="R144">
        <v>119</v>
      </c>
      <c r="S144" t="s">
        <v>44</v>
      </c>
      <c r="T144">
        <v>0</v>
      </c>
      <c r="V144">
        <v>11</v>
      </c>
      <c r="W144">
        <v>119</v>
      </c>
      <c r="X144">
        <v>0</v>
      </c>
    </row>
    <row r="145" spans="1:24" x14ac:dyDescent="0.35">
      <c r="A145" t="s">
        <v>8</v>
      </c>
      <c r="B145" t="s">
        <v>9</v>
      </c>
      <c r="C145" t="str">
        <f t="shared" si="12"/>
        <v>11102</v>
      </c>
      <c r="D145" t="s">
        <v>10</v>
      </c>
      <c r="E145" t="str">
        <f t="shared" si="13"/>
        <v>33</v>
      </c>
      <c r="F145">
        <v>109144</v>
      </c>
      <c r="G145">
        <v>94529</v>
      </c>
      <c r="H145">
        <v>3229</v>
      </c>
      <c r="I145" t="str">
        <f t="shared" si="14"/>
        <v>5</v>
      </c>
      <c r="J145" t="str">
        <f t="shared" si="15"/>
        <v>VLAAMS BELANG</v>
      </c>
      <c r="K145">
        <v>1897</v>
      </c>
      <c r="L145">
        <v>4397</v>
      </c>
      <c r="M145">
        <v>6294</v>
      </c>
      <c r="N145">
        <v>4196</v>
      </c>
      <c r="O145">
        <v>2</v>
      </c>
      <c r="P145" t="str">
        <f>("12")</f>
        <v>12</v>
      </c>
      <c r="Q145" t="str">
        <f>("MOORS Gust")</f>
        <v>MOORS Gust</v>
      </c>
      <c r="R145">
        <v>105</v>
      </c>
      <c r="S145" t="s">
        <v>44</v>
      </c>
      <c r="T145">
        <v>0</v>
      </c>
      <c r="V145">
        <v>13</v>
      </c>
      <c r="W145">
        <v>105</v>
      </c>
      <c r="X145">
        <v>0</v>
      </c>
    </row>
    <row r="146" spans="1:24" x14ac:dyDescent="0.35">
      <c r="A146" t="s">
        <v>8</v>
      </c>
      <c r="B146" t="s">
        <v>9</v>
      </c>
      <c r="C146" t="str">
        <f t="shared" si="12"/>
        <v>11102</v>
      </c>
      <c r="D146" t="s">
        <v>10</v>
      </c>
      <c r="E146" t="str">
        <f t="shared" si="13"/>
        <v>33</v>
      </c>
      <c r="F146">
        <v>109144</v>
      </c>
      <c r="G146">
        <v>94529</v>
      </c>
      <c r="H146">
        <v>3229</v>
      </c>
      <c r="I146" t="str">
        <f t="shared" si="14"/>
        <v>5</v>
      </c>
      <c r="J146" t="str">
        <f t="shared" si="15"/>
        <v>VLAAMS BELANG</v>
      </c>
      <c r="K146">
        <v>1897</v>
      </c>
      <c r="L146">
        <v>4397</v>
      </c>
      <c r="M146">
        <v>6294</v>
      </c>
      <c r="N146">
        <v>4196</v>
      </c>
      <c r="O146">
        <v>2</v>
      </c>
      <c r="P146" t="str">
        <f>("13")</f>
        <v>13</v>
      </c>
      <c r="Q146" t="str">
        <f>("VAN DE SANDE Clara")</f>
        <v>VAN DE SANDE Clara</v>
      </c>
      <c r="R146">
        <v>123</v>
      </c>
      <c r="S146" t="s">
        <v>44</v>
      </c>
      <c r="T146">
        <v>0</v>
      </c>
      <c r="V146">
        <v>10</v>
      </c>
      <c r="W146">
        <v>123</v>
      </c>
      <c r="X146">
        <v>0</v>
      </c>
    </row>
    <row r="147" spans="1:24" x14ac:dyDescent="0.35">
      <c r="A147" t="s">
        <v>8</v>
      </c>
      <c r="B147" t="s">
        <v>9</v>
      </c>
      <c r="C147" t="str">
        <f t="shared" si="12"/>
        <v>11102</v>
      </c>
      <c r="D147" t="s">
        <v>10</v>
      </c>
      <c r="E147" t="str">
        <f t="shared" si="13"/>
        <v>33</v>
      </c>
      <c r="F147">
        <v>109144</v>
      </c>
      <c r="G147">
        <v>94529</v>
      </c>
      <c r="H147">
        <v>3229</v>
      </c>
      <c r="I147" t="str">
        <f t="shared" si="14"/>
        <v>5</v>
      </c>
      <c r="J147" t="str">
        <f t="shared" si="15"/>
        <v>VLAAMS BELANG</v>
      </c>
      <c r="K147">
        <v>1897</v>
      </c>
      <c r="L147">
        <v>4397</v>
      </c>
      <c r="M147">
        <v>6294</v>
      </c>
      <c r="N147">
        <v>4196</v>
      </c>
      <c r="O147">
        <v>2</v>
      </c>
      <c r="P147" t="str">
        <f>("14")</f>
        <v>14</v>
      </c>
      <c r="Q147" t="str">
        <f>("MADSEN Cyriel")</f>
        <v>MADSEN Cyriel</v>
      </c>
      <c r="R147">
        <v>89</v>
      </c>
      <c r="S147" t="s">
        <v>44</v>
      </c>
      <c r="T147">
        <v>0</v>
      </c>
      <c r="V147">
        <v>14</v>
      </c>
      <c r="W147">
        <v>89</v>
      </c>
      <c r="X147">
        <v>0</v>
      </c>
    </row>
    <row r="148" spans="1:24" x14ac:dyDescent="0.35">
      <c r="A148" t="s">
        <v>8</v>
      </c>
      <c r="B148" t="s">
        <v>9</v>
      </c>
      <c r="C148" t="str">
        <f t="shared" si="12"/>
        <v>11102</v>
      </c>
      <c r="D148" t="s">
        <v>10</v>
      </c>
      <c r="E148" t="str">
        <f t="shared" si="13"/>
        <v>33</v>
      </c>
      <c r="F148">
        <v>109144</v>
      </c>
      <c r="G148">
        <v>94529</v>
      </c>
      <c r="H148">
        <v>3229</v>
      </c>
      <c r="I148" t="str">
        <f t="shared" si="14"/>
        <v>5</v>
      </c>
      <c r="J148" t="str">
        <f t="shared" si="15"/>
        <v>VLAAMS BELANG</v>
      </c>
      <c r="K148">
        <v>1897</v>
      </c>
      <c r="L148">
        <v>4397</v>
      </c>
      <c r="M148">
        <v>6294</v>
      </c>
      <c r="N148">
        <v>4196</v>
      </c>
      <c r="O148">
        <v>2</v>
      </c>
      <c r="P148" t="str">
        <f>("15")</f>
        <v>15</v>
      </c>
      <c r="Q148" t="str">
        <f>("DE LOBEL Hilde")</f>
        <v>DE LOBEL Hilde</v>
      </c>
      <c r="R148">
        <v>159</v>
      </c>
      <c r="S148" t="s">
        <v>44</v>
      </c>
      <c r="T148">
        <v>0</v>
      </c>
      <c r="V148">
        <v>5</v>
      </c>
      <c r="W148">
        <v>159</v>
      </c>
      <c r="X148">
        <v>0</v>
      </c>
    </row>
    <row r="149" spans="1:24" x14ac:dyDescent="0.35">
      <c r="A149" t="s">
        <v>8</v>
      </c>
      <c r="B149" t="s">
        <v>9</v>
      </c>
      <c r="C149" t="str">
        <f t="shared" si="12"/>
        <v>11102</v>
      </c>
      <c r="D149" t="s">
        <v>10</v>
      </c>
      <c r="E149" t="str">
        <f t="shared" si="13"/>
        <v>33</v>
      </c>
      <c r="F149">
        <v>109144</v>
      </c>
      <c r="G149">
        <v>94529</v>
      </c>
      <c r="H149">
        <v>3229</v>
      </c>
      <c r="I149" t="str">
        <f t="shared" si="14"/>
        <v>5</v>
      </c>
      <c r="J149" t="str">
        <f t="shared" si="15"/>
        <v>VLAAMS BELANG</v>
      </c>
      <c r="K149">
        <v>1897</v>
      </c>
      <c r="L149">
        <v>4397</v>
      </c>
      <c r="M149">
        <v>6294</v>
      </c>
      <c r="N149">
        <v>4196</v>
      </c>
      <c r="O149">
        <v>2</v>
      </c>
      <c r="P149" t="str">
        <f>("16")</f>
        <v>16</v>
      </c>
      <c r="Q149" t="str">
        <f>("ANNEMANS Gerolf")</f>
        <v>ANNEMANS Gerolf</v>
      </c>
      <c r="R149">
        <v>913</v>
      </c>
      <c r="S149" t="s">
        <v>44</v>
      </c>
      <c r="T149">
        <v>0</v>
      </c>
      <c r="V149">
        <v>2</v>
      </c>
      <c r="W149">
        <v>913</v>
      </c>
      <c r="X149">
        <v>0</v>
      </c>
    </row>
    <row r="150" spans="1:24" x14ac:dyDescent="0.35">
      <c r="A150" t="s">
        <v>8</v>
      </c>
      <c r="B150" t="s">
        <v>9</v>
      </c>
      <c r="C150" t="str">
        <f t="shared" si="12"/>
        <v>11102</v>
      </c>
      <c r="D150" t="s">
        <v>10</v>
      </c>
      <c r="E150" t="str">
        <f t="shared" si="13"/>
        <v>33</v>
      </c>
      <c r="F150">
        <v>109144</v>
      </c>
      <c r="G150">
        <v>94529</v>
      </c>
      <c r="H150">
        <v>3229</v>
      </c>
      <c r="I150" t="str">
        <f t="shared" ref="I150:I182" si="16">("6")</f>
        <v>6</v>
      </c>
      <c r="J150" t="str">
        <f t="shared" ref="J150:J182" si="17">("Open Vld")</f>
        <v>Open Vld</v>
      </c>
      <c r="K150">
        <v>2415</v>
      </c>
      <c r="L150">
        <v>5682</v>
      </c>
      <c r="M150">
        <v>8097</v>
      </c>
      <c r="N150">
        <v>6073</v>
      </c>
      <c r="O150">
        <v>3</v>
      </c>
      <c r="P150" t="str">
        <f>("1")</f>
        <v>1</v>
      </c>
      <c r="Q150" t="str">
        <f>("MARKOWITZ Samuel")</f>
        <v>MARKOWITZ Samuel</v>
      </c>
      <c r="R150">
        <v>2819</v>
      </c>
      <c r="S150">
        <v>5234</v>
      </c>
      <c r="T150">
        <v>0</v>
      </c>
      <c r="U150">
        <v>1</v>
      </c>
    </row>
    <row r="151" spans="1:24" x14ac:dyDescent="0.35">
      <c r="A151" t="s">
        <v>8</v>
      </c>
      <c r="B151" t="s">
        <v>9</v>
      </c>
      <c r="C151" t="str">
        <f t="shared" si="12"/>
        <v>11102</v>
      </c>
      <c r="D151" t="s">
        <v>10</v>
      </c>
      <c r="E151" t="str">
        <f t="shared" si="13"/>
        <v>33</v>
      </c>
      <c r="F151">
        <v>109144</v>
      </c>
      <c r="G151">
        <v>94529</v>
      </c>
      <c r="H151">
        <v>3229</v>
      </c>
      <c r="I151" t="str">
        <f t="shared" si="16"/>
        <v>6</v>
      </c>
      <c r="J151" t="str">
        <f t="shared" si="17"/>
        <v>Open Vld</v>
      </c>
      <c r="K151">
        <v>2415</v>
      </c>
      <c r="L151">
        <v>5682</v>
      </c>
      <c r="M151">
        <v>8097</v>
      </c>
      <c r="N151">
        <v>6073</v>
      </c>
      <c r="O151">
        <v>3</v>
      </c>
      <c r="P151" t="str">
        <f>("2")</f>
        <v>2</v>
      </c>
      <c r="Q151" t="str">
        <f>("DOGAN Pinar")</f>
        <v>DOGAN Pinar</v>
      </c>
      <c r="R151">
        <v>383</v>
      </c>
      <c r="S151" t="s">
        <v>44</v>
      </c>
      <c r="T151">
        <v>0</v>
      </c>
      <c r="V151">
        <v>1</v>
      </c>
      <c r="W151">
        <v>2798</v>
      </c>
      <c r="X151">
        <v>0</v>
      </c>
    </row>
    <row r="152" spans="1:24" x14ac:dyDescent="0.35">
      <c r="A152" t="s">
        <v>8</v>
      </c>
      <c r="B152" t="s">
        <v>9</v>
      </c>
      <c r="C152" t="str">
        <f t="shared" si="12"/>
        <v>11102</v>
      </c>
      <c r="D152" t="s">
        <v>10</v>
      </c>
      <c r="E152" t="str">
        <f t="shared" si="13"/>
        <v>33</v>
      </c>
      <c r="F152">
        <v>109144</v>
      </c>
      <c r="G152">
        <v>94529</v>
      </c>
      <c r="H152">
        <v>3229</v>
      </c>
      <c r="I152" t="str">
        <f t="shared" si="16"/>
        <v>6</v>
      </c>
      <c r="J152" t="str">
        <f t="shared" si="17"/>
        <v>Open Vld</v>
      </c>
      <c r="K152">
        <v>2415</v>
      </c>
      <c r="L152">
        <v>5682</v>
      </c>
      <c r="M152">
        <v>8097</v>
      </c>
      <c r="N152">
        <v>6073</v>
      </c>
      <c r="O152">
        <v>3</v>
      </c>
      <c r="P152" t="str">
        <f>("3")</f>
        <v>3</v>
      </c>
      <c r="Q152" t="str">
        <f>("WUYTS Christophe")</f>
        <v>WUYTS Christophe</v>
      </c>
      <c r="R152">
        <v>537</v>
      </c>
      <c r="S152">
        <v>537</v>
      </c>
      <c r="T152">
        <v>0</v>
      </c>
      <c r="U152">
        <v>3</v>
      </c>
    </row>
    <row r="153" spans="1:24" x14ac:dyDescent="0.35">
      <c r="A153" t="s">
        <v>8</v>
      </c>
      <c r="B153" t="s">
        <v>9</v>
      </c>
      <c r="C153" t="str">
        <f t="shared" si="12"/>
        <v>11102</v>
      </c>
      <c r="D153" t="s">
        <v>10</v>
      </c>
      <c r="E153" t="str">
        <f t="shared" si="13"/>
        <v>33</v>
      </c>
      <c r="F153">
        <v>109144</v>
      </c>
      <c r="G153">
        <v>94529</v>
      </c>
      <c r="H153">
        <v>3229</v>
      </c>
      <c r="I153" t="str">
        <f t="shared" si="16"/>
        <v>6</v>
      </c>
      <c r="J153" t="str">
        <f t="shared" si="17"/>
        <v>Open Vld</v>
      </c>
      <c r="K153">
        <v>2415</v>
      </c>
      <c r="L153">
        <v>5682</v>
      </c>
      <c r="M153">
        <v>8097</v>
      </c>
      <c r="N153">
        <v>6073</v>
      </c>
      <c r="O153">
        <v>3</v>
      </c>
      <c r="P153" t="str">
        <f>("4")</f>
        <v>4</v>
      </c>
      <c r="Q153" t="str">
        <f>("PIERARDS Anthony")</f>
        <v>PIERARDS Anthony</v>
      </c>
      <c r="R153">
        <v>216</v>
      </c>
      <c r="S153" t="s">
        <v>44</v>
      </c>
      <c r="T153">
        <v>0</v>
      </c>
      <c r="V153">
        <v>8</v>
      </c>
      <c r="W153">
        <v>216</v>
      </c>
      <c r="X153">
        <v>0</v>
      </c>
    </row>
    <row r="154" spans="1:24" x14ac:dyDescent="0.35">
      <c r="A154" t="s">
        <v>8</v>
      </c>
      <c r="B154" t="s">
        <v>9</v>
      </c>
      <c r="C154" t="str">
        <f t="shared" si="12"/>
        <v>11102</v>
      </c>
      <c r="D154" t="s">
        <v>10</v>
      </c>
      <c r="E154" t="str">
        <f t="shared" si="13"/>
        <v>33</v>
      </c>
      <c r="F154">
        <v>109144</v>
      </c>
      <c r="G154">
        <v>94529</v>
      </c>
      <c r="H154">
        <v>3229</v>
      </c>
      <c r="I154" t="str">
        <f t="shared" si="16"/>
        <v>6</v>
      </c>
      <c r="J154" t="str">
        <f t="shared" si="17"/>
        <v>Open Vld</v>
      </c>
      <c r="K154">
        <v>2415</v>
      </c>
      <c r="L154">
        <v>5682</v>
      </c>
      <c r="M154">
        <v>8097</v>
      </c>
      <c r="N154">
        <v>6073</v>
      </c>
      <c r="O154">
        <v>3</v>
      </c>
      <c r="P154" t="str">
        <f>("5")</f>
        <v>5</v>
      </c>
      <c r="Q154" t="str">
        <f>("VANSUMMEREN Stella")</f>
        <v>VANSUMMEREN Stella</v>
      </c>
      <c r="R154">
        <v>378</v>
      </c>
      <c r="S154" t="s">
        <v>44</v>
      </c>
      <c r="T154">
        <v>0</v>
      </c>
      <c r="V154">
        <v>2</v>
      </c>
      <c r="W154">
        <v>378</v>
      </c>
      <c r="X154">
        <v>0</v>
      </c>
    </row>
    <row r="155" spans="1:24" x14ac:dyDescent="0.35">
      <c r="A155" t="s">
        <v>8</v>
      </c>
      <c r="B155" t="s">
        <v>9</v>
      </c>
      <c r="C155" t="str">
        <f t="shared" si="12"/>
        <v>11102</v>
      </c>
      <c r="D155" t="s">
        <v>10</v>
      </c>
      <c r="E155" t="str">
        <f t="shared" si="13"/>
        <v>33</v>
      </c>
      <c r="F155">
        <v>109144</v>
      </c>
      <c r="G155">
        <v>94529</v>
      </c>
      <c r="H155">
        <v>3229</v>
      </c>
      <c r="I155" t="str">
        <f t="shared" si="16"/>
        <v>6</v>
      </c>
      <c r="J155" t="str">
        <f t="shared" si="17"/>
        <v>Open Vld</v>
      </c>
      <c r="K155">
        <v>2415</v>
      </c>
      <c r="L155">
        <v>5682</v>
      </c>
      <c r="M155">
        <v>8097</v>
      </c>
      <c r="N155">
        <v>6073</v>
      </c>
      <c r="O155">
        <v>3</v>
      </c>
      <c r="P155" t="str">
        <f>("6")</f>
        <v>6</v>
      </c>
      <c r="Q155" t="str">
        <f>("LEUNG Steve")</f>
        <v>LEUNG Steve</v>
      </c>
      <c r="R155">
        <v>289</v>
      </c>
      <c r="S155" t="s">
        <v>44</v>
      </c>
      <c r="T155">
        <v>0</v>
      </c>
      <c r="V155">
        <v>4</v>
      </c>
      <c r="W155">
        <v>289</v>
      </c>
      <c r="X155">
        <v>0</v>
      </c>
    </row>
    <row r="156" spans="1:24" x14ac:dyDescent="0.35">
      <c r="A156" t="s">
        <v>8</v>
      </c>
      <c r="B156" t="s">
        <v>9</v>
      </c>
      <c r="C156" t="str">
        <f t="shared" si="12"/>
        <v>11102</v>
      </c>
      <c r="D156" t="s">
        <v>10</v>
      </c>
      <c r="E156" t="str">
        <f t="shared" si="13"/>
        <v>33</v>
      </c>
      <c r="F156">
        <v>109144</v>
      </c>
      <c r="G156">
        <v>94529</v>
      </c>
      <c r="H156">
        <v>3229</v>
      </c>
      <c r="I156" t="str">
        <f t="shared" si="16"/>
        <v>6</v>
      </c>
      <c r="J156" t="str">
        <f t="shared" si="17"/>
        <v>Open Vld</v>
      </c>
      <c r="K156">
        <v>2415</v>
      </c>
      <c r="L156">
        <v>5682</v>
      </c>
      <c r="M156">
        <v>8097</v>
      </c>
      <c r="N156">
        <v>6073</v>
      </c>
      <c r="O156">
        <v>3</v>
      </c>
      <c r="P156" t="str">
        <f>("7")</f>
        <v>7</v>
      </c>
      <c r="Q156" t="str">
        <f>("MERTENS Alexander")</f>
        <v>MERTENS Alexander</v>
      </c>
      <c r="R156">
        <v>242</v>
      </c>
      <c r="S156" t="s">
        <v>44</v>
      </c>
      <c r="T156">
        <v>0</v>
      </c>
      <c r="V156">
        <v>7</v>
      </c>
      <c r="W156">
        <v>242</v>
      </c>
      <c r="X156">
        <v>0</v>
      </c>
    </row>
    <row r="157" spans="1:24" x14ac:dyDescent="0.35">
      <c r="A157" t="s">
        <v>8</v>
      </c>
      <c r="B157" t="s">
        <v>9</v>
      </c>
      <c r="C157" t="str">
        <f t="shared" si="12"/>
        <v>11102</v>
      </c>
      <c r="D157" t="s">
        <v>10</v>
      </c>
      <c r="E157" t="str">
        <f t="shared" si="13"/>
        <v>33</v>
      </c>
      <c r="F157">
        <v>109144</v>
      </c>
      <c r="G157">
        <v>94529</v>
      </c>
      <c r="H157">
        <v>3229</v>
      </c>
      <c r="I157" t="str">
        <f t="shared" si="16"/>
        <v>6</v>
      </c>
      <c r="J157" t="str">
        <f t="shared" si="17"/>
        <v>Open Vld</v>
      </c>
      <c r="K157">
        <v>2415</v>
      </c>
      <c r="L157">
        <v>5682</v>
      </c>
      <c r="M157">
        <v>8097</v>
      </c>
      <c r="N157">
        <v>6073</v>
      </c>
      <c r="O157">
        <v>3</v>
      </c>
      <c r="P157" t="str">
        <f>("8")</f>
        <v>8</v>
      </c>
      <c r="Q157" t="str">
        <f>("VERSTRAELEN Magalie")</f>
        <v>VERSTRAELEN Magalie</v>
      </c>
      <c r="R157">
        <v>278</v>
      </c>
      <c r="S157" t="s">
        <v>44</v>
      </c>
      <c r="T157">
        <v>0</v>
      </c>
      <c r="V157">
        <v>5</v>
      </c>
      <c r="W157">
        <v>278</v>
      </c>
      <c r="X157">
        <v>0</v>
      </c>
    </row>
    <row r="158" spans="1:24" x14ac:dyDescent="0.35">
      <c r="A158" t="s">
        <v>8</v>
      </c>
      <c r="B158" t="s">
        <v>9</v>
      </c>
      <c r="C158" t="str">
        <f t="shared" si="12"/>
        <v>11102</v>
      </c>
      <c r="D158" t="s">
        <v>10</v>
      </c>
      <c r="E158" t="str">
        <f t="shared" si="13"/>
        <v>33</v>
      </c>
      <c r="F158">
        <v>109144</v>
      </c>
      <c r="G158">
        <v>94529</v>
      </c>
      <c r="H158">
        <v>3229</v>
      </c>
      <c r="I158" t="str">
        <f t="shared" si="16"/>
        <v>6</v>
      </c>
      <c r="J158" t="str">
        <f t="shared" si="17"/>
        <v>Open Vld</v>
      </c>
      <c r="K158">
        <v>2415</v>
      </c>
      <c r="L158">
        <v>5682</v>
      </c>
      <c r="M158">
        <v>8097</v>
      </c>
      <c r="N158">
        <v>6073</v>
      </c>
      <c r="O158">
        <v>3</v>
      </c>
      <c r="P158" t="str">
        <f>("9")</f>
        <v>9</v>
      </c>
      <c r="Q158" t="str">
        <f>("BOUZIAN Carim")</f>
        <v>BOUZIAN Carim</v>
      </c>
      <c r="R158">
        <v>254</v>
      </c>
      <c r="S158" t="s">
        <v>44</v>
      </c>
      <c r="T158">
        <v>0</v>
      </c>
      <c r="V158">
        <v>6</v>
      </c>
      <c r="W158">
        <v>254</v>
      </c>
      <c r="X158">
        <v>0</v>
      </c>
    </row>
    <row r="159" spans="1:24" x14ac:dyDescent="0.35">
      <c r="A159" t="s">
        <v>8</v>
      </c>
      <c r="B159" t="s">
        <v>9</v>
      </c>
      <c r="C159" t="str">
        <f t="shared" si="12"/>
        <v>11102</v>
      </c>
      <c r="D159" t="s">
        <v>10</v>
      </c>
      <c r="E159" t="str">
        <f t="shared" si="13"/>
        <v>33</v>
      </c>
      <c r="F159">
        <v>109144</v>
      </c>
      <c r="G159">
        <v>94529</v>
      </c>
      <c r="H159">
        <v>3229</v>
      </c>
      <c r="I159" t="str">
        <f t="shared" si="16"/>
        <v>6</v>
      </c>
      <c r="J159" t="str">
        <f t="shared" si="17"/>
        <v>Open Vld</v>
      </c>
      <c r="K159">
        <v>2415</v>
      </c>
      <c r="L159">
        <v>5682</v>
      </c>
      <c r="M159">
        <v>8097</v>
      </c>
      <c r="N159">
        <v>6073</v>
      </c>
      <c r="O159">
        <v>3</v>
      </c>
      <c r="P159" t="str">
        <f>("10")</f>
        <v>10</v>
      </c>
      <c r="Q159" t="str">
        <f>("DOURCY-BELLE-ROSE Brigitta")</f>
        <v>DOURCY-BELLE-ROSE Brigitta</v>
      </c>
      <c r="R159">
        <v>151</v>
      </c>
      <c r="S159" t="s">
        <v>44</v>
      </c>
      <c r="T159">
        <v>0</v>
      </c>
      <c r="V159">
        <v>12</v>
      </c>
      <c r="W159">
        <v>151</v>
      </c>
      <c r="X159">
        <v>0</v>
      </c>
    </row>
    <row r="160" spans="1:24" x14ac:dyDescent="0.35">
      <c r="A160" t="s">
        <v>8</v>
      </c>
      <c r="B160" t="s">
        <v>9</v>
      </c>
      <c r="C160" t="str">
        <f t="shared" si="12"/>
        <v>11102</v>
      </c>
      <c r="D160" t="s">
        <v>10</v>
      </c>
      <c r="E160" t="str">
        <f t="shared" si="13"/>
        <v>33</v>
      </c>
      <c r="F160">
        <v>109144</v>
      </c>
      <c r="G160">
        <v>94529</v>
      </c>
      <c r="H160">
        <v>3229</v>
      </c>
      <c r="I160" t="str">
        <f t="shared" si="16"/>
        <v>6</v>
      </c>
      <c r="J160" t="str">
        <f t="shared" si="17"/>
        <v>Open Vld</v>
      </c>
      <c r="K160">
        <v>2415</v>
      </c>
      <c r="L160">
        <v>5682</v>
      </c>
      <c r="M160">
        <v>8097</v>
      </c>
      <c r="N160">
        <v>6073</v>
      </c>
      <c r="O160">
        <v>3</v>
      </c>
      <c r="P160" t="str">
        <f>("11")</f>
        <v>11</v>
      </c>
      <c r="Q160" t="str">
        <f>("NAGELS Jeroen-Vincent")</f>
        <v>NAGELS Jeroen-Vincent</v>
      </c>
      <c r="R160">
        <v>131</v>
      </c>
      <c r="S160" t="s">
        <v>44</v>
      </c>
      <c r="T160">
        <v>0</v>
      </c>
      <c r="V160">
        <v>18</v>
      </c>
      <c r="W160">
        <v>131</v>
      </c>
      <c r="X160">
        <v>0</v>
      </c>
    </row>
    <row r="161" spans="1:24" x14ac:dyDescent="0.35">
      <c r="A161" t="s">
        <v>8</v>
      </c>
      <c r="B161" t="s">
        <v>9</v>
      </c>
      <c r="C161" t="str">
        <f t="shared" si="12"/>
        <v>11102</v>
      </c>
      <c r="D161" t="s">
        <v>10</v>
      </c>
      <c r="E161" t="str">
        <f t="shared" si="13"/>
        <v>33</v>
      </c>
      <c r="F161">
        <v>109144</v>
      </c>
      <c r="G161">
        <v>94529</v>
      </c>
      <c r="H161">
        <v>3229</v>
      </c>
      <c r="I161" t="str">
        <f t="shared" si="16"/>
        <v>6</v>
      </c>
      <c r="J161" t="str">
        <f t="shared" si="17"/>
        <v>Open Vld</v>
      </c>
      <c r="K161">
        <v>2415</v>
      </c>
      <c r="L161">
        <v>5682</v>
      </c>
      <c r="M161">
        <v>8097</v>
      </c>
      <c r="N161">
        <v>6073</v>
      </c>
      <c r="O161">
        <v>3</v>
      </c>
      <c r="P161" t="str">
        <f>("12")</f>
        <v>12</v>
      </c>
      <c r="Q161" t="str">
        <f>("MICHIELS Ellen")</f>
        <v>MICHIELS Ellen</v>
      </c>
      <c r="R161">
        <v>176</v>
      </c>
      <c r="S161" t="s">
        <v>44</v>
      </c>
      <c r="T161">
        <v>0</v>
      </c>
      <c r="V161">
        <v>9</v>
      </c>
      <c r="W161">
        <v>176</v>
      </c>
      <c r="X161">
        <v>0</v>
      </c>
    </row>
    <row r="162" spans="1:24" x14ac:dyDescent="0.35">
      <c r="A162" t="s">
        <v>8</v>
      </c>
      <c r="B162" t="s">
        <v>9</v>
      </c>
      <c r="C162" t="str">
        <f t="shared" si="12"/>
        <v>11102</v>
      </c>
      <c r="D162" t="s">
        <v>10</v>
      </c>
      <c r="E162" t="str">
        <f t="shared" si="13"/>
        <v>33</v>
      </c>
      <c r="F162">
        <v>109144</v>
      </c>
      <c r="G162">
        <v>94529</v>
      </c>
      <c r="H162">
        <v>3229</v>
      </c>
      <c r="I162" t="str">
        <f t="shared" si="16"/>
        <v>6</v>
      </c>
      <c r="J162" t="str">
        <f t="shared" si="17"/>
        <v>Open Vld</v>
      </c>
      <c r="K162">
        <v>2415</v>
      </c>
      <c r="L162">
        <v>5682</v>
      </c>
      <c r="M162">
        <v>8097</v>
      </c>
      <c r="N162">
        <v>6073</v>
      </c>
      <c r="O162">
        <v>3</v>
      </c>
      <c r="P162" t="str">
        <f>("13")</f>
        <v>13</v>
      </c>
      <c r="Q162" t="str">
        <f>("AMPE Michael")</f>
        <v>AMPE Michael</v>
      </c>
      <c r="R162">
        <v>129</v>
      </c>
      <c r="S162" t="s">
        <v>44</v>
      </c>
      <c r="T162">
        <v>0</v>
      </c>
      <c r="V162">
        <v>20</v>
      </c>
      <c r="W162">
        <v>129</v>
      </c>
      <c r="X162">
        <v>0</v>
      </c>
    </row>
    <row r="163" spans="1:24" x14ac:dyDescent="0.35">
      <c r="A163" t="s">
        <v>8</v>
      </c>
      <c r="B163" t="s">
        <v>9</v>
      </c>
      <c r="C163" t="str">
        <f t="shared" si="12"/>
        <v>11102</v>
      </c>
      <c r="D163" t="s">
        <v>10</v>
      </c>
      <c r="E163" t="str">
        <f t="shared" si="13"/>
        <v>33</v>
      </c>
      <c r="F163">
        <v>109144</v>
      </c>
      <c r="G163">
        <v>94529</v>
      </c>
      <c r="H163">
        <v>3229</v>
      </c>
      <c r="I163" t="str">
        <f t="shared" si="16"/>
        <v>6</v>
      </c>
      <c r="J163" t="str">
        <f t="shared" si="17"/>
        <v>Open Vld</v>
      </c>
      <c r="K163">
        <v>2415</v>
      </c>
      <c r="L163">
        <v>5682</v>
      </c>
      <c r="M163">
        <v>8097</v>
      </c>
      <c r="N163">
        <v>6073</v>
      </c>
      <c r="O163">
        <v>3</v>
      </c>
      <c r="P163" t="str">
        <f>("14")</f>
        <v>14</v>
      </c>
      <c r="Q163" t="str">
        <f>("DETAILLE Sofie")</f>
        <v>DETAILLE Sofie</v>
      </c>
      <c r="R163">
        <v>147</v>
      </c>
      <c r="S163" t="s">
        <v>44</v>
      </c>
      <c r="T163">
        <v>0</v>
      </c>
      <c r="V163">
        <v>14</v>
      </c>
      <c r="W163">
        <v>147</v>
      </c>
      <c r="X163">
        <v>0</v>
      </c>
    </row>
    <row r="164" spans="1:24" x14ac:dyDescent="0.35">
      <c r="A164" t="s">
        <v>8</v>
      </c>
      <c r="B164" t="s">
        <v>9</v>
      </c>
      <c r="C164" t="str">
        <f t="shared" si="12"/>
        <v>11102</v>
      </c>
      <c r="D164" t="s">
        <v>10</v>
      </c>
      <c r="E164" t="str">
        <f t="shared" si="13"/>
        <v>33</v>
      </c>
      <c r="F164">
        <v>109144</v>
      </c>
      <c r="G164">
        <v>94529</v>
      </c>
      <c r="H164">
        <v>3229</v>
      </c>
      <c r="I164" t="str">
        <f t="shared" si="16"/>
        <v>6</v>
      </c>
      <c r="J164" t="str">
        <f t="shared" si="17"/>
        <v>Open Vld</v>
      </c>
      <c r="K164">
        <v>2415</v>
      </c>
      <c r="L164">
        <v>5682</v>
      </c>
      <c r="M164">
        <v>8097</v>
      </c>
      <c r="N164">
        <v>6073</v>
      </c>
      <c r="O164">
        <v>3</v>
      </c>
      <c r="P164" t="str">
        <f>("15")</f>
        <v>15</v>
      </c>
      <c r="Q164" t="str">
        <f>("VANDERLINDEN Nikolaas")</f>
        <v>VANDERLINDEN Nikolaas</v>
      </c>
      <c r="R164">
        <v>119</v>
      </c>
      <c r="S164" t="s">
        <v>44</v>
      </c>
      <c r="T164">
        <v>0</v>
      </c>
      <c r="V164">
        <v>22</v>
      </c>
      <c r="W164">
        <v>119</v>
      </c>
      <c r="X164">
        <v>0</v>
      </c>
    </row>
    <row r="165" spans="1:24" x14ac:dyDescent="0.35">
      <c r="A165" t="s">
        <v>8</v>
      </c>
      <c r="B165" t="s">
        <v>9</v>
      </c>
      <c r="C165" t="str">
        <f t="shared" si="12"/>
        <v>11102</v>
      </c>
      <c r="D165" t="s">
        <v>10</v>
      </c>
      <c r="E165" t="str">
        <f t="shared" si="13"/>
        <v>33</v>
      </c>
      <c r="F165">
        <v>109144</v>
      </c>
      <c r="G165">
        <v>94529</v>
      </c>
      <c r="H165">
        <v>3229</v>
      </c>
      <c r="I165" t="str">
        <f t="shared" si="16"/>
        <v>6</v>
      </c>
      <c r="J165" t="str">
        <f t="shared" si="17"/>
        <v>Open Vld</v>
      </c>
      <c r="K165">
        <v>2415</v>
      </c>
      <c r="L165">
        <v>5682</v>
      </c>
      <c r="M165">
        <v>8097</v>
      </c>
      <c r="N165">
        <v>6073</v>
      </c>
      <c r="O165">
        <v>3</v>
      </c>
      <c r="P165" t="str">
        <f>("16")</f>
        <v>16</v>
      </c>
      <c r="Q165" t="str">
        <f>("BINON Kim")</f>
        <v>BINON Kim</v>
      </c>
      <c r="R165">
        <v>115</v>
      </c>
      <c r="S165" t="s">
        <v>44</v>
      </c>
      <c r="T165">
        <v>0</v>
      </c>
      <c r="V165">
        <v>26</v>
      </c>
      <c r="W165">
        <v>115</v>
      </c>
      <c r="X165">
        <v>0</v>
      </c>
    </row>
    <row r="166" spans="1:24" x14ac:dyDescent="0.35">
      <c r="A166" t="s">
        <v>8</v>
      </c>
      <c r="B166" t="s">
        <v>9</v>
      </c>
      <c r="C166" t="str">
        <f t="shared" si="12"/>
        <v>11102</v>
      </c>
      <c r="D166" t="s">
        <v>10</v>
      </c>
      <c r="E166" t="str">
        <f t="shared" si="13"/>
        <v>33</v>
      </c>
      <c r="F166">
        <v>109144</v>
      </c>
      <c r="G166">
        <v>94529</v>
      </c>
      <c r="H166">
        <v>3229</v>
      </c>
      <c r="I166" t="str">
        <f t="shared" si="16"/>
        <v>6</v>
      </c>
      <c r="J166" t="str">
        <f t="shared" si="17"/>
        <v>Open Vld</v>
      </c>
      <c r="K166">
        <v>2415</v>
      </c>
      <c r="L166">
        <v>5682</v>
      </c>
      <c r="M166">
        <v>8097</v>
      </c>
      <c r="N166">
        <v>6073</v>
      </c>
      <c r="O166">
        <v>3</v>
      </c>
      <c r="P166" t="str">
        <f>("17")</f>
        <v>17</v>
      </c>
      <c r="Q166" t="str">
        <f>("MOSTMANS William")</f>
        <v>MOSTMANS William</v>
      </c>
      <c r="R166">
        <v>116</v>
      </c>
      <c r="S166" t="s">
        <v>44</v>
      </c>
      <c r="T166">
        <v>0</v>
      </c>
      <c r="V166">
        <v>25</v>
      </c>
      <c r="W166">
        <v>116</v>
      </c>
      <c r="X166">
        <v>0</v>
      </c>
    </row>
    <row r="167" spans="1:24" x14ac:dyDescent="0.35">
      <c r="A167" t="s">
        <v>8</v>
      </c>
      <c r="B167" t="s">
        <v>9</v>
      </c>
      <c r="C167" t="str">
        <f t="shared" si="12"/>
        <v>11102</v>
      </c>
      <c r="D167" t="s">
        <v>10</v>
      </c>
      <c r="E167" t="str">
        <f t="shared" si="13"/>
        <v>33</v>
      </c>
      <c r="F167">
        <v>109144</v>
      </c>
      <c r="G167">
        <v>94529</v>
      </c>
      <c r="H167">
        <v>3229</v>
      </c>
      <c r="I167" t="str">
        <f t="shared" si="16"/>
        <v>6</v>
      </c>
      <c r="J167" t="str">
        <f t="shared" si="17"/>
        <v>Open Vld</v>
      </c>
      <c r="K167">
        <v>2415</v>
      </c>
      <c r="L167">
        <v>5682</v>
      </c>
      <c r="M167">
        <v>8097</v>
      </c>
      <c r="N167">
        <v>6073</v>
      </c>
      <c r="O167">
        <v>3</v>
      </c>
      <c r="P167" t="str">
        <f>("18")</f>
        <v>18</v>
      </c>
      <c r="Q167" t="str">
        <f>("DE LELIE Steven")</f>
        <v>DE LELIE Steven</v>
      </c>
      <c r="R167">
        <v>175</v>
      </c>
      <c r="S167" t="s">
        <v>44</v>
      </c>
      <c r="T167">
        <v>0</v>
      </c>
      <c r="V167">
        <v>10</v>
      </c>
      <c r="W167">
        <v>175</v>
      </c>
      <c r="X167">
        <v>0</v>
      </c>
    </row>
    <row r="168" spans="1:24" x14ac:dyDescent="0.35">
      <c r="A168" t="s">
        <v>8</v>
      </c>
      <c r="B168" t="s">
        <v>9</v>
      </c>
      <c r="C168" t="str">
        <f t="shared" si="12"/>
        <v>11102</v>
      </c>
      <c r="D168" t="s">
        <v>10</v>
      </c>
      <c r="E168" t="str">
        <f t="shared" si="13"/>
        <v>33</v>
      </c>
      <c r="F168">
        <v>109144</v>
      </c>
      <c r="G168">
        <v>94529</v>
      </c>
      <c r="H168">
        <v>3229</v>
      </c>
      <c r="I168" t="str">
        <f t="shared" si="16"/>
        <v>6</v>
      </c>
      <c r="J168" t="str">
        <f t="shared" si="17"/>
        <v>Open Vld</v>
      </c>
      <c r="K168">
        <v>2415</v>
      </c>
      <c r="L168">
        <v>5682</v>
      </c>
      <c r="M168">
        <v>8097</v>
      </c>
      <c r="N168">
        <v>6073</v>
      </c>
      <c r="O168">
        <v>3</v>
      </c>
      <c r="P168" t="str">
        <f>("19")</f>
        <v>19</v>
      </c>
      <c r="Q168" t="str">
        <f>("KARAVOTAS Sotirios")</f>
        <v>KARAVOTAS Sotirios</v>
      </c>
      <c r="R168">
        <v>100</v>
      </c>
      <c r="S168" t="s">
        <v>44</v>
      </c>
      <c r="T168">
        <v>0</v>
      </c>
      <c r="V168">
        <v>28</v>
      </c>
      <c r="W168">
        <v>100</v>
      </c>
      <c r="X168">
        <v>0</v>
      </c>
    </row>
    <row r="169" spans="1:24" x14ac:dyDescent="0.35">
      <c r="A169" t="s">
        <v>8</v>
      </c>
      <c r="B169" t="s">
        <v>9</v>
      </c>
      <c r="C169" t="str">
        <f t="shared" si="12"/>
        <v>11102</v>
      </c>
      <c r="D169" t="s">
        <v>10</v>
      </c>
      <c r="E169" t="str">
        <f t="shared" si="13"/>
        <v>33</v>
      </c>
      <c r="F169">
        <v>109144</v>
      </c>
      <c r="G169">
        <v>94529</v>
      </c>
      <c r="H169">
        <v>3229</v>
      </c>
      <c r="I169" t="str">
        <f t="shared" si="16"/>
        <v>6</v>
      </c>
      <c r="J169" t="str">
        <f t="shared" si="17"/>
        <v>Open Vld</v>
      </c>
      <c r="K169">
        <v>2415</v>
      </c>
      <c r="L169">
        <v>5682</v>
      </c>
      <c r="M169">
        <v>8097</v>
      </c>
      <c r="N169">
        <v>6073</v>
      </c>
      <c r="O169">
        <v>3</v>
      </c>
      <c r="P169" t="str">
        <f>("20")</f>
        <v>20</v>
      </c>
      <c r="Q169" t="str">
        <f>("VANDEBROEK Dorien")</f>
        <v>VANDEBROEK Dorien</v>
      </c>
      <c r="R169">
        <v>163</v>
      </c>
      <c r="S169" t="s">
        <v>44</v>
      </c>
      <c r="T169">
        <v>0</v>
      </c>
      <c r="V169">
        <v>11</v>
      </c>
      <c r="W169">
        <v>163</v>
      </c>
      <c r="X169">
        <v>0</v>
      </c>
    </row>
    <row r="170" spans="1:24" x14ac:dyDescent="0.35">
      <c r="A170" t="s">
        <v>8</v>
      </c>
      <c r="B170" t="s">
        <v>9</v>
      </c>
      <c r="C170" t="str">
        <f t="shared" si="12"/>
        <v>11102</v>
      </c>
      <c r="D170" t="s">
        <v>10</v>
      </c>
      <c r="E170" t="str">
        <f t="shared" si="13"/>
        <v>33</v>
      </c>
      <c r="F170">
        <v>109144</v>
      </c>
      <c r="G170">
        <v>94529</v>
      </c>
      <c r="H170">
        <v>3229</v>
      </c>
      <c r="I170" t="str">
        <f t="shared" si="16"/>
        <v>6</v>
      </c>
      <c r="J170" t="str">
        <f t="shared" si="17"/>
        <v>Open Vld</v>
      </c>
      <c r="K170">
        <v>2415</v>
      </c>
      <c r="L170">
        <v>5682</v>
      </c>
      <c r="M170">
        <v>8097</v>
      </c>
      <c r="N170">
        <v>6073</v>
      </c>
      <c r="O170">
        <v>3</v>
      </c>
      <c r="P170" t="str">
        <f>("21")</f>
        <v>21</v>
      </c>
      <c r="Q170" t="str">
        <f>("LEMMENS Karel")</f>
        <v>LEMMENS Karel</v>
      </c>
      <c r="R170">
        <v>122</v>
      </c>
      <c r="S170" t="s">
        <v>44</v>
      </c>
      <c r="T170">
        <v>0</v>
      </c>
      <c r="V170">
        <v>21</v>
      </c>
      <c r="W170">
        <v>122</v>
      </c>
      <c r="X170">
        <v>0</v>
      </c>
    </row>
    <row r="171" spans="1:24" x14ac:dyDescent="0.35">
      <c r="A171" t="s">
        <v>8</v>
      </c>
      <c r="B171" t="s">
        <v>9</v>
      </c>
      <c r="C171" t="str">
        <f t="shared" si="12"/>
        <v>11102</v>
      </c>
      <c r="D171" t="s">
        <v>10</v>
      </c>
      <c r="E171" t="str">
        <f t="shared" si="13"/>
        <v>33</v>
      </c>
      <c r="F171">
        <v>109144</v>
      </c>
      <c r="G171">
        <v>94529</v>
      </c>
      <c r="H171">
        <v>3229</v>
      </c>
      <c r="I171" t="str">
        <f t="shared" si="16"/>
        <v>6</v>
      </c>
      <c r="J171" t="str">
        <f t="shared" si="17"/>
        <v>Open Vld</v>
      </c>
      <c r="K171">
        <v>2415</v>
      </c>
      <c r="L171">
        <v>5682</v>
      </c>
      <c r="M171">
        <v>8097</v>
      </c>
      <c r="N171">
        <v>6073</v>
      </c>
      <c r="O171">
        <v>3</v>
      </c>
      <c r="P171" t="str">
        <f>("22")</f>
        <v>22</v>
      </c>
      <c r="Q171" t="str">
        <f>("HOEKSTRA Stephanie")</f>
        <v>HOEKSTRA Stephanie</v>
      </c>
      <c r="R171">
        <v>130</v>
      </c>
      <c r="S171" t="s">
        <v>44</v>
      </c>
      <c r="T171">
        <v>0</v>
      </c>
      <c r="V171">
        <v>19</v>
      </c>
      <c r="W171">
        <v>130</v>
      </c>
      <c r="X171">
        <v>0</v>
      </c>
    </row>
    <row r="172" spans="1:24" x14ac:dyDescent="0.35">
      <c r="A172" t="s">
        <v>8</v>
      </c>
      <c r="B172" t="s">
        <v>9</v>
      </c>
      <c r="C172" t="str">
        <f t="shared" si="12"/>
        <v>11102</v>
      </c>
      <c r="D172" t="s">
        <v>10</v>
      </c>
      <c r="E172" t="str">
        <f t="shared" si="13"/>
        <v>33</v>
      </c>
      <c r="F172">
        <v>109144</v>
      </c>
      <c r="G172">
        <v>94529</v>
      </c>
      <c r="H172">
        <v>3229</v>
      </c>
      <c r="I172" t="str">
        <f t="shared" si="16"/>
        <v>6</v>
      </c>
      <c r="J172" t="str">
        <f t="shared" si="17"/>
        <v>Open Vld</v>
      </c>
      <c r="K172">
        <v>2415</v>
      </c>
      <c r="L172">
        <v>5682</v>
      </c>
      <c r="M172">
        <v>8097</v>
      </c>
      <c r="N172">
        <v>6073</v>
      </c>
      <c r="O172">
        <v>3</v>
      </c>
      <c r="P172" t="str">
        <f>("23")</f>
        <v>23</v>
      </c>
      <c r="Q172" t="str">
        <f>("WARSCHITZKY Michelle")</f>
        <v>WARSCHITZKY Michelle</v>
      </c>
      <c r="R172">
        <v>149</v>
      </c>
      <c r="S172" t="s">
        <v>44</v>
      </c>
      <c r="T172">
        <v>0</v>
      </c>
      <c r="V172">
        <v>13</v>
      </c>
      <c r="W172">
        <v>149</v>
      </c>
      <c r="X172">
        <v>0</v>
      </c>
    </row>
    <row r="173" spans="1:24" x14ac:dyDescent="0.35">
      <c r="A173" t="s">
        <v>8</v>
      </c>
      <c r="B173" t="s">
        <v>9</v>
      </c>
      <c r="C173" t="str">
        <f t="shared" si="12"/>
        <v>11102</v>
      </c>
      <c r="D173" t="s">
        <v>10</v>
      </c>
      <c r="E173" t="str">
        <f t="shared" si="13"/>
        <v>33</v>
      </c>
      <c r="F173">
        <v>109144</v>
      </c>
      <c r="G173">
        <v>94529</v>
      </c>
      <c r="H173">
        <v>3229</v>
      </c>
      <c r="I173" t="str">
        <f t="shared" si="16"/>
        <v>6</v>
      </c>
      <c r="J173" t="str">
        <f t="shared" si="17"/>
        <v>Open Vld</v>
      </c>
      <c r="K173">
        <v>2415</v>
      </c>
      <c r="L173">
        <v>5682</v>
      </c>
      <c r="M173">
        <v>8097</v>
      </c>
      <c r="N173">
        <v>6073</v>
      </c>
      <c r="O173">
        <v>3</v>
      </c>
      <c r="P173" t="str">
        <f>("24")</f>
        <v>24</v>
      </c>
      <c r="Q173" t="str">
        <f>("DEROUCK Laurens")</f>
        <v>DEROUCK Laurens</v>
      </c>
      <c r="R173">
        <v>85</v>
      </c>
      <c r="S173" t="s">
        <v>44</v>
      </c>
      <c r="T173">
        <v>0</v>
      </c>
      <c r="V173">
        <v>29</v>
      </c>
      <c r="W173">
        <v>85</v>
      </c>
      <c r="X173">
        <v>0</v>
      </c>
    </row>
    <row r="174" spans="1:24" x14ac:dyDescent="0.35">
      <c r="A174" t="s">
        <v>8</v>
      </c>
      <c r="B174" t="s">
        <v>9</v>
      </c>
      <c r="C174" t="str">
        <f t="shared" si="12"/>
        <v>11102</v>
      </c>
      <c r="D174" t="s">
        <v>10</v>
      </c>
      <c r="E174" t="str">
        <f t="shared" si="13"/>
        <v>33</v>
      </c>
      <c r="F174">
        <v>109144</v>
      </c>
      <c r="G174">
        <v>94529</v>
      </c>
      <c r="H174">
        <v>3229</v>
      </c>
      <c r="I174" t="str">
        <f t="shared" si="16"/>
        <v>6</v>
      </c>
      <c r="J174" t="str">
        <f t="shared" si="17"/>
        <v>Open Vld</v>
      </c>
      <c r="K174">
        <v>2415</v>
      </c>
      <c r="L174">
        <v>5682</v>
      </c>
      <c r="M174">
        <v>8097</v>
      </c>
      <c r="N174">
        <v>6073</v>
      </c>
      <c r="O174">
        <v>3</v>
      </c>
      <c r="P174" t="str">
        <f>("25")</f>
        <v>25</v>
      </c>
      <c r="Q174" t="str">
        <f>("DE ROECK Jacinta")</f>
        <v>DE ROECK Jacinta</v>
      </c>
      <c r="R174">
        <v>142</v>
      </c>
      <c r="S174" t="s">
        <v>44</v>
      </c>
      <c r="T174">
        <v>0</v>
      </c>
      <c r="V174">
        <v>15</v>
      </c>
      <c r="W174">
        <v>142</v>
      </c>
      <c r="X174">
        <v>0</v>
      </c>
    </row>
    <row r="175" spans="1:24" x14ac:dyDescent="0.35">
      <c r="A175" t="s">
        <v>8</v>
      </c>
      <c r="B175" t="s">
        <v>9</v>
      </c>
      <c r="C175" t="str">
        <f t="shared" si="12"/>
        <v>11102</v>
      </c>
      <c r="D175" t="s">
        <v>10</v>
      </c>
      <c r="E175" t="str">
        <f t="shared" si="13"/>
        <v>33</v>
      </c>
      <c r="F175">
        <v>109144</v>
      </c>
      <c r="G175">
        <v>94529</v>
      </c>
      <c r="H175">
        <v>3229</v>
      </c>
      <c r="I175" t="str">
        <f t="shared" si="16"/>
        <v>6</v>
      </c>
      <c r="J175" t="str">
        <f t="shared" si="17"/>
        <v>Open Vld</v>
      </c>
      <c r="K175">
        <v>2415</v>
      </c>
      <c r="L175">
        <v>5682</v>
      </c>
      <c r="M175">
        <v>8097</v>
      </c>
      <c r="N175">
        <v>6073</v>
      </c>
      <c r="O175">
        <v>3</v>
      </c>
      <c r="P175" t="str">
        <f>("26")</f>
        <v>26</v>
      </c>
      <c r="Q175" t="str">
        <f>("STEFENS Jeremy")</f>
        <v>STEFENS Jeremy</v>
      </c>
      <c r="R175">
        <v>119</v>
      </c>
      <c r="S175" t="s">
        <v>44</v>
      </c>
      <c r="T175">
        <v>0</v>
      </c>
      <c r="V175">
        <v>23</v>
      </c>
      <c r="W175">
        <v>119</v>
      </c>
      <c r="X175">
        <v>0</v>
      </c>
    </row>
    <row r="176" spans="1:24" x14ac:dyDescent="0.35">
      <c r="A176" t="s">
        <v>8</v>
      </c>
      <c r="B176" t="s">
        <v>9</v>
      </c>
      <c r="C176" t="str">
        <f t="shared" si="12"/>
        <v>11102</v>
      </c>
      <c r="D176" t="s">
        <v>10</v>
      </c>
      <c r="E176" t="str">
        <f t="shared" si="13"/>
        <v>33</v>
      </c>
      <c r="F176">
        <v>109144</v>
      </c>
      <c r="G176">
        <v>94529</v>
      </c>
      <c r="H176">
        <v>3229</v>
      </c>
      <c r="I176" t="str">
        <f t="shared" si="16"/>
        <v>6</v>
      </c>
      <c r="J176" t="str">
        <f t="shared" si="17"/>
        <v>Open Vld</v>
      </c>
      <c r="K176">
        <v>2415</v>
      </c>
      <c r="L176">
        <v>5682</v>
      </c>
      <c r="M176">
        <v>8097</v>
      </c>
      <c r="N176">
        <v>6073</v>
      </c>
      <c r="O176">
        <v>3</v>
      </c>
      <c r="P176" t="str">
        <f>("27")</f>
        <v>27</v>
      </c>
      <c r="Q176" t="str">
        <f>("DE MAERE Kenny")</f>
        <v>DE MAERE Kenny</v>
      </c>
      <c r="R176">
        <v>68</v>
      </c>
      <c r="S176" t="s">
        <v>44</v>
      </c>
      <c r="T176">
        <v>0</v>
      </c>
      <c r="V176">
        <v>30</v>
      </c>
      <c r="W176">
        <v>68</v>
      </c>
      <c r="X176">
        <v>0</v>
      </c>
    </row>
    <row r="177" spans="1:24" x14ac:dyDescent="0.35">
      <c r="A177" t="s">
        <v>8</v>
      </c>
      <c r="B177" t="s">
        <v>9</v>
      </c>
      <c r="C177" t="str">
        <f t="shared" si="12"/>
        <v>11102</v>
      </c>
      <c r="D177" t="s">
        <v>10</v>
      </c>
      <c r="E177" t="str">
        <f t="shared" si="13"/>
        <v>33</v>
      </c>
      <c r="F177">
        <v>109144</v>
      </c>
      <c r="G177">
        <v>94529</v>
      </c>
      <c r="H177">
        <v>3229</v>
      </c>
      <c r="I177" t="str">
        <f t="shared" si="16"/>
        <v>6</v>
      </c>
      <c r="J177" t="str">
        <f t="shared" si="17"/>
        <v>Open Vld</v>
      </c>
      <c r="K177">
        <v>2415</v>
      </c>
      <c r="L177">
        <v>5682</v>
      </c>
      <c r="M177">
        <v>8097</v>
      </c>
      <c r="N177">
        <v>6073</v>
      </c>
      <c r="O177">
        <v>3</v>
      </c>
      <c r="P177" t="str">
        <f>("28")</f>
        <v>28</v>
      </c>
      <c r="Q177" t="str">
        <f>("GEERINCK Jan-Willem")</f>
        <v>GEERINCK Jan-Willem</v>
      </c>
      <c r="R177">
        <v>107</v>
      </c>
      <c r="S177" t="s">
        <v>44</v>
      </c>
      <c r="T177">
        <v>0</v>
      </c>
      <c r="V177">
        <v>27</v>
      </c>
      <c r="W177">
        <v>107</v>
      </c>
      <c r="X177">
        <v>0</v>
      </c>
    </row>
    <row r="178" spans="1:24" x14ac:dyDescent="0.35">
      <c r="A178" t="s">
        <v>8</v>
      </c>
      <c r="B178" t="s">
        <v>9</v>
      </c>
      <c r="C178" t="str">
        <f t="shared" si="12"/>
        <v>11102</v>
      </c>
      <c r="D178" t="s">
        <v>10</v>
      </c>
      <c r="E178" t="str">
        <f t="shared" si="13"/>
        <v>33</v>
      </c>
      <c r="F178">
        <v>109144</v>
      </c>
      <c r="G178">
        <v>94529</v>
      </c>
      <c r="H178">
        <v>3229</v>
      </c>
      <c r="I178" t="str">
        <f t="shared" si="16"/>
        <v>6</v>
      </c>
      <c r="J178" t="str">
        <f t="shared" si="17"/>
        <v>Open Vld</v>
      </c>
      <c r="K178">
        <v>2415</v>
      </c>
      <c r="L178">
        <v>5682</v>
      </c>
      <c r="M178">
        <v>8097</v>
      </c>
      <c r="N178">
        <v>6073</v>
      </c>
      <c r="O178">
        <v>3</v>
      </c>
      <c r="P178" t="str">
        <f>("29")</f>
        <v>29</v>
      </c>
      <c r="Q178" t="str">
        <f>("KOLLIOPOULOU Magdalini")</f>
        <v>KOLLIOPOULOU Magdalini</v>
      </c>
      <c r="R178">
        <v>134</v>
      </c>
      <c r="S178" t="s">
        <v>44</v>
      </c>
      <c r="T178">
        <v>0</v>
      </c>
      <c r="V178">
        <v>17</v>
      </c>
      <c r="W178">
        <v>134</v>
      </c>
      <c r="X178">
        <v>0</v>
      </c>
    </row>
    <row r="179" spans="1:24" x14ac:dyDescent="0.35">
      <c r="A179" t="s">
        <v>8</v>
      </c>
      <c r="B179" t="s">
        <v>9</v>
      </c>
      <c r="C179" t="str">
        <f t="shared" si="12"/>
        <v>11102</v>
      </c>
      <c r="D179" t="s">
        <v>10</v>
      </c>
      <c r="E179" t="str">
        <f t="shared" si="13"/>
        <v>33</v>
      </c>
      <c r="F179">
        <v>109144</v>
      </c>
      <c r="G179">
        <v>94529</v>
      </c>
      <c r="H179">
        <v>3229</v>
      </c>
      <c r="I179" t="str">
        <f t="shared" si="16"/>
        <v>6</v>
      </c>
      <c r="J179" t="str">
        <f t="shared" si="17"/>
        <v>Open Vld</v>
      </c>
      <c r="K179">
        <v>2415</v>
      </c>
      <c r="L179">
        <v>5682</v>
      </c>
      <c r="M179">
        <v>8097</v>
      </c>
      <c r="N179">
        <v>6073</v>
      </c>
      <c r="O179">
        <v>3</v>
      </c>
      <c r="P179" t="str">
        <f>("30")</f>
        <v>30</v>
      </c>
      <c r="Q179" t="str">
        <f>("DE BRUYNE Kim")</f>
        <v>DE BRUYNE Kim</v>
      </c>
      <c r="R179">
        <v>117</v>
      </c>
      <c r="S179" t="s">
        <v>44</v>
      </c>
      <c r="T179">
        <v>0</v>
      </c>
      <c r="V179">
        <v>24</v>
      </c>
      <c r="W179">
        <v>117</v>
      </c>
      <c r="X179">
        <v>0</v>
      </c>
    </row>
    <row r="180" spans="1:24" x14ac:dyDescent="0.35">
      <c r="A180" t="s">
        <v>8</v>
      </c>
      <c r="B180" t="s">
        <v>9</v>
      </c>
      <c r="C180" t="str">
        <f t="shared" si="12"/>
        <v>11102</v>
      </c>
      <c r="D180" t="s">
        <v>10</v>
      </c>
      <c r="E180" t="str">
        <f t="shared" si="13"/>
        <v>33</v>
      </c>
      <c r="F180">
        <v>109144</v>
      </c>
      <c r="G180">
        <v>94529</v>
      </c>
      <c r="H180">
        <v>3229</v>
      </c>
      <c r="I180" t="str">
        <f t="shared" si="16"/>
        <v>6</v>
      </c>
      <c r="J180" t="str">
        <f t="shared" si="17"/>
        <v>Open Vld</v>
      </c>
      <c r="K180">
        <v>2415</v>
      </c>
      <c r="L180">
        <v>5682</v>
      </c>
      <c r="M180">
        <v>8097</v>
      </c>
      <c r="N180">
        <v>6073</v>
      </c>
      <c r="O180">
        <v>3</v>
      </c>
      <c r="P180" t="str">
        <f>("31")</f>
        <v>31</v>
      </c>
      <c r="Q180" t="str">
        <f>("BEX Elie")</f>
        <v>BEX Elie</v>
      </c>
      <c r="R180">
        <v>138</v>
      </c>
      <c r="S180" t="s">
        <v>44</v>
      </c>
      <c r="T180">
        <v>0</v>
      </c>
      <c r="V180">
        <v>16</v>
      </c>
      <c r="W180">
        <v>138</v>
      </c>
      <c r="X180">
        <v>0</v>
      </c>
    </row>
    <row r="181" spans="1:24" x14ac:dyDescent="0.35">
      <c r="A181" t="s">
        <v>8</v>
      </c>
      <c r="B181" t="s">
        <v>9</v>
      </c>
      <c r="C181" t="str">
        <f t="shared" si="12"/>
        <v>11102</v>
      </c>
      <c r="D181" t="s">
        <v>10</v>
      </c>
      <c r="E181" t="str">
        <f t="shared" si="13"/>
        <v>33</v>
      </c>
      <c r="F181">
        <v>109144</v>
      </c>
      <c r="G181">
        <v>94529</v>
      </c>
      <c r="H181">
        <v>3229</v>
      </c>
      <c r="I181" t="str">
        <f t="shared" si="16"/>
        <v>6</v>
      </c>
      <c r="J181" t="str">
        <f t="shared" si="17"/>
        <v>Open Vld</v>
      </c>
      <c r="K181">
        <v>2415</v>
      </c>
      <c r="L181">
        <v>5682</v>
      </c>
      <c r="M181">
        <v>8097</v>
      </c>
      <c r="N181">
        <v>6073</v>
      </c>
      <c r="O181">
        <v>3</v>
      </c>
      <c r="P181" t="str">
        <f>("32")</f>
        <v>32</v>
      </c>
      <c r="Q181" t="str">
        <f>("CALUWAERTS Erica")</f>
        <v>CALUWAERTS Erica</v>
      </c>
      <c r="R181">
        <v>299</v>
      </c>
      <c r="S181" t="s">
        <v>44</v>
      </c>
      <c r="T181">
        <v>0</v>
      </c>
      <c r="V181">
        <v>3</v>
      </c>
      <c r="W181">
        <v>299</v>
      </c>
      <c r="X181">
        <v>0</v>
      </c>
    </row>
    <row r="182" spans="1:24" x14ac:dyDescent="0.35">
      <c r="A182" t="s">
        <v>8</v>
      </c>
      <c r="B182" t="s">
        <v>9</v>
      </c>
      <c r="C182" t="str">
        <f t="shared" si="12"/>
        <v>11102</v>
      </c>
      <c r="D182" t="s">
        <v>10</v>
      </c>
      <c r="E182" t="str">
        <f t="shared" si="13"/>
        <v>33</v>
      </c>
      <c r="F182">
        <v>109144</v>
      </c>
      <c r="G182">
        <v>94529</v>
      </c>
      <c r="H182">
        <v>3229</v>
      </c>
      <c r="I182" t="str">
        <f t="shared" si="16"/>
        <v>6</v>
      </c>
      <c r="J182" t="str">
        <f t="shared" si="17"/>
        <v>Open Vld</v>
      </c>
      <c r="K182">
        <v>2415</v>
      </c>
      <c r="L182">
        <v>5682</v>
      </c>
      <c r="M182">
        <v>8097</v>
      </c>
      <c r="N182">
        <v>6073</v>
      </c>
      <c r="O182">
        <v>3</v>
      </c>
      <c r="P182" t="str">
        <f>("33")</f>
        <v>33</v>
      </c>
      <c r="Q182" t="str">
        <f>("DE BACKER Philippe")</f>
        <v>DE BACKER Philippe</v>
      </c>
      <c r="R182">
        <v>1208</v>
      </c>
      <c r="S182">
        <v>1208</v>
      </c>
      <c r="T182">
        <v>0</v>
      </c>
      <c r="U182">
        <v>2</v>
      </c>
    </row>
    <row r="183" spans="1:24" x14ac:dyDescent="0.35">
      <c r="A183" t="s">
        <v>8</v>
      </c>
      <c r="B183" t="s">
        <v>9</v>
      </c>
      <c r="C183" t="str">
        <f t="shared" si="12"/>
        <v>11102</v>
      </c>
      <c r="D183" t="s">
        <v>10</v>
      </c>
      <c r="E183" t="str">
        <f t="shared" si="13"/>
        <v>33</v>
      </c>
      <c r="F183">
        <v>109144</v>
      </c>
      <c r="G183">
        <v>94529</v>
      </c>
      <c r="H183">
        <v>3229</v>
      </c>
      <c r="I183" t="str">
        <f t="shared" ref="I183:I215" si="18">("7")</f>
        <v>7</v>
      </c>
      <c r="J183" t="str">
        <f t="shared" ref="J183:J215" si="19">("PVDA")</f>
        <v>PVDA</v>
      </c>
      <c r="K183">
        <v>2254</v>
      </c>
      <c r="L183">
        <v>6212</v>
      </c>
      <c r="M183">
        <v>8466</v>
      </c>
      <c r="N183">
        <v>6350</v>
      </c>
      <c r="O183">
        <v>3</v>
      </c>
      <c r="P183" t="str">
        <f>("1")</f>
        <v>1</v>
      </c>
      <c r="Q183" t="str">
        <f>("PEETERS Nadine")</f>
        <v>PEETERS Nadine</v>
      </c>
      <c r="R183">
        <v>2387</v>
      </c>
      <c r="S183">
        <v>4641</v>
      </c>
      <c r="T183">
        <v>0</v>
      </c>
      <c r="U183">
        <v>1</v>
      </c>
    </row>
    <row r="184" spans="1:24" x14ac:dyDescent="0.35">
      <c r="A184" t="s">
        <v>8</v>
      </c>
      <c r="B184" t="s">
        <v>9</v>
      </c>
      <c r="C184" t="str">
        <f t="shared" si="12"/>
        <v>11102</v>
      </c>
      <c r="D184" t="s">
        <v>10</v>
      </c>
      <c r="E184" t="str">
        <f t="shared" si="13"/>
        <v>33</v>
      </c>
      <c r="F184">
        <v>109144</v>
      </c>
      <c r="G184">
        <v>94529</v>
      </c>
      <c r="H184">
        <v>3229</v>
      </c>
      <c r="I184" t="str">
        <f t="shared" si="18"/>
        <v>7</v>
      </c>
      <c r="J184" t="str">
        <f t="shared" si="19"/>
        <v>PVDA</v>
      </c>
      <c r="K184">
        <v>2254</v>
      </c>
      <c r="L184">
        <v>6212</v>
      </c>
      <c r="M184">
        <v>8466</v>
      </c>
      <c r="N184">
        <v>6350</v>
      </c>
      <c r="O184">
        <v>3</v>
      </c>
      <c r="P184" t="str">
        <f>("2")</f>
        <v>2</v>
      </c>
      <c r="Q184" t="str">
        <f>("VANDECASTEELE Raf")</f>
        <v>VANDECASTEELE Raf</v>
      </c>
      <c r="R184">
        <v>365</v>
      </c>
      <c r="S184" t="s">
        <v>44</v>
      </c>
      <c r="T184">
        <v>0</v>
      </c>
      <c r="V184">
        <v>1</v>
      </c>
      <c r="W184">
        <v>2619</v>
      </c>
      <c r="X184">
        <v>0</v>
      </c>
    </row>
    <row r="185" spans="1:24" x14ac:dyDescent="0.35">
      <c r="A185" t="s">
        <v>8</v>
      </c>
      <c r="B185" t="s">
        <v>9</v>
      </c>
      <c r="C185" t="str">
        <f t="shared" si="12"/>
        <v>11102</v>
      </c>
      <c r="D185" t="s">
        <v>10</v>
      </c>
      <c r="E185" t="str">
        <f t="shared" si="13"/>
        <v>33</v>
      </c>
      <c r="F185">
        <v>109144</v>
      </c>
      <c r="G185">
        <v>94529</v>
      </c>
      <c r="H185">
        <v>3229</v>
      </c>
      <c r="I185" t="str">
        <f t="shared" si="18"/>
        <v>7</v>
      </c>
      <c r="J185" t="str">
        <f t="shared" si="19"/>
        <v>PVDA</v>
      </c>
      <c r="K185">
        <v>2254</v>
      </c>
      <c r="L185">
        <v>6212</v>
      </c>
      <c r="M185">
        <v>8466</v>
      </c>
      <c r="N185">
        <v>6350</v>
      </c>
      <c r="O185">
        <v>3</v>
      </c>
      <c r="P185" t="str">
        <f>("3")</f>
        <v>3</v>
      </c>
      <c r="Q185" t="str">
        <f>("DE BELDER Mara")</f>
        <v>DE BELDER Mara</v>
      </c>
      <c r="R185">
        <v>350</v>
      </c>
      <c r="S185" t="s">
        <v>44</v>
      </c>
      <c r="T185">
        <v>0</v>
      </c>
      <c r="V185">
        <v>6</v>
      </c>
      <c r="W185">
        <v>350</v>
      </c>
      <c r="X185">
        <v>0</v>
      </c>
    </row>
    <row r="186" spans="1:24" x14ac:dyDescent="0.35">
      <c r="A186" t="s">
        <v>8</v>
      </c>
      <c r="B186" t="s">
        <v>9</v>
      </c>
      <c r="C186" t="str">
        <f t="shared" si="12"/>
        <v>11102</v>
      </c>
      <c r="D186" t="s">
        <v>10</v>
      </c>
      <c r="E186" t="str">
        <f t="shared" si="13"/>
        <v>33</v>
      </c>
      <c r="F186">
        <v>109144</v>
      </c>
      <c r="G186">
        <v>94529</v>
      </c>
      <c r="H186">
        <v>3229</v>
      </c>
      <c r="I186" t="str">
        <f t="shared" si="18"/>
        <v>7</v>
      </c>
      <c r="J186" t="str">
        <f t="shared" si="19"/>
        <v>PVDA</v>
      </c>
      <c r="K186">
        <v>2254</v>
      </c>
      <c r="L186">
        <v>6212</v>
      </c>
      <c r="M186">
        <v>8466</v>
      </c>
      <c r="N186">
        <v>6350</v>
      </c>
      <c r="O186">
        <v>3</v>
      </c>
      <c r="P186" t="str">
        <f>("4")</f>
        <v>4</v>
      </c>
      <c r="Q186" t="str">
        <f>("GULHAN Sah")</f>
        <v>GULHAN Sah</v>
      </c>
      <c r="R186">
        <v>413</v>
      </c>
      <c r="S186" t="s">
        <v>44</v>
      </c>
      <c r="T186">
        <v>0</v>
      </c>
      <c r="V186">
        <v>4</v>
      </c>
      <c r="W186">
        <v>413</v>
      </c>
      <c r="X186">
        <v>0</v>
      </c>
    </row>
    <row r="187" spans="1:24" x14ac:dyDescent="0.35">
      <c r="A187" t="s">
        <v>8</v>
      </c>
      <c r="B187" t="s">
        <v>9</v>
      </c>
      <c r="C187" t="str">
        <f t="shared" si="12"/>
        <v>11102</v>
      </c>
      <c r="D187" t="s">
        <v>10</v>
      </c>
      <c r="E187" t="str">
        <f t="shared" si="13"/>
        <v>33</v>
      </c>
      <c r="F187">
        <v>109144</v>
      </c>
      <c r="G187">
        <v>94529</v>
      </c>
      <c r="H187">
        <v>3229</v>
      </c>
      <c r="I187" t="str">
        <f t="shared" si="18"/>
        <v>7</v>
      </c>
      <c r="J187" t="str">
        <f t="shared" si="19"/>
        <v>PVDA</v>
      </c>
      <c r="K187">
        <v>2254</v>
      </c>
      <c r="L187">
        <v>6212</v>
      </c>
      <c r="M187">
        <v>8466</v>
      </c>
      <c r="N187">
        <v>6350</v>
      </c>
      <c r="O187">
        <v>3</v>
      </c>
      <c r="P187" t="str">
        <f>("5")</f>
        <v>5</v>
      </c>
      <c r="Q187" t="str">
        <f>("SNIJKERS Anne")</f>
        <v>SNIJKERS Anne</v>
      </c>
      <c r="R187">
        <v>239</v>
      </c>
      <c r="S187" t="s">
        <v>44</v>
      </c>
      <c r="T187">
        <v>0</v>
      </c>
      <c r="V187">
        <v>9</v>
      </c>
      <c r="W187">
        <v>239</v>
      </c>
      <c r="X187">
        <v>0</v>
      </c>
    </row>
    <row r="188" spans="1:24" x14ac:dyDescent="0.35">
      <c r="A188" t="s">
        <v>8</v>
      </c>
      <c r="B188" t="s">
        <v>9</v>
      </c>
      <c r="C188" t="str">
        <f t="shared" si="12"/>
        <v>11102</v>
      </c>
      <c r="D188" t="s">
        <v>10</v>
      </c>
      <c r="E188" t="str">
        <f t="shared" si="13"/>
        <v>33</v>
      </c>
      <c r="F188">
        <v>109144</v>
      </c>
      <c r="G188">
        <v>94529</v>
      </c>
      <c r="H188">
        <v>3229</v>
      </c>
      <c r="I188" t="str">
        <f t="shared" si="18"/>
        <v>7</v>
      </c>
      <c r="J188" t="str">
        <f t="shared" si="19"/>
        <v>PVDA</v>
      </c>
      <c r="K188">
        <v>2254</v>
      </c>
      <c r="L188">
        <v>6212</v>
      </c>
      <c r="M188">
        <v>8466</v>
      </c>
      <c r="N188">
        <v>6350</v>
      </c>
      <c r="O188">
        <v>3</v>
      </c>
      <c r="P188" t="str">
        <f>("6")</f>
        <v>6</v>
      </c>
      <c r="Q188" t="str">
        <f>("DARMACH Farid")</f>
        <v>DARMACH Farid</v>
      </c>
      <c r="R188">
        <v>620</v>
      </c>
      <c r="S188" t="s">
        <v>44</v>
      </c>
      <c r="T188">
        <v>0</v>
      </c>
      <c r="V188">
        <v>2</v>
      </c>
      <c r="W188">
        <v>620</v>
      </c>
      <c r="X188">
        <v>0</v>
      </c>
    </row>
    <row r="189" spans="1:24" x14ac:dyDescent="0.35">
      <c r="A189" t="s">
        <v>8</v>
      </c>
      <c r="B189" t="s">
        <v>9</v>
      </c>
      <c r="C189" t="str">
        <f t="shared" si="12"/>
        <v>11102</v>
      </c>
      <c r="D189" t="s">
        <v>10</v>
      </c>
      <c r="E189" t="str">
        <f t="shared" si="13"/>
        <v>33</v>
      </c>
      <c r="F189">
        <v>109144</v>
      </c>
      <c r="G189">
        <v>94529</v>
      </c>
      <c r="H189">
        <v>3229</v>
      </c>
      <c r="I189" t="str">
        <f t="shared" si="18"/>
        <v>7</v>
      </c>
      <c r="J189" t="str">
        <f t="shared" si="19"/>
        <v>PVDA</v>
      </c>
      <c r="K189">
        <v>2254</v>
      </c>
      <c r="L189">
        <v>6212</v>
      </c>
      <c r="M189">
        <v>8466</v>
      </c>
      <c r="N189">
        <v>6350</v>
      </c>
      <c r="O189">
        <v>3</v>
      </c>
      <c r="P189" t="str">
        <f>("7")</f>
        <v>7</v>
      </c>
      <c r="Q189" t="str">
        <f>("GÜMÜS Céline")</f>
        <v>GÜMÜS Céline</v>
      </c>
      <c r="R189">
        <v>422</v>
      </c>
      <c r="S189" t="s">
        <v>44</v>
      </c>
      <c r="T189">
        <v>0</v>
      </c>
      <c r="V189">
        <v>3</v>
      </c>
      <c r="W189">
        <v>422</v>
      </c>
      <c r="X189">
        <v>0</v>
      </c>
    </row>
    <row r="190" spans="1:24" x14ac:dyDescent="0.35">
      <c r="A190" t="s">
        <v>8</v>
      </c>
      <c r="B190" t="s">
        <v>9</v>
      </c>
      <c r="C190" t="str">
        <f t="shared" si="12"/>
        <v>11102</v>
      </c>
      <c r="D190" t="s">
        <v>10</v>
      </c>
      <c r="E190" t="str">
        <f t="shared" si="13"/>
        <v>33</v>
      </c>
      <c r="F190">
        <v>109144</v>
      </c>
      <c r="G190">
        <v>94529</v>
      </c>
      <c r="H190">
        <v>3229</v>
      </c>
      <c r="I190" t="str">
        <f t="shared" si="18"/>
        <v>7</v>
      </c>
      <c r="J190" t="str">
        <f t="shared" si="19"/>
        <v>PVDA</v>
      </c>
      <c r="K190">
        <v>2254</v>
      </c>
      <c r="L190">
        <v>6212</v>
      </c>
      <c r="M190">
        <v>8466</v>
      </c>
      <c r="N190">
        <v>6350</v>
      </c>
      <c r="O190">
        <v>3</v>
      </c>
      <c r="P190" t="str">
        <f>("8")</f>
        <v>8</v>
      </c>
      <c r="Q190" t="str">
        <f>("TERNY Gert")</f>
        <v>TERNY Gert</v>
      </c>
      <c r="R190">
        <v>152</v>
      </c>
      <c r="S190" t="s">
        <v>44</v>
      </c>
      <c r="T190">
        <v>0</v>
      </c>
      <c r="V190">
        <v>23</v>
      </c>
      <c r="W190">
        <v>152</v>
      </c>
      <c r="X190">
        <v>0</v>
      </c>
    </row>
    <row r="191" spans="1:24" x14ac:dyDescent="0.35">
      <c r="A191" t="s">
        <v>8</v>
      </c>
      <c r="B191" t="s">
        <v>9</v>
      </c>
      <c r="C191" t="str">
        <f t="shared" si="12"/>
        <v>11102</v>
      </c>
      <c r="D191" t="s">
        <v>10</v>
      </c>
      <c r="E191" t="str">
        <f t="shared" si="13"/>
        <v>33</v>
      </c>
      <c r="F191">
        <v>109144</v>
      </c>
      <c r="G191">
        <v>94529</v>
      </c>
      <c r="H191">
        <v>3229</v>
      </c>
      <c r="I191" t="str">
        <f t="shared" si="18"/>
        <v>7</v>
      </c>
      <c r="J191" t="str">
        <f t="shared" si="19"/>
        <v>PVDA</v>
      </c>
      <c r="K191">
        <v>2254</v>
      </c>
      <c r="L191">
        <v>6212</v>
      </c>
      <c r="M191">
        <v>8466</v>
      </c>
      <c r="N191">
        <v>6350</v>
      </c>
      <c r="O191">
        <v>3</v>
      </c>
      <c r="P191" t="str">
        <f>("9")</f>
        <v>9</v>
      </c>
      <c r="Q191" t="str">
        <f>("'T JOLLE Dominik")</f>
        <v>'T JOLLE Dominik</v>
      </c>
      <c r="R191">
        <v>163</v>
      </c>
      <c r="S191" t="s">
        <v>44</v>
      </c>
      <c r="T191">
        <v>0</v>
      </c>
      <c r="V191">
        <v>20</v>
      </c>
      <c r="W191">
        <v>163</v>
      </c>
      <c r="X191">
        <v>0</v>
      </c>
    </row>
    <row r="192" spans="1:24" x14ac:dyDescent="0.35">
      <c r="A192" t="s">
        <v>8</v>
      </c>
      <c r="B192" t="s">
        <v>9</v>
      </c>
      <c r="C192" t="str">
        <f t="shared" si="12"/>
        <v>11102</v>
      </c>
      <c r="D192" t="s">
        <v>10</v>
      </c>
      <c r="E192" t="str">
        <f t="shared" si="13"/>
        <v>33</v>
      </c>
      <c r="F192">
        <v>109144</v>
      </c>
      <c r="G192">
        <v>94529</v>
      </c>
      <c r="H192">
        <v>3229</v>
      </c>
      <c r="I192" t="str">
        <f t="shared" si="18"/>
        <v>7</v>
      </c>
      <c r="J192" t="str">
        <f t="shared" si="19"/>
        <v>PVDA</v>
      </c>
      <c r="K192">
        <v>2254</v>
      </c>
      <c r="L192">
        <v>6212</v>
      </c>
      <c r="M192">
        <v>8466</v>
      </c>
      <c r="N192">
        <v>6350</v>
      </c>
      <c r="O192">
        <v>3</v>
      </c>
      <c r="P192" t="str">
        <f>("10")</f>
        <v>10</v>
      </c>
      <c r="Q192" t="str">
        <f>("VAN DAMME Wouter")</f>
        <v>VAN DAMME Wouter</v>
      </c>
      <c r="R192">
        <v>214</v>
      </c>
      <c r="S192" t="s">
        <v>44</v>
      </c>
      <c r="T192">
        <v>0</v>
      </c>
      <c r="V192">
        <v>12</v>
      </c>
      <c r="W192">
        <v>214</v>
      </c>
      <c r="X192">
        <v>0</v>
      </c>
    </row>
    <row r="193" spans="1:24" x14ac:dyDescent="0.35">
      <c r="A193" t="s">
        <v>8</v>
      </c>
      <c r="B193" t="s">
        <v>9</v>
      </c>
      <c r="C193" t="str">
        <f t="shared" si="12"/>
        <v>11102</v>
      </c>
      <c r="D193" t="s">
        <v>10</v>
      </c>
      <c r="E193" t="str">
        <f t="shared" si="13"/>
        <v>33</v>
      </c>
      <c r="F193">
        <v>109144</v>
      </c>
      <c r="G193">
        <v>94529</v>
      </c>
      <c r="H193">
        <v>3229</v>
      </c>
      <c r="I193" t="str">
        <f t="shared" si="18"/>
        <v>7</v>
      </c>
      <c r="J193" t="str">
        <f t="shared" si="19"/>
        <v>PVDA</v>
      </c>
      <c r="K193">
        <v>2254</v>
      </c>
      <c r="L193">
        <v>6212</v>
      </c>
      <c r="M193">
        <v>8466</v>
      </c>
      <c r="N193">
        <v>6350</v>
      </c>
      <c r="O193">
        <v>3</v>
      </c>
      <c r="P193" t="str">
        <f>("11")</f>
        <v>11</v>
      </c>
      <c r="Q193" t="str">
        <f>("DE BRUYNE An")</f>
        <v>DE BRUYNE An</v>
      </c>
      <c r="R193">
        <v>197</v>
      </c>
      <c r="S193" t="s">
        <v>44</v>
      </c>
      <c r="T193">
        <v>0</v>
      </c>
      <c r="V193">
        <v>14</v>
      </c>
      <c r="W193">
        <v>197</v>
      </c>
      <c r="X193">
        <v>0</v>
      </c>
    </row>
    <row r="194" spans="1:24" x14ac:dyDescent="0.35">
      <c r="A194" t="s">
        <v>8</v>
      </c>
      <c r="B194" t="s">
        <v>9</v>
      </c>
      <c r="C194" t="str">
        <f t="shared" ref="C194:C248" si="20">("11102")</f>
        <v>11102</v>
      </c>
      <c r="D194" t="s">
        <v>10</v>
      </c>
      <c r="E194" t="str">
        <f t="shared" ref="E194:E248" si="21">("33")</f>
        <v>33</v>
      </c>
      <c r="F194">
        <v>109144</v>
      </c>
      <c r="G194">
        <v>94529</v>
      </c>
      <c r="H194">
        <v>3229</v>
      </c>
      <c r="I194" t="str">
        <f t="shared" si="18"/>
        <v>7</v>
      </c>
      <c r="J194" t="str">
        <f t="shared" si="19"/>
        <v>PVDA</v>
      </c>
      <c r="K194">
        <v>2254</v>
      </c>
      <c r="L194">
        <v>6212</v>
      </c>
      <c r="M194">
        <v>8466</v>
      </c>
      <c r="N194">
        <v>6350</v>
      </c>
      <c r="O194">
        <v>3</v>
      </c>
      <c r="P194" t="str">
        <f>("12")</f>
        <v>12</v>
      </c>
      <c r="Q194" t="str">
        <f>("ZAPATA HERRERA Luis")</f>
        <v>ZAPATA HERRERA Luis</v>
      </c>
      <c r="R194">
        <v>199</v>
      </c>
      <c r="S194" t="s">
        <v>44</v>
      </c>
      <c r="T194">
        <v>0</v>
      </c>
      <c r="V194">
        <v>13</v>
      </c>
      <c r="W194">
        <v>199</v>
      </c>
      <c r="X194">
        <v>0</v>
      </c>
    </row>
    <row r="195" spans="1:24" x14ac:dyDescent="0.35">
      <c r="A195" t="s">
        <v>8</v>
      </c>
      <c r="B195" t="s">
        <v>9</v>
      </c>
      <c r="C195" t="str">
        <f t="shared" si="20"/>
        <v>11102</v>
      </c>
      <c r="D195" t="s">
        <v>10</v>
      </c>
      <c r="E195" t="str">
        <f t="shared" si="21"/>
        <v>33</v>
      </c>
      <c r="F195">
        <v>109144</v>
      </c>
      <c r="G195">
        <v>94529</v>
      </c>
      <c r="H195">
        <v>3229</v>
      </c>
      <c r="I195" t="str">
        <f t="shared" si="18"/>
        <v>7</v>
      </c>
      <c r="J195" t="str">
        <f t="shared" si="19"/>
        <v>PVDA</v>
      </c>
      <c r="K195">
        <v>2254</v>
      </c>
      <c r="L195">
        <v>6212</v>
      </c>
      <c r="M195">
        <v>8466</v>
      </c>
      <c r="N195">
        <v>6350</v>
      </c>
      <c r="O195">
        <v>3</v>
      </c>
      <c r="P195" t="str">
        <f>("13")</f>
        <v>13</v>
      </c>
      <c r="Q195" t="str">
        <f>("TRIEST Monika")</f>
        <v>TRIEST Monika</v>
      </c>
      <c r="R195">
        <v>183</v>
      </c>
      <c r="S195" t="s">
        <v>44</v>
      </c>
      <c r="T195">
        <v>0</v>
      </c>
      <c r="V195">
        <v>17</v>
      </c>
      <c r="W195">
        <v>183</v>
      </c>
      <c r="X195">
        <v>0</v>
      </c>
    </row>
    <row r="196" spans="1:24" x14ac:dyDescent="0.35">
      <c r="A196" t="s">
        <v>8</v>
      </c>
      <c r="B196" t="s">
        <v>9</v>
      </c>
      <c r="C196" t="str">
        <f t="shared" si="20"/>
        <v>11102</v>
      </c>
      <c r="D196" t="s">
        <v>10</v>
      </c>
      <c r="E196" t="str">
        <f t="shared" si="21"/>
        <v>33</v>
      </c>
      <c r="F196">
        <v>109144</v>
      </c>
      <c r="G196">
        <v>94529</v>
      </c>
      <c r="H196">
        <v>3229</v>
      </c>
      <c r="I196" t="str">
        <f t="shared" si="18"/>
        <v>7</v>
      </c>
      <c r="J196" t="str">
        <f t="shared" si="19"/>
        <v>PVDA</v>
      </c>
      <c r="K196">
        <v>2254</v>
      </c>
      <c r="L196">
        <v>6212</v>
      </c>
      <c r="M196">
        <v>8466</v>
      </c>
      <c r="N196">
        <v>6350</v>
      </c>
      <c r="O196">
        <v>3</v>
      </c>
      <c r="P196" t="str">
        <f>("14")</f>
        <v>14</v>
      </c>
      <c r="Q196" t="str">
        <f>("LEZY Bert")</f>
        <v>LEZY Bert</v>
      </c>
      <c r="R196">
        <v>245</v>
      </c>
      <c r="S196" t="s">
        <v>44</v>
      </c>
      <c r="T196">
        <v>0</v>
      </c>
      <c r="V196">
        <v>8</v>
      </c>
      <c r="W196">
        <v>245</v>
      </c>
      <c r="X196">
        <v>0</v>
      </c>
    </row>
    <row r="197" spans="1:24" x14ac:dyDescent="0.35">
      <c r="A197" t="s">
        <v>8</v>
      </c>
      <c r="B197" t="s">
        <v>9</v>
      </c>
      <c r="C197" t="str">
        <f t="shared" si="20"/>
        <v>11102</v>
      </c>
      <c r="D197" t="s">
        <v>10</v>
      </c>
      <c r="E197" t="str">
        <f t="shared" si="21"/>
        <v>33</v>
      </c>
      <c r="F197">
        <v>109144</v>
      </c>
      <c r="G197">
        <v>94529</v>
      </c>
      <c r="H197">
        <v>3229</v>
      </c>
      <c r="I197" t="str">
        <f t="shared" si="18"/>
        <v>7</v>
      </c>
      <c r="J197" t="str">
        <f t="shared" si="19"/>
        <v>PVDA</v>
      </c>
      <c r="K197">
        <v>2254</v>
      </c>
      <c r="L197">
        <v>6212</v>
      </c>
      <c r="M197">
        <v>8466</v>
      </c>
      <c r="N197">
        <v>6350</v>
      </c>
      <c r="O197">
        <v>3</v>
      </c>
      <c r="P197" t="str">
        <f>("15")</f>
        <v>15</v>
      </c>
      <c r="Q197" t="str">
        <f>("VAN ROMPAEY Patsy")</f>
        <v>VAN ROMPAEY Patsy</v>
      </c>
      <c r="R197">
        <v>255</v>
      </c>
      <c r="S197" t="s">
        <v>44</v>
      </c>
      <c r="T197">
        <v>0</v>
      </c>
      <c r="V197">
        <v>7</v>
      </c>
      <c r="W197">
        <v>255</v>
      </c>
      <c r="X197">
        <v>0</v>
      </c>
    </row>
    <row r="198" spans="1:24" x14ac:dyDescent="0.35">
      <c r="A198" t="s">
        <v>8</v>
      </c>
      <c r="B198" t="s">
        <v>9</v>
      </c>
      <c r="C198" t="str">
        <f t="shared" si="20"/>
        <v>11102</v>
      </c>
      <c r="D198" t="s">
        <v>10</v>
      </c>
      <c r="E198" t="str">
        <f t="shared" si="21"/>
        <v>33</v>
      </c>
      <c r="F198">
        <v>109144</v>
      </c>
      <c r="G198">
        <v>94529</v>
      </c>
      <c r="H198">
        <v>3229</v>
      </c>
      <c r="I198" t="str">
        <f t="shared" si="18"/>
        <v>7</v>
      </c>
      <c r="J198" t="str">
        <f t="shared" si="19"/>
        <v>PVDA</v>
      </c>
      <c r="K198">
        <v>2254</v>
      </c>
      <c r="L198">
        <v>6212</v>
      </c>
      <c r="M198">
        <v>8466</v>
      </c>
      <c r="N198">
        <v>6350</v>
      </c>
      <c r="O198">
        <v>3</v>
      </c>
      <c r="P198" t="str">
        <f>("16")</f>
        <v>16</v>
      </c>
      <c r="Q198" t="str">
        <f>("MATYSEN Jean")</f>
        <v>MATYSEN Jean</v>
      </c>
      <c r="R198">
        <v>163</v>
      </c>
      <c r="S198" t="s">
        <v>44</v>
      </c>
      <c r="T198">
        <v>0</v>
      </c>
      <c r="V198">
        <v>21</v>
      </c>
      <c r="W198">
        <v>163</v>
      </c>
      <c r="X198">
        <v>0</v>
      </c>
    </row>
    <row r="199" spans="1:24" x14ac:dyDescent="0.35">
      <c r="A199" t="s">
        <v>8</v>
      </c>
      <c r="B199" t="s">
        <v>9</v>
      </c>
      <c r="C199" t="str">
        <f t="shared" si="20"/>
        <v>11102</v>
      </c>
      <c r="D199" t="s">
        <v>10</v>
      </c>
      <c r="E199" t="str">
        <f t="shared" si="21"/>
        <v>33</v>
      </c>
      <c r="F199">
        <v>109144</v>
      </c>
      <c r="G199">
        <v>94529</v>
      </c>
      <c r="H199">
        <v>3229</v>
      </c>
      <c r="I199" t="str">
        <f t="shared" si="18"/>
        <v>7</v>
      </c>
      <c r="J199" t="str">
        <f t="shared" si="19"/>
        <v>PVDA</v>
      </c>
      <c r="K199">
        <v>2254</v>
      </c>
      <c r="L199">
        <v>6212</v>
      </c>
      <c r="M199">
        <v>8466</v>
      </c>
      <c r="N199">
        <v>6350</v>
      </c>
      <c r="O199">
        <v>3</v>
      </c>
      <c r="P199" t="str">
        <f>("17")</f>
        <v>17</v>
      </c>
      <c r="Q199" t="str">
        <f>("RONSE Janneke")</f>
        <v>RONSE Janneke</v>
      </c>
      <c r="R199">
        <v>186</v>
      </c>
      <c r="S199" t="s">
        <v>44</v>
      </c>
      <c r="T199">
        <v>0</v>
      </c>
      <c r="V199">
        <v>15</v>
      </c>
      <c r="W199">
        <v>186</v>
      </c>
      <c r="X199">
        <v>0</v>
      </c>
    </row>
    <row r="200" spans="1:24" x14ac:dyDescent="0.35">
      <c r="A200" t="s">
        <v>8</v>
      </c>
      <c r="B200" t="s">
        <v>9</v>
      </c>
      <c r="C200" t="str">
        <f t="shared" si="20"/>
        <v>11102</v>
      </c>
      <c r="D200" t="s">
        <v>10</v>
      </c>
      <c r="E200" t="str">
        <f t="shared" si="21"/>
        <v>33</v>
      </c>
      <c r="F200">
        <v>109144</v>
      </c>
      <c r="G200">
        <v>94529</v>
      </c>
      <c r="H200">
        <v>3229</v>
      </c>
      <c r="I200" t="str">
        <f t="shared" si="18"/>
        <v>7</v>
      </c>
      <c r="J200" t="str">
        <f t="shared" si="19"/>
        <v>PVDA</v>
      </c>
      <c r="K200">
        <v>2254</v>
      </c>
      <c r="L200">
        <v>6212</v>
      </c>
      <c r="M200">
        <v>8466</v>
      </c>
      <c r="N200">
        <v>6350</v>
      </c>
      <c r="O200">
        <v>3</v>
      </c>
      <c r="P200" t="str">
        <f>("18")</f>
        <v>18</v>
      </c>
      <c r="Q200" t="str">
        <f>("AMALIKI Karima")</f>
        <v>AMALIKI Karima</v>
      </c>
      <c r="R200">
        <v>1067</v>
      </c>
      <c r="S200">
        <v>1067</v>
      </c>
      <c r="T200">
        <v>0</v>
      </c>
      <c r="U200">
        <v>3</v>
      </c>
    </row>
    <row r="201" spans="1:24" x14ac:dyDescent="0.35">
      <c r="A201" t="s">
        <v>8</v>
      </c>
      <c r="B201" t="s">
        <v>9</v>
      </c>
      <c r="C201" t="str">
        <f t="shared" si="20"/>
        <v>11102</v>
      </c>
      <c r="D201" t="s">
        <v>10</v>
      </c>
      <c r="E201" t="str">
        <f t="shared" si="21"/>
        <v>33</v>
      </c>
      <c r="F201">
        <v>109144</v>
      </c>
      <c r="G201">
        <v>94529</v>
      </c>
      <c r="H201">
        <v>3229</v>
      </c>
      <c r="I201" t="str">
        <f t="shared" si="18"/>
        <v>7</v>
      </c>
      <c r="J201" t="str">
        <f t="shared" si="19"/>
        <v>PVDA</v>
      </c>
      <c r="K201">
        <v>2254</v>
      </c>
      <c r="L201">
        <v>6212</v>
      </c>
      <c r="M201">
        <v>8466</v>
      </c>
      <c r="N201">
        <v>6350</v>
      </c>
      <c r="O201">
        <v>3</v>
      </c>
      <c r="P201" t="str">
        <f>("19")</f>
        <v>19</v>
      </c>
      <c r="Q201" t="str">
        <f>("DEMIR Ozan")</f>
        <v>DEMIR Ozan</v>
      </c>
      <c r="R201">
        <v>361</v>
      </c>
      <c r="S201" t="s">
        <v>44</v>
      </c>
      <c r="T201">
        <v>0</v>
      </c>
      <c r="V201">
        <v>5</v>
      </c>
      <c r="W201">
        <v>361</v>
      </c>
      <c r="X201">
        <v>0</v>
      </c>
    </row>
    <row r="202" spans="1:24" x14ac:dyDescent="0.35">
      <c r="A202" t="s">
        <v>8</v>
      </c>
      <c r="B202" t="s">
        <v>9</v>
      </c>
      <c r="C202" t="str">
        <f t="shared" si="20"/>
        <v>11102</v>
      </c>
      <c r="D202" t="s">
        <v>10</v>
      </c>
      <c r="E202" t="str">
        <f t="shared" si="21"/>
        <v>33</v>
      </c>
      <c r="F202">
        <v>109144</v>
      </c>
      <c r="G202">
        <v>94529</v>
      </c>
      <c r="H202">
        <v>3229</v>
      </c>
      <c r="I202" t="str">
        <f t="shared" si="18"/>
        <v>7</v>
      </c>
      <c r="J202" t="str">
        <f t="shared" si="19"/>
        <v>PVDA</v>
      </c>
      <c r="K202">
        <v>2254</v>
      </c>
      <c r="L202">
        <v>6212</v>
      </c>
      <c r="M202">
        <v>8466</v>
      </c>
      <c r="N202">
        <v>6350</v>
      </c>
      <c r="O202">
        <v>3</v>
      </c>
      <c r="P202" t="str">
        <f>("20")</f>
        <v>20</v>
      </c>
      <c r="Q202" t="str">
        <f>("DELESPAUL Anne")</f>
        <v>DELESPAUL Anne</v>
      </c>
      <c r="R202">
        <v>180</v>
      </c>
      <c r="S202" t="s">
        <v>44</v>
      </c>
      <c r="T202">
        <v>0</v>
      </c>
      <c r="V202">
        <v>18</v>
      </c>
      <c r="W202">
        <v>180</v>
      </c>
      <c r="X202">
        <v>0</v>
      </c>
    </row>
    <row r="203" spans="1:24" x14ac:dyDescent="0.35">
      <c r="A203" t="s">
        <v>8</v>
      </c>
      <c r="B203" t="s">
        <v>9</v>
      </c>
      <c r="C203" t="str">
        <f t="shared" si="20"/>
        <v>11102</v>
      </c>
      <c r="D203" t="s">
        <v>10</v>
      </c>
      <c r="E203" t="str">
        <f t="shared" si="21"/>
        <v>33</v>
      </c>
      <c r="F203">
        <v>109144</v>
      </c>
      <c r="G203">
        <v>94529</v>
      </c>
      <c r="H203">
        <v>3229</v>
      </c>
      <c r="I203" t="str">
        <f t="shared" si="18"/>
        <v>7</v>
      </c>
      <c r="J203" t="str">
        <f t="shared" si="19"/>
        <v>PVDA</v>
      </c>
      <c r="K203">
        <v>2254</v>
      </c>
      <c r="L203">
        <v>6212</v>
      </c>
      <c r="M203">
        <v>8466</v>
      </c>
      <c r="N203">
        <v>6350</v>
      </c>
      <c r="O203">
        <v>3</v>
      </c>
      <c r="P203" t="str">
        <f>("21")</f>
        <v>21</v>
      </c>
      <c r="Q203" t="str">
        <f>("DRESSELAERS Hans")</f>
        <v>DRESSELAERS Hans</v>
      </c>
      <c r="R203">
        <v>133</v>
      </c>
      <c r="S203" t="s">
        <v>44</v>
      </c>
      <c r="T203">
        <v>0</v>
      </c>
      <c r="V203">
        <v>28</v>
      </c>
      <c r="W203">
        <v>133</v>
      </c>
      <c r="X203">
        <v>0</v>
      </c>
    </row>
    <row r="204" spans="1:24" x14ac:dyDescent="0.35">
      <c r="A204" t="s">
        <v>8</v>
      </c>
      <c r="B204" t="s">
        <v>9</v>
      </c>
      <c r="C204" t="str">
        <f t="shared" si="20"/>
        <v>11102</v>
      </c>
      <c r="D204" t="s">
        <v>10</v>
      </c>
      <c r="E204" t="str">
        <f t="shared" si="21"/>
        <v>33</v>
      </c>
      <c r="F204">
        <v>109144</v>
      </c>
      <c r="G204">
        <v>94529</v>
      </c>
      <c r="H204">
        <v>3229</v>
      </c>
      <c r="I204" t="str">
        <f t="shared" si="18"/>
        <v>7</v>
      </c>
      <c r="J204" t="str">
        <f t="shared" si="19"/>
        <v>PVDA</v>
      </c>
      <c r="K204">
        <v>2254</v>
      </c>
      <c r="L204">
        <v>6212</v>
      </c>
      <c r="M204">
        <v>8466</v>
      </c>
      <c r="N204">
        <v>6350</v>
      </c>
      <c r="O204">
        <v>3</v>
      </c>
      <c r="P204" t="str">
        <f>("22")</f>
        <v>22</v>
      </c>
      <c r="Q204" t="str">
        <f>("VAN LOOY Ilona")</f>
        <v>VAN LOOY Ilona</v>
      </c>
      <c r="R204">
        <v>219</v>
      </c>
      <c r="S204" t="s">
        <v>44</v>
      </c>
      <c r="T204">
        <v>0</v>
      </c>
      <c r="V204">
        <v>11</v>
      </c>
      <c r="W204">
        <v>219</v>
      </c>
      <c r="X204">
        <v>0</v>
      </c>
    </row>
    <row r="205" spans="1:24" x14ac:dyDescent="0.35">
      <c r="A205" t="s">
        <v>8</v>
      </c>
      <c r="B205" t="s">
        <v>9</v>
      </c>
      <c r="C205" t="str">
        <f t="shared" si="20"/>
        <v>11102</v>
      </c>
      <c r="D205" t="s">
        <v>10</v>
      </c>
      <c r="E205" t="str">
        <f t="shared" si="21"/>
        <v>33</v>
      </c>
      <c r="F205">
        <v>109144</v>
      </c>
      <c r="G205">
        <v>94529</v>
      </c>
      <c r="H205">
        <v>3229</v>
      </c>
      <c r="I205" t="str">
        <f t="shared" si="18"/>
        <v>7</v>
      </c>
      <c r="J205" t="str">
        <f t="shared" si="19"/>
        <v>PVDA</v>
      </c>
      <c r="K205">
        <v>2254</v>
      </c>
      <c r="L205">
        <v>6212</v>
      </c>
      <c r="M205">
        <v>8466</v>
      </c>
      <c r="N205">
        <v>6350</v>
      </c>
      <c r="O205">
        <v>3</v>
      </c>
      <c r="P205" t="str">
        <f>("23")</f>
        <v>23</v>
      </c>
      <c r="Q205" t="str">
        <f>("VAN KERKVOORDE Bart")</f>
        <v>VAN KERKVOORDE Bart</v>
      </c>
      <c r="R205">
        <v>145</v>
      </c>
      <c r="S205" t="s">
        <v>44</v>
      </c>
      <c r="T205">
        <v>0</v>
      </c>
      <c r="V205">
        <v>24</v>
      </c>
      <c r="W205">
        <v>145</v>
      </c>
      <c r="X205">
        <v>0</v>
      </c>
    </row>
    <row r="206" spans="1:24" x14ac:dyDescent="0.35">
      <c r="A206" t="s">
        <v>8</v>
      </c>
      <c r="B206" t="s">
        <v>9</v>
      </c>
      <c r="C206" t="str">
        <f t="shared" si="20"/>
        <v>11102</v>
      </c>
      <c r="D206" t="s">
        <v>10</v>
      </c>
      <c r="E206" t="str">
        <f t="shared" si="21"/>
        <v>33</v>
      </c>
      <c r="F206">
        <v>109144</v>
      </c>
      <c r="G206">
        <v>94529</v>
      </c>
      <c r="H206">
        <v>3229</v>
      </c>
      <c r="I206" t="str">
        <f t="shared" si="18"/>
        <v>7</v>
      </c>
      <c r="J206" t="str">
        <f t="shared" si="19"/>
        <v>PVDA</v>
      </c>
      <c r="K206">
        <v>2254</v>
      </c>
      <c r="L206">
        <v>6212</v>
      </c>
      <c r="M206">
        <v>8466</v>
      </c>
      <c r="N206">
        <v>6350</v>
      </c>
      <c r="O206">
        <v>3</v>
      </c>
      <c r="P206" t="str">
        <f>("24")</f>
        <v>24</v>
      </c>
      <c r="Q206" t="str">
        <f>("BRACK Björn")</f>
        <v>BRACK Björn</v>
      </c>
      <c r="R206">
        <v>126</v>
      </c>
      <c r="S206" t="s">
        <v>44</v>
      </c>
      <c r="T206">
        <v>0</v>
      </c>
      <c r="V206">
        <v>30</v>
      </c>
      <c r="W206">
        <v>126</v>
      </c>
      <c r="X206">
        <v>0</v>
      </c>
    </row>
    <row r="207" spans="1:24" x14ac:dyDescent="0.35">
      <c r="A207" t="s">
        <v>8</v>
      </c>
      <c r="B207" t="s">
        <v>9</v>
      </c>
      <c r="C207" t="str">
        <f t="shared" si="20"/>
        <v>11102</v>
      </c>
      <c r="D207" t="s">
        <v>10</v>
      </c>
      <c r="E207" t="str">
        <f t="shared" si="21"/>
        <v>33</v>
      </c>
      <c r="F207">
        <v>109144</v>
      </c>
      <c r="G207">
        <v>94529</v>
      </c>
      <c r="H207">
        <v>3229</v>
      </c>
      <c r="I207" t="str">
        <f t="shared" si="18"/>
        <v>7</v>
      </c>
      <c r="J207" t="str">
        <f t="shared" si="19"/>
        <v>PVDA</v>
      </c>
      <c r="K207">
        <v>2254</v>
      </c>
      <c r="L207">
        <v>6212</v>
      </c>
      <c r="M207">
        <v>8466</v>
      </c>
      <c r="N207">
        <v>6350</v>
      </c>
      <c r="O207">
        <v>3</v>
      </c>
      <c r="P207" t="str">
        <f>("25")</f>
        <v>25</v>
      </c>
      <c r="Q207" t="str">
        <f>("DE VOS Stijn")</f>
        <v>DE VOS Stijn</v>
      </c>
      <c r="R207">
        <v>154</v>
      </c>
      <c r="S207" t="s">
        <v>44</v>
      </c>
      <c r="T207">
        <v>0</v>
      </c>
      <c r="V207">
        <v>22</v>
      </c>
      <c r="W207">
        <v>154</v>
      </c>
      <c r="X207">
        <v>0</v>
      </c>
    </row>
    <row r="208" spans="1:24" x14ac:dyDescent="0.35">
      <c r="A208" t="s">
        <v>8</v>
      </c>
      <c r="B208" t="s">
        <v>9</v>
      </c>
      <c r="C208" t="str">
        <f t="shared" si="20"/>
        <v>11102</v>
      </c>
      <c r="D208" t="s">
        <v>10</v>
      </c>
      <c r="E208" t="str">
        <f t="shared" si="21"/>
        <v>33</v>
      </c>
      <c r="F208">
        <v>109144</v>
      </c>
      <c r="G208">
        <v>94529</v>
      </c>
      <c r="H208">
        <v>3229</v>
      </c>
      <c r="I208" t="str">
        <f t="shared" si="18"/>
        <v>7</v>
      </c>
      <c r="J208" t="str">
        <f t="shared" si="19"/>
        <v>PVDA</v>
      </c>
      <c r="K208">
        <v>2254</v>
      </c>
      <c r="L208">
        <v>6212</v>
      </c>
      <c r="M208">
        <v>8466</v>
      </c>
      <c r="N208">
        <v>6350</v>
      </c>
      <c r="O208">
        <v>3</v>
      </c>
      <c r="P208" t="str">
        <f>("26")</f>
        <v>26</v>
      </c>
      <c r="Q208" t="str">
        <f>("LEMMENS Rita")</f>
        <v>LEMMENS Rita</v>
      </c>
      <c r="R208">
        <v>184</v>
      </c>
      <c r="S208" t="s">
        <v>44</v>
      </c>
      <c r="T208">
        <v>0</v>
      </c>
      <c r="V208">
        <v>16</v>
      </c>
      <c r="W208">
        <v>184</v>
      </c>
      <c r="X208">
        <v>0</v>
      </c>
    </row>
    <row r="209" spans="1:24" x14ac:dyDescent="0.35">
      <c r="A209" t="s">
        <v>8</v>
      </c>
      <c r="B209" t="s">
        <v>9</v>
      </c>
      <c r="C209" t="str">
        <f t="shared" si="20"/>
        <v>11102</v>
      </c>
      <c r="D209" t="s">
        <v>10</v>
      </c>
      <c r="E209" t="str">
        <f t="shared" si="21"/>
        <v>33</v>
      </c>
      <c r="F209">
        <v>109144</v>
      </c>
      <c r="G209">
        <v>94529</v>
      </c>
      <c r="H209">
        <v>3229</v>
      </c>
      <c r="I209" t="str">
        <f t="shared" si="18"/>
        <v>7</v>
      </c>
      <c r="J209" t="str">
        <f t="shared" si="19"/>
        <v>PVDA</v>
      </c>
      <c r="K209">
        <v>2254</v>
      </c>
      <c r="L209">
        <v>6212</v>
      </c>
      <c r="M209">
        <v>8466</v>
      </c>
      <c r="N209">
        <v>6350</v>
      </c>
      <c r="O209">
        <v>3</v>
      </c>
      <c r="P209" t="str">
        <f>("27")</f>
        <v>27</v>
      </c>
      <c r="Q209" t="str">
        <f>("HORIONS Rik")</f>
        <v>HORIONS Rik</v>
      </c>
      <c r="R209">
        <v>141</v>
      </c>
      <c r="S209" t="s">
        <v>44</v>
      </c>
      <c r="T209">
        <v>0</v>
      </c>
      <c r="V209">
        <v>27</v>
      </c>
      <c r="W209">
        <v>141</v>
      </c>
      <c r="X209">
        <v>0</v>
      </c>
    </row>
    <row r="210" spans="1:24" x14ac:dyDescent="0.35">
      <c r="A210" t="s">
        <v>8</v>
      </c>
      <c r="B210" t="s">
        <v>9</v>
      </c>
      <c r="C210" t="str">
        <f t="shared" si="20"/>
        <v>11102</v>
      </c>
      <c r="D210" t="s">
        <v>10</v>
      </c>
      <c r="E210" t="str">
        <f t="shared" si="21"/>
        <v>33</v>
      </c>
      <c r="F210">
        <v>109144</v>
      </c>
      <c r="G210">
        <v>94529</v>
      </c>
      <c r="H210">
        <v>3229</v>
      </c>
      <c r="I210" t="str">
        <f t="shared" si="18"/>
        <v>7</v>
      </c>
      <c r="J210" t="str">
        <f t="shared" si="19"/>
        <v>PVDA</v>
      </c>
      <c r="K210">
        <v>2254</v>
      </c>
      <c r="L210">
        <v>6212</v>
      </c>
      <c r="M210">
        <v>8466</v>
      </c>
      <c r="N210">
        <v>6350</v>
      </c>
      <c r="O210">
        <v>3</v>
      </c>
      <c r="P210" t="str">
        <f>("28")</f>
        <v>28</v>
      </c>
      <c r="Q210" t="str">
        <f>("NAERT Nicole")</f>
        <v>NAERT Nicole</v>
      </c>
      <c r="R210">
        <v>166</v>
      </c>
      <c r="S210" t="s">
        <v>44</v>
      </c>
      <c r="T210">
        <v>0</v>
      </c>
      <c r="V210">
        <v>19</v>
      </c>
      <c r="W210">
        <v>166</v>
      </c>
      <c r="X210">
        <v>0</v>
      </c>
    </row>
    <row r="211" spans="1:24" x14ac:dyDescent="0.35">
      <c r="A211" t="s">
        <v>8</v>
      </c>
      <c r="B211" t="s">
        <v>9</v>
      </c>
      <c r="C211" t="str">
        <f t="shared" si="20"/>
        <v>11102</v>
      </c>
      <c r="D211" t="s">
        <v>10</v>
      </c>
      <c r="E211" t="str">
        <f t="shared" si="21"/>
        <v>33</v>
      </c>
      <c r="F211">
        <v>109144</v>
      </c>
      <c r="G211">
        <v>94529</v>
      </c>
      <c r="H211">
        <v>3229</v>
      </c>
      <c r="I211" t="str">
        <f t="shared" si="18"/>
        <v>7</v>
      </c>
      <c r="J211" t="str">
        <f t="shared" si="19"/>
        <v>PVDA</v>
      </c>
      <c r="K211">
        <v>2254</v>
      </c>
      <c r="L211">
        <v>6212</v>
      </c>
      <c r="M211">
        <v>8466</v>
      </c>
      <c r="N211">
        <v>6350</v>
      </c>
      <c r="O211">
        <v>3</v>
      </c>
      <c r="P211" t="str">
        <f>("29")</f>
        <v>29</v>
      </c>
      <c r="Q211" t="str">
        <f>("HOUBEN Patrick")</f>
        <v>HOUBEN Patrick</v>
      </c>
      <c r="R211">
        <v>128</v>
      </c>
      <c r="S211" t="s">
        <v>44</v>
      </c>
      <c r="T211">
        <v>0</v>
      </c>
      <c r="V211">
        <v>29</v>
      </c>
      <c r="W211">
        <v>128</v>
      </c>
      <c r="X211">
        <v>0</v>
      </c>
    </row>
    <row r="212" spans="1:24" x14ac:dyDescent="0.35">
      <c r="A212" t="s">
        <v>8</v>
      </c>
      <c r="B212" t="s">
        <v>9</v>
      </c>
      <c r="C212" t="str">
        <f t="shared" si="20"/>
        <v>11102</v>
      </c>
      <c r="D212" t="s">
        <v>10</v>
      </c>
      <c r="E212" t="str">
        <f t="shared" si="21"/>
        <v>33</v>
      </c>
      <c r="F212">
        <v>109144</v>
      </c>
      <c r="G212">
        <v>94529</v>
      </c>
      <c r="H212">
        <v>3229</v>
      </c>
      <c r="I212" t="str">
        <f t="shared" si="18"/>
        <v>7</v>
      </c>
      <c r="J212" t="str">
        <f t="shared" si="19"/>
        <v>PVDA</v>
      </c>
      <c r="K212">
        <v>2254</v>
      </c>
      <c r="L212">
        <v>6212</v>
      </c>
      <c r="M212">
        <v>8466</v>
      </c>
      <c r="N212">
        <v>6350</v>
      </c>
      <c r="O212">
        <v>3</v>
      </c>
      <c r="P212" t="str">
        <f>("30")</f>
        <v>30</v>
      </c>
      <c r="Q212" t="str">
        <f>("PLETINCKX Vera")</f>
        <v>PLETINCKX Vera</v>
      </c>
      <c r="R212">
        <v>144</v>
      </c>
      <c r="S212" t="s">
        <v>44</v>
      </c>
      <c r="T212">
        <v>0</v>
      </c>
      <c r="V212">
        <v>25</v>
      </c>
      <c r="W212">
        <v>144</v>
      </c>
      <c r="X212">
        <v>0</v>
      </c>
    </row>
    <row r="213" spans="1:24" x14ac:dyDescent="0.35">
      <c r="A213" t="s">
        <v>8</v>
      </c>
      <c r="B213" t="s">
        <v>9</v>
      </c>
      <c r="C213" t="str">
        <f t="shared" si="20"/>
        <v>11102</v>
      </c>
      <c r="D213" t="s">
        <v>10</v>
      </c>
      <c r="E213" t="str">
        <f t="shared" si="21"/>
        <v>33</v>
      </c>
      <c r="F213">
        <v>109144</v>
      </c>
      <c r="G213">
        <v>94529</v>
      </c>
      <c r="H213">
        <v>3229</v>
      </c>
      <c r="I213" t="str">
        <f t="shared" si="18"/>
        <v>7</v>
      </c>
      <c r="J213" t="str">
        <f t="shared" si="19"/>
        <v>PVDA</v>
      </c>
      <c r="K213">
        <v>2254</v>
      </c>
      <c r="L213">
        <v>6212</v>
      </c>
      <c r="M213">
        <v>8466</v>
      </c>
      <c r="N213">
        <v>6350</v>
      </c>
      <c r="O213">
        <v>3</v>
      </c>
      <c r="P213" t="str">
        <f>("31")</f>
        <v>31</v>
      </c>
      <c r="Q213" t="str">
        <f>("HARDING Paul")</f>
        <v>HARDING Paul</v>
      </c>
      <c r="R213">
        <v>144</v>
      </c>
      <c r="S213" t="s">
        <v>44</v>
      </c>
      <c r="T213">
        <v>0</v>
      </c>
      <c r="V213">
        <v>26</v>
      </c>
      <c r="W213">
        <v>144</v>
      </c>
      <c r="X213">
        <v>0</v>
      </c>
    </row>
    <row r="214" spans="1:24" x14ac:dyDescent="0.35">
      <c r="A214" t="s">
        <v>8</v>
      </c>
      <c r="B214" t="s">
        <v>9</v>
      </c>
      <c r="C214" t="str">
        <f t="shared" si="20"/>
        <v>11102</v>
      </c>
      <c r="D214" t="s">
        <v>10</v>
      </c>
      <c r="E214" t="str">
        <f t="shared" si="21"/>
        <v>33</v>
      </c>
      <c r="F214">
        <v>109144</v>
      </c>
      <c r="G214">
        <v>94529</v>
      </c>
      <c r="H214">
        <v>3229</v>
      </c>
      <c r="I214" t="str">
        <f t="shared" si="18"/>
        <v>7</v>
      </c>
      <c r="J214" t="str">
        <f t="shared" si="19"/>
        <v>PVDA</v>
      </c>
      <c r="K214">
        <v>2254</v>
      </c>
      <c r="L214">
        <v>6212</v>
      </c>
      <c r="M214">
        <v>8466</v>
      </c>
      <c r="N214">
        <v>6350</v>
      </c>
      <c r="O214">
        <v>3</v>
      </c>
      <c r="P214" t="str">
        <f>("32")</f>
        <v>32</v>
      </c>
      <c r="Q214" t="str">
        <f>("HAAK Freja")</f>
        <v>HAAK Freja</v>
      </c>
      <c r="R214">
        <v>235</v>
      </c>
      <c r="S214" t="s">
        <v>44</v>
      </c>
      <c r="T214">
        <v>0</v>
      </c>
      <c r="V214">
        <v>10</v>
      </c>
      <c r="W214">
        <v>235</v>
      </c>
      <c r="X214">
        <v>0</v>
      </c>
    </row>
    <row r="215" spans="1:24" x14ac:dyDescent="0.35">
      <c r="A215" t="s">
        <v>8</v>
      </c>
      <c r="B215" t="s">
        <v>9</v>
      </c>
      <c r="C215" t="str">
        <f t="shared" si="20"/>
        <v>11102</v>
      </c>
      <c r="D215" t="s">
        <v>10</v>
      </c>
      <c r="E215" t="str">
        <f t="shared" si="21"/>
        <v>33</v>
      </c>
      <c r="F215">
        <v>109144</v>
      </c>
      <c r="G215">
        <v>94529</v>
      </c>
      <c r="H215">
        <v>3229</v>
      </c>
      <c r="I215" t="str">
        <f t="shared" si="18"/>
        <v>7</v>
      </c>
      <c r="J215" t="str">
        <f t="shared" si="19"/>
        <v>PVDA</v>
      </c>
      <c r="K215">
        <v>2254</v>
      </c>
      <c r="L215">
        <v>6212</v>
      </c>
      <c r="M215">
        <v>8466</v>
      </c>
      <c r="N215">
        <v>6350</v>
      </c>
      <c r="O215">
        <v>3</v>
      </c>
      <c r="P215" t="str">
        <f>("33")</f>
        <v>33</v>
      </c>
      <c r="Q215" t="str">
        <f>("MERTENS Peter")</f>
        <v>MERTENS Peter</v>
      </c>
      <c r="R215">
        <v>1468</v>
      </c>
      <c r="S215">
        <v>1468</v>
      </c>
      <c r="T215">
        <v>0</v>
      </c>
      <c r="U215">
        <v>2</v>
      </c>
    </row>
    <row r="216" spans="1:24" x14ac:dyDescent="0.35">
      <c r="A216" t="s">
        <v>8</v>
      </c>
      <c r="B216" t="s">
        <v>9</v>
      </c>
      <c r="C216" t="str">
        <f t="shared" si="20"/>
        <v>11102</v>
      </c>
      <c r="D216" t="s">
        <v>10</v>
      </c>
      <c r="E216" t="str">
        <f t="shared" si="21"/>
        <v>33</v>
      </c>
      <c r="F216">
        <v>109144</v>
      </c>
      <c r="G216">
        <v>94529</v>
      </c>
      <c r="H216">
        <v>3229</v>
      </c>
      <c r="I216" t="str">
        <f t="shared" ref="I216:I222" si="22">("8")</f>
        <v>8</v>
      </c>
      <c r="J216" t="str">
        <f t="shared" ref="J216:J222" si="23">("PIRATENPARTIJ")</f>
        <v>PIRATENPARTIJ</v>
      </c>
      <c r="K216">
        <v>196</v>
      </c>
      <c r="L216">
        <v>502</v>
      </c>
      <c r="M216">
        <v>698</v>
      </c>
      <c r="O216">
        <v>0</v>
      </c>
      <c r="P216" t="str">
        <f>("1")</f>
        <v>1</v>
      </c>
      <c r="Q216" t="str">
        <f>("COP Christophe")</f>
        <v>COP Christophe</v>
      </c>
      <c r="R216">
        <v>172</v>
      </c>
      <c r="S216" t="s">
        <v>44</v>
      </c>
    </row>
    <row r="217" spans="1:24" x14ac:dyDescent="0.35">
      <c r="A217" t="s">
        <v>8</v>
      </c>
      <c r="B217" t="s">
        <v>9</v>
      </c>
      <c r="C217" t="str">
        <f t="shared" si="20"/>
        <v>11102</v>
      </c>
      <c r="D217" t="s">
        <v>10</v>
      </c>
      <c r="E217" t="str">
        <f t="shared" si="21"/>
        <v>33</v>
      </c>
      <c r="F217">
        <v>109144</v>
      </c>
      <c r="G217">
        <v>94529</v>
      </c>
      <c r="H217">
        <v>3229</v>
      </c>
      <c r="I217" t="str">
        <f t="shared" si="22"/>
        <v>8</v>
      </c>
      <c r="J217" t="str">
        <f t="shared" si="23"/>
        <v>PIRATENPARTIJ</v>
      </c>
      <c r="K217">
        <v>196</v>
      </c>
      <c r="L217">
        <v>502</v>
      </c>
      <c r="M217">
        <v>698</v>
      </c>
      <c r="O217">
        <v>0</v>
      </c>
      <c r="P217" t="str">
        <f>("2")</f>
        <v>2</v>
      </c>
      <c r="Q217" t="str">
        <f>("AL SAADI Olja")</f>
        <v>AL SAADI Olja</v>
      </c>
      <c r="R217">
        <v>95</v>
      </c>
      <c r="S217" t="s">
        <v>44</v>
      </c>
    </row>
    <row r="218" spans="1:24" x14ac:dyDescent="0.35">
      <c r="A218" t="s">
        <v>8</v>
      </c>
      <c r="B218" t="s">
        <v>9</v>
      </c>
      <c r="C218" t="str">
        <f t="shared" si="20"/>
        <v>11102</v>
      </c>
      <c r="D218" t="s">
        <v>10</v>
      </c>
      <c r="E218" t="str">
        <f t="shared" si="21"/>
        <v>33</v>
      </c>
      <c r="F218">
        <v>109144</v>
      </c>
      <c r="G218">
        <v>94529</v>
      </c>
      <c r="H218">
        <v>3229</v>
      </c>
      <c r="I218" t="str">
        <f t="shared" si="22"/>
        <v>8</v>
      </c>
      <c r="J218" t="str">
        <f t="shared" si="23"/>
        <v>PIRATENPARTIJ</v>
      </c>
      <c r="K218">
        <v>196</v>
      </c>
      <c r="L218">
        <v>502</v>
      </c>
      <c r="M218">
        <v>698</v>
      </c>
      <c r="O218">
        <v>0</v>
      </c>
      <c r="P218" t="str">
        <f>("3")</f>
        <v>3</v>
      </c>
      <c r="Q218" t="str">
        <f>("GOVERS Arthur")</f>
        <v>GOVERS Arthur</v>
      </c>
      <c r="R218">
        <v>47</v>
      </c>
      <c r="S218" t="s">
        <v>44</v>
      </c>
    </row>
    <row r="219" spans="1:24" x14ac:dyDescent="0.35">
      <c r="A219" t="s">
        <v>8</v>
      </c>
      <c r="B219" t="s">
        <v>9</v>
      </c>
      <c r="C219" t="str">
        <f t="shared" si="20"/>
        <v>11102</v>
      </c>
      <c r="D219" t="s">
        <v>10</v>
      </c>
      <c r="E219" t="str">
        <f t="shared" si="21"/>
        <v>33</v>
      </c>
      <c r="F219">
        <v>109144</v>
      </c>
      <c r="G219">
        <v>94529</v>
      </c>
      <c r="H219">
        <v>3229</v>
      </c>
      <c r="I219" t="str">
        <f t="shared" si="22"/>
        <v>8</v>
      </c>
      <c r="J219" t="str">
        <f t="shared" si="23"/>
        <v>PIRATENPARTIJ</v>
      </c>
      <c r="K219">
        <v>196</v>
      </c>
      <c r="L219">
        <v>502</v>
      </c>
      <c r="M219">
        <v>698</v>
      </c>
      <c r="O219">
        <v>0</v>
      </c>
      <c r="P219" t="str">
        <f>("4")</f>
        <v>4</v>
      </c>
      <c r="Q219" t="str">
        <f>("JANSSENS Tiny")</f>
        <v>JANSSENS Tiny</v>
      </c>
      <c r="R219">
        <v>112</v>
      </c>
      <c r="S219" t="s">
        <v>44</v>
      </c>
    </row>
    <row r="220" spans="1:24" x14ac:dyDescent="0.35">
      <c r="A220" t="s">
        <v>8</v>
      </c>
      <c r="B220" t="s">
        <v>9</v>
      </c>
      <c r="C220" t="str">
        <f t="shared" si="20"/>
        <v>11102</v>
      </c>
      <c r="D220" t="s">
        <v>10</v>
      </c>
      <c r="E220" t="str">
        <f t="shared" si="21"/>
        <v>33</v>
      </c>
      <c r="F220">
        <v>109144</v>
      </c>
      <c r="G220">
        <v>94529</v>
      </c>
      <c r="H220">
        <v>3229</v>
      </c>
      <c r="I220" t="str">
        <f t="shared" si="22"/>
        <v>8</v>
      </c>
      <c r="J220" t="str">
        <f t="shared" si="23"/>
        <v>PIRATENPARTIJ</v>
      </c>
      <c r="K220">
        <v>196</v>
      </c>
      <c r="L220">
        <v>502</v>
      </c>
      <c r="M220">
        <v>698</v>
      </c>
      <c r="O220">
        <v>0</v>
      </c>
      <c r="P220" t="str">
        <f>("5")</f>
        <v>5</v>
      </c>
      <c r="Q220" t="str">
        <f>("MEEUSEN Lander")</f>
        <v>MEEUSEN Lander</v>
      </c>
      <c r="R220">
        <v>40</v>
      </c>
      <c r="S220" t="s">
        <v>44</v>
      </c>
    </row>
    <row r="221" spans="1:24" x14ac:dyDescent="0.35">
      <c r="A221" t="s">
        <v>8</v>
      </c>
      <c r="B221" t="s">
        <v>9</v>
      </c>
      <c r="C221" t="str">
        <f t="shared" si="20"/>
        <v>11102</v>
      </c>
      <c r="D221" t="s">
        <v>10</v>
      </c>
      <c r="E221" t="str">
        <f t="shared" si="21"/>
        <v>33</v>
      </c>
      <c r="F221">
        <v>109144</v>
      </c>
      <c r="G221">
        <v>94529</v>
      </c>
      <c r="H221">
        <v>3229</v>
      </c>
      <c r="I221" t="str">
        <f t="shared" si="22"/>
        <v>8</v>
      </c>
      <c r="J221" t="str">
        <f t="shared" si="23"/>
        <v>PIRATENPARTIJ</v>
      </c>
      <c r="K221">
        <v>196</v>
      </c>
      <c r="L221">
        <v>502</v>
      </c>
      <c r="M221">
        <v>698</v>
      </c>
      <c r="O221">
        <v>0</v>
      </c>
      <c r="P221" t="str">
        <f>("6")</f>
        <v>6</v>
      </c>
      <c r="Q221" t="str">
        <f>("MOERLOOS Laura")</f>
        <v>MOERLOOS Laura</v>
      </c>
      <c r="R221">
        <v>100</v>
      </c>
      <c r="S221" t="s">
        <v>44</v>
      </c>
    </row>
    <row r="222" spans="1:24" x14ac:dyDescent="0.35">
      <c r="A222" t="s">
        <v>8</v>
      </c>
      <c r="B222" t="s">
        <v>9</v>
      </c>
      <c r="C222" t="str">
        <f t="shared" si="20"/>
        <v>11102</v>
      </c>
      <c r="D222" t="s">
        <v>10</v>
      </c>
      <c r="E222" t="str">
        <f t="shared" si="21"/>
        <v>33</v>
      </c>
      <c r="F222">
        <v>109144</v>
      </c>
      <c r="G222">
        <v>94529</v>
      </c>
      <c r="H222">
        <v>3229</v>
      </c>
      <c r="I222" t="str">
        <f t="shared" si="22"/>
        <v>8</v>
      </c>
      <c r="J222" t="str">
        <f t="shared" si="23"/>
        <v>PIRATENPARTIJ</v>
      </c>
      <c r="K222">
        <v>196</v>
      </c>
      <c r="L222">
        <v>502</v>
      </c>
      <c r="M222">
        <v>698</v>
      </c>
      <c r="O222">
        <v>0</v>
      </c>
      <c r="P222" t="str">
        <f>("7")</f>
        <v>7</v>
      </c>
      <c r="Q222" t="str">
        <f>("DEBUSSCHER Jelle")</f>
        <v>DEBUSSCHER Jelle</v>
      </c>
      <c r="R222">
        <v>65</v>
      </c>
      <c r="S222" t="s">
        <v>44</v>
      </c>
    </row>
    <row r="223" spans="1:24" x14ac:dyDescent="0.35">
      <c r="A223" t="s">
        <v>8</v>
      </c>
      <c r="B223" t="s">
        <v>9</v>
      </c>
      <c r="C223" t="str">
        <f t="shared" si="20"/>
        <v>11102</v>
      </c>
      <c r="D223" t="s">
        <v>10</v>
      </c>
      <c r="E223" t="str">
        <f t="shared" si="21"/>
        <v>33</v>
      </c>
      <c r="F223">
        <v>109144</v>
      </c>
      <c r="G223">
        <v>94529</v>
      </c>
      <c r="H223">
        <v>3229</v>
      </c>
      <c r="I223" t="str">
        <f t="shared" ref="I223:I237" si="24">("9")</f>
        <v>9</v>
      </c>
      <c r="J223" t="str">
        <f t="shared" ref="J223:J237" si="25">("D-SA")</f>
        <v>D-SA</v>
      </c>
      <c r="K223">
        <v>259</v>
      </c>
      <c r="L223">
        <v>2182</v>
      </c>
      <c r="M223">
        <v>2441</v>
      </c>
      <c r="N223">
        <v>1221</v>
      </c>
      <c r="O223">
        <v>1</v>
      </c>
      <c r="P223" t="str">
        <f>("1")</f>
        <v>1</v>
      </c>
      <c r="Q223" t="str">
        <f>("RAMACHI Morad")</f>
        <v>RAMACHI Morad</v>
      </c>
      <c r="R223">
        <v>711</v>
      </c>
      <c r="S223">
        <v>798</v>
      </c>
      <c r="T223">
        <v>0</v>
      </c>
      <c r="U223">
        <v>1</v>
      </c>
    </row>
    <row r="224" spans="1:24" x14ac:dyDescent="0.35">
      <c r="A224" t="s">
        <v>8</v>
      </c>
      <c r="B224" t="s">
        <v>9</v>
      </c>
      <c r="C224" t="str">
        <f t="shared" si="20"/>
        <v>11102</v>
      </c>
      <c r="D224" t="s">
        <v>10</v>
      </c>
      <c r="E224" t="str">
        <f t="shared" si="21"/>
        <v>33</v>
      </c>
      <c r="F224">
        <v>109144</v>
      </c>
      <c r="G224">
        <v>94529</v>
      </c>
      <c r="H224">
        <v>3229</v>
      </c>
      <c r="I224" t="str">
        <f t="shared" si="24"/>
        <v>9</v>
      </c>
      <c r="J224" t="str">
        <f t="shared" si="25"/>
        <v>D-SA</v>
      </c>
      <c r="K224">
        <v>259</v>
      </c>
      <c r="L224">
        <v>2182</v>
      </c>
      <c r="M224">
        <v>2441</v>
      </c>
      <c r="N224">
        <v>1221</v>
      </c>
      <c r="O224">
        <v>1</v>
      </c>
      <c r="P224" t="str">
        <f>("2")</f>
        <v>2</v>
      </c>
      <c r="Q224" t="str">
        <f>("AMDOUNI Manel")</f>
        <v>AMDOUNI Manel</v>
      </c>
      <c r="R224">
        <v>145</v>
      </c>
      <c r="S224" t="s">
        <v>44</v>
      </c>
      <c r="T224">
        <v>0</v>
      </c>
      <c r="V224">
        <v>5</v>
      </c>
      <c r="W224">
        <v>232</v>
      </c>
      <c r="X224">
        <v>0</v>
      </c>
    </row>
    <row r="225" spans="1:24" x14ac:dyDescent="0.35">
      <c r="A225" t="s">
        <v>8</v>
      </c>
      <c r="B225" t="s">
        <v>9</v>
      </c>
      <c r="C225" t="str">
        <f t="shared" si="20"/>
        <v>11102</v>
      </c>
      <c r="D225" t="s">
        <v>10</v>
      </c>
      <c r="E225" t="str">
        <f t="shared" si="21"/>
        <v>33</v>
      </c>
      <c r="F225">
        <v>109144</v>
      </c>
      <c r="G225">
        <v>94529</v>
      </c>
      <c r="H225">
        <v>3229</v>
      </c>
      <c r="I225" t="str">
        <f t="shared" si="24"/>
        <v>9</v>
      </c>
      <c r="J225" t="str">
        <f t="shared" si="25"/>
        <v>D-SA</v>
      </c>
      <c r="K225">
        <v>259</v>
      </c>
      <c r="L225">
        <v>2182</v>
      </c>
      <c r="M225">
        <v>2441</v>
      </c>
      <c r="N225">
        <v>1221</v>
      </c>
      <c r="O225">
        <v>1</v>
      </c>
      <c r="P225" t="str">
        <f>("3")</f>
        <v>3</v>
      </c>
      <c r="Q225" t="str">
        <f>("TAIF Samir")</f>
        <v>TAIF Samir</v>
      </c>
      <c r="R225">
        <v>222</v>
      </c>
      <c r="S225" t="s">
        <v>44</v>
      </c>
      <c r="T225">
        <v>0</v>
      </c>
      <c r="V225">
        <v>7</v>
      </c>
      <c r="W225">
        <v>222</v>
      </c>
      <c r="X225">
        <v>0</v>
      </c>
    </row>
    <row r="226" spans="1:24" x14ac:dyDescent="0.35">
      <c r="A226" t="s">
        <v>8</v>
      </c>
      <c r="B226" t="s">
        <v>9</v>
      </c>
      <c r="C226" t="str">
        <f t="shared" si="20"/>
        <v>11102</v>
      </c>
      <c r="D226" t="s">
        <v>10</v>
      </c>
      <c r="E226" t="str">
        <f t="shared" si="21"/>
        <v>33</v>
      </c>
      <c r="F226">
        <v>109144</v>
      </c>
      <c r="G226">
        <v>94529</v>
      </c>
      <c r="H226">
        <v>3229</v>
      </c>
      <c r="I226" t="str">
        <f t="shared" si="24"/>
        <v>9</v>
      </c>
      <c r="J226" t="str">
        <f t="shared" si="25"/>
        <v>D-SA</v>
      </c>
      <c r="K226">
        <v>259</v>
      </c>
      <c r="L226">
        <v>2182</v>
      </c>
      <c r="M226">
        <v>2441</v>
      </c>
      <c r="N226">
        <v>1221</v>
      </c>
      <c r="O226">
        <v>1</v>
      </c>
      <c r="P226" t="str">
        <f>("4")</f>
        <v>4</v>
      </c>
      <c r="Q226" t="str">
        <f>("YARDIMSEVER Selma")</f>
        <v>YARDIMSEVER Selma</v>
      </c>
      <c r="R226">
        <v>447</v>
      </c>
      <c r="S226" t="s">
        <v>44</v>
      </c>
      <c r="T226">
        <v>0</v>
      </c>
      <c r="V226">
        <v>1</v>
      </c>
      <c r="W226">
        <v>534</v>
      </c>
      <c r="X226">
        <v>0</v>
      </c>
    </row>
    <row r="227" spans="1:24" x14ac:dyDescent="0.35">
      <c r="A227" t="s">
        <v>8</v>
      </c>
      <c r="B227" t="s">
        <v>9</v>
      </c>
      <c r="C227" t="str">
        <f t="shared" si="20"/>
        <v>11102</v>
      </c>
      <c r="D227" t="s">
        <v>10</v>
      </c>
      <c r="E227" t="str">
        <f t="shared" si="21"/>
        <v>33</v>
      </c>
      <c r="F227">
        <v>109144</v>
      </c>
      <c r="G227">
        <v>94529</v>
      </c>
      <c r="H227">
        <v>3229</v>
      </c>
      <c r="I227" t="str">
        <f t="shared" si="24"/>
        <v>9</v>
      </c>
      <c r="J227" t="str">
        <f t="shared" si="25"/>
        <v>D-SA</v>
      </c>
      <c r="K227">
        <v>259</v>
      </c>
      <c r="L227">
        <v>2182</v>
      </c>
      <c r="M227">
        <v>2441</v>
      </c>
      <c r="N227">
        <v>1221</v>
      </c>
      <c r="O227">
        <v>1</v>
      </c>
      <c r="P227" t="str">
        <f>("5")</f>
        <v>5</v>
      </c>
      <c r="Q227" t="str">
        <f>("LAMBRECHTS Stefan")</f>
        <v>LAMBRECHTS Stefan</v>
      </c>
      <c r="R227">
        <v>95</v>
      </c>
      <c r="S227" t="s">
        <v>44</v>
      </c>
      <c r="T227">
        <v>0</v>
      </c>
      <c r="V227">
        <v>13</v>
      </c>
      <c r="W227">
        <v>95</v>
      </c>
      <c r="X227">
        <v>0</v>
      </c>
    </row>
    <row r="228" spans="1:24" x14ac:dyDescent="0.35">
      <c r="A228" t="s">
        <v>8</v>
      </c>
      <c r="B228" t="s">
        <v>9</v>
      </c>
      <c r="C228" t="str">
        <f t="shared" si="20"/>
        <v>11102</v>
      </c>
      <c r="D228" t="s">
        <v>10</v>
      </c>
      <c r="E228" t="str">
        <f t="shared" si="21"/>
        <v>33</v>
      </c>
      <c r="F228">
        <v>109144</v>
      </c>
      <c r="G228">
        <v>94529</v>
      </c>
      <c r="H228">
        <v>3229</v>
      </c>
      <c r="I228" t="str">
        <f t="shared" si="24"/>
        <v>9</v>
      </c>
      <c r="J228" t="str">
        <f t="shared" si="25"/>
        <v>D-SA</v>
      </c>
      <c r="K228">
        <v>259</v>
      </c>
      <c r="L228">
        <v>2182</v>
      </c>
      <c r="M228">
        <v>2441</v>
      </c>
      <c r="N228">
        <v>1221</v>
      </c>
      <c r="O228">
        <v>1</v>
      </c>
      <c r="P228" t="str">
        <f>("6")</f>
        <v>6</v>
      </c>
      <c r="Q228" t="str">
        <f>("ZOUGGARHI Leila")</f>
        <v>ZOUGGARHI Leila</v>
      </c>
      <c r="R228">
        <v>125</v>
      </c>
      <c r="S228" t="s">
        <v>44</v>
      </c>
      <c r="T228">
        <v>0</v>
      </c>
      <c r="V228">
        <v>11</v>
      </c>
      <c r="W228">
        <v>125</v>
      </c>
      <c r="X228">
        <v>0</v>
      </c>
    </row>
    <row r="229" spans="1:24" x14ac:dyDescent="0.35">
      <c r="A229" t="s">
        <v>8</v>
      </c>
      <c r="B229" t="s">
        <v>9</v>
      </c>
      <c r="C229" t="str">
        <f t="shared" si="20"/>
        <v>11102</v>
      </c>
      <c r="D229" t="s">
        <v>10</v>
      </c>
      <c r="E229" t="str">
        <f t="shared" si="21"/>
        <v>33</v>
      </c>
      <c r="F229">
        <v>109144</v>
      </c>
      <c r="G229">
        <v>94529</v>
      </c>
      <c r="H229">
        <v>3229</v>
      </c>
      <c r="I229" t="str">
        <f t="shared" si="24"/>
        <v>9</v>
      </c>
      <c r="J229" t="str">
        <f t="shared" si="25"/>
        <v>D-SA</v>
      </c>
      <c r="K229">
        <v>259</v>
      </c>
      <c r="L229">
        <v>2182</v>
      </c>
      <c r="M229">
        <v>2441</v>
      </c>
      <c r="N229">
        <v>1221</v>
      </c>
      <c r="O229">
        <v>1</v>
      </c>
      <c r="P229" t="str">
        <f>("7")</f>
        <v>7</v>
      </c>
      <c r="Q229" t="str">
        <f>("MUHAMMAD Zeeshan Arif")</f>
        <v>MUHAMMAD Zeeshan Arif</v>
      </c>
      <c r="R229">
        <v>269</v>
      </c>
      <c r="S229" t="s">
        <v>44</v>
      </c>
      <c r="T229">
        <v>0</v>
      </c>
      <c r="V229">
        <v>2</v>
      </c>
      <c r="W229">
        <v>269</v>
      </c>
      <c r="X229">
        <v>0</v>
      </c>
    </row>
    <row r="230" spans="1:24" x14ac:dyDescent="0.35">
      <c r="A230" t="s">
        <v>8</v>
      </c>
      <c r="B230" t="s">
        <v>9</v>
      </c>
      <c r="C230" t="str">
        <f t="shared" si="20"/>
        <v>11102</v>
      </c>
      <c r="D230" t="s">
        <v>10</v>
      </c>
      <c r="E230" t="str">
        <f t="shared" si="21"/>
        <v>33</v>
      </c>
      <c r="F230">
        <v>109144</v>
      </c>
      <c r="G230">
        <v>94529</v>
      </c>
      <c r="H230">
        <v>3229</v>
      </c>
      <c r="I230" t="str">
        <f t="shared" si="24"/>
        <v>9</v>
      </c>
      <c r="J230" t="str">
        <f t="shared" si="25"/>
        <v>D-SA</v>
      </c>
      <c r="K230">
        <v>259</v>
      </c>
      <c r="L230">
        <v>2182</v>
      </c>
      <c r="M230">
        <v>2441</v>
      </c>
      <c r="N230">
        <v>1221</v>
      </c>
      <c r="O230">
        <v>1</v>
      </c>
      <c r="P230" t="str">
        <f>("8")</f>
        <v>8</v>
      </c>
      <c r="Q230" t="str">
        <f>("TARAK Havva")</f>
        <v>TARAK Havva</v>
      </c>
      <c r="R230">
        <v>252</v>
      </c>
      <c r="S230" t="s">
        <v>44</v>
      </c>
      <c r="T230">
        <v>0</v>
      </c>
      <c r="V230">
        <v>4</v>
      </c>
      <c r="W230">
        <v>252</v>
      </c>
      <c r="X230">
        <v>0</v>
      </c>
    </row>
    <row r="231" spans="1:24" x14ac:dyDescent="0.35">
      <c r="A231" t="s">
        <v>8</v>
      </c>
      <c r="B231" t="s">
        <v>9</v>
      </c>
      <c r="C231" t="str">
        <f t="shared" si="20"/>
        <v>11102</v>
      </c>
      <c r="D231" t="s">
        <v>10</v>
      </c>
      <c r="E231" t="str">
        <f t="shared" si="21"/>
        <v>33</v>
      </c>
      <c r="F231">
        <v>109144</v>
      </c>
      <c r="G231">
        <v>94529</v>
      </c>
      <c r="H231">
        <v>3229</v>
      </c>
      <c r="I231" t="str">
        <f t="shared" si="24"/>
        <v>9</v>
      </c>
      <c r="J231" t="str">
        <f t="shared" si="25"/>
        <v>D-SA</v>
      </c>
      <c r="K231">
        <v>259</v>
      </c>
      <c r="L231">
        <v>2182</v>
      </c>
      <c r="M231">
        <v>2441</v>
      </c>
      <c r="N231">
        <v>1221</v>
      </c>
      <c r="O231">
        <v>1</v>
      </c>
      <c r="P231" t="str">
        <f>("9")</f>
        <v>9</v>
      </c>
      <c r="Q231" t="str">
        <f>("SEFIANI Mohammed")</f>
        <v>SEFIANI Mohammed</v>
      </c>
      <c r="R231">
        <v>170</v>
      </c>
      <c r="S231" t="s">
        <v>44</v>
      </c>
      <c r="T231">
        <v>0</v>
      </c>
      <c r="V231">
        <v>10</v>
      </c>
      <c r="W231">
        <v>170</v>
      </c>
      <c r="X231">
        <v>0</v>
      </c>
    </row>
    <row r="232" spans="1:24" x14ac:dyDescent="0.35">
      <c r="A232" t="s">
        <v>8</v>
      </c>
      <c r="B232" t="s">
        <v>9</v>
      </c>
      <c r="C232" t="str">
        <f t="shared" si="20"/>
        <v>11102</v>
      </c>
      <c r="D232" t="s">
        <v>10</v>
      </c>
      <c r="E232" t="str">
        <f t="shared" si="21"/>
        <v>33</v>
      </c>
      <c r="F232">
        <v>109144</v>
      </c>
      <c r="G232">
        <v>94529</v>
      </c>
      <c r="H232">
        <v>3229</v>
      </c>
      <c r="I232" t="str">
        <f t="shared" si="24"/>
        <v>9</v>
      </c>
      <c r="J232" t="str">
        <f t="shared" si="25"/>
        <v>D-SA</v>
      </c>
      <c r="K232">
        <v>259</v>
      </c>
      <c r="L232">
        <v>2182</v>
      </c>
      <c r="M232">
        <v>2441</v>
      </c>
      <c r="N232">
        <v>1221</v>
      </c>
      <c r="O232">
        <v>1</v>
      </c>
      <c r="P232" t="str">
        <f>("10")</f>
        <v>10</v>
      </c>
      <c r="Q232" t="str">
        <f>("ECH CHADILY Fadma")</f>
        <v>ECH CHADILY Fadma</v>
      </c>
      <c r="R232">
        <v>76</v>
      </c>
      <c r="S232" t="s">
        <v>44</v>
      </c>
      <c r="T232">
        <v>0</v>
      </c>
      <c r="V232">
        <v>14</v>
      </c>
      <c r="W232">
        <v>76</v>
      </c>
      <c r="X232">
        <v>0</v>
      </c>
    </row>
    <row r="233" spans="1:24" x14ac:dyDescent="0.35">
      <c r="A233" t="s">
        <v>8</v>
      </c>
      <c r="B233" t="s">
        <v>9</v>
      </c>
      <c r="C233" t="str">
        <f t="shared" si="20"/>
        <v>11102</v>
      </c>
      <c r="D233" t="s">
        <v>10</v>
      </c>
      <c r="E233" t="str">
        <f t="shared" si="21"/>
        <v>33</v>
      </c>
      <c r="F233">
        <v>109144</v>
      </c>
      <c r="G233">
        <v>94529</v>
      </c>
      <c r="H233">
        <v>3229</v>
      </c>
      <c r="I233" t="str">
        <f t="shared" si="24"/>
        <v>9</v>
      </c>
      <c r="J233" t="str">
        <f t="shared" si="25"/>
        <v>D-SA</v>
      </c>
      <c r="K233">
        <v>259</v>
      </c>
      <c r="L233">
        <v>2182</v>
      </c>
      <c r="M233">
        <v>2441</v>
      </c>
      <c r="N233">
        <v>1221</v>
      </c>
      <c r="O233">
        <v>1</v>
      </c>
      <c r="P233" t="str">
        <f>("11")</f>
        <v>11</v>
      </c>
      <c r="Q233" t="str">
        <f>("SAYAR Sezer")</f>
        <v>SAYAR Sezer</v>
      </c>
      <c r="R233">
        <v>179</v>
      </c>
      <c r="S233" t="s">
        <v>44</v>
      </c>
      <c r="T233">
        <v>0</v>
      </c>
      <c r="V233">
        <v>8</v>
      </c>
      <c r="W233">
        <v>179</v>
      </c>
      <c r="X233">
        <v>0</v>
      </c>
    </row>
    <row r="234" spans="1:24" x14ac:dyDescent="0.35">
      <c r="A234" t="s">
        <v>8</v>
      </c>
      <c r="B234" t="s">
        <v>9</v>
      </c>
      <c r="C234" t="str">
        <f t="shared" si="20"/>
        <v>11102</v>
      </c>
      <c r="D234" t="s">
        <v>10</v>
      </c>
      <c r="E234" t="str">
        <f t="shared" si="21"/>
        <v>33</v>
      </c>
      <c r="F234">
        <v>109144</v>
      </c>
      <c r="G234">
        <v>94529</v>
      </c>
      <c r="H234">
        <v>3229</v>
      </c>
      <c r="I234" t="str">
        <f t="shared" si="24"/>
        <v>9</v>
      </c>
      <c r="J234" t="str">
        <f t="shared" si="25"/>
        <v>D-SA</v>
      </c>
      <c r="K234">
        <v>259</v>
      </c>
      <c r="L234">
        <v>2182</v>
      </c>
      <c r="M234">
        <v>2441</v>
      </c>
      <c r="N234">
        <v>1221</v>
      </c>
      <c r="O234">
        <v>1</v>
      </c>
      <c r="P234" t="str">
        <f>("12")</f>
        <v>12</v>
      </c>
      <c r="Q234" t="str">
        <f>("AYA Zahra")</f>
        <v>AYA Zahra</v>
      </c>
      <c r="R234">
        <v>118</v>
      </c>
      <c r="S234" t="s">
        <v>44</v>
      </c>
      <c r="T234">
        <v>0</v>
      </c>
      <c r="V234">
        <v>12</v>
      </c>
      <c r="W234">
        <v>118</v>
      </c>
      <c r="X234">
        <v>0</v>
      </c>
    </row>
    <row r="235" spans="1:24" x14ac:dyDescent="0.35">
      <c r="A235" t="s">
        <v>8</v>
      </c>
      <c r="B235" t="s">
        <v>9</v>
      </c>
      <c r="C235" t="str">
        <f t="shared" si="20"/>
        <v>11102</v>
      </c>
      <c r="D235" t="s">
        <v>10</v>
      </c>
      <c r="E235" t="str">
        <f t="shared" si="21"/>
        <v>33</v>
      </c>
      <c r="F235">
        <v>109144</v>
      </c>
      <c r="G235">
        <v>94529</v>
      </c>
      <c r="H235">
        <v>3229</v>
      </c>
      <c r="I235" t="str">
        <f t="shared" si="24"/>
        <v>9</v>
      </c>
      <c r="J235" t="str">
        <f t="shared" si="25"/>
        <v>D-SA</v>
      </c>
      <c r="K235">
        <v>259</v>
      </c>
      <c r="L235">
        <v>2182</v>
      </c>
      <c r="M235">
        <v>2441</v>
      </c>
      <c r="N235">
        <v>1221</v>
      </c>
      <c r="O235">
        <v>1</v>
      </c>
      <c r="P235" t="str">
        <f>("13")</f>
        <v>13</v>
      </c>
      <c r="Q235" t="str">
        <f>("MALIK Haroon Ahmed")</f>
        <v>MALIK Haroon Ahmed</v>
      </c>
      <c r="R235">
        <v>173</v>
      </c>
      <c r="S235" t="s">
        <v>44</v>
      </c>
      <c r="T235">
        <v>0</v>
      </c>
      <c r="V235">
        <v>9</v>
      </c>
      <c r="W235">
        <v>173</v>
      </c>
      <c r="X235">
        <v>0</v>
      </c>
    </row>
    <row r="236" spans="1:24" x14ac:dyDescent="0.35">
      <c r="A236" t="s">
        <v>8</v>
      </c>
      <c r="B236" t="s">
        <v>9</v>
      </c>
      <c r="C236" t="str">
        <f t="shared" si="20"/>
        <v>11102</v>
      </c>
      <c r="D236" t="s">
        <v>10</v>
      </c>
      <c r="E236" t="str">
        <f t="shared" si="21"/>
        <v>33</v>
      </c>
      <c r="F236">
        <v>109144</v>
      </c>
      <c r="G236">
        <v>94529</v>
      </c>
      <c r="H236">
        <v>3229</v>
      </c>
      <c r="I236" t="str">
        <f t="shared" si="24"/>
        <v>9</v>
      </c>
      <c r="J236" t="str">
        <f t="shared" si="25"/>
        <v>D-SA</v>
      </c>
      <c r="K236">
        <v>259</v>
      </c>
      <c r="L236">
        <v>2182</v>
      </c>
      <c r="M236">
        <v>2441</v>
      </c>
      <c r="N236">
        <v>1221</v>
      </c>
      <c r="O236">
        <v>1</v>
      </c>
      <c r="P236" t="str">
        <f>("14")</f>
        <v>14</v>
      </c>
      <c r="Q236" t="str">
        <f>("PEKER Kübra")</f>
        <v>PEKER Kübra</v>
      </c>
      <c r="R236">
        <v>255</v>
      </c>
      <c r="S236" t="s">
        <v>44</v>
      </c>
      <c r="T236">
        <v>0</v>
      </c>
      <c r="V236">
        <v>3</v>
      </c>
      <c r="W236">
        <v>255</v>
      </c>
      <c r="X236">
        <v>0</v>
      </c>
    </row>
    <row r="237" spans="1:24" x14ac:dyDescent="0.35">
      <c r="A237" t="s">
        <v>8</v>
      </c>
      <c r="B237" t="s">
        <v>9</v>
      </c>
      <c r="C237" t="str">
        <f t="shared" si="20"/>
        <v>11102</v>
      </c>
      <c r="D237" t="s">
        <v>10</v>
      </c>
      <c r="E237" t="str">
        <f t="shared" si="21"/>
        <v>33</v>
      </c>
      <c r="F237">
        <v>109144</v>
      </c>
      <c r="G237">
        <v>94529</v>
      </c>
      <c r="H237">
        <v>3229</v>
      </c>
      <c r="I237" t="str">
        <f t="shared" si="24"/>
        <v>9</v>
      </c>
      <c r="J237" t="str">
        <f t="shared" si="25"/>
        <v>D-SA</v>
      </c>
      <c r="K237">
        <v>259</v>
      </c>
      <c r="L237">
        <v>2182</v>
      </c>
      <c r="M237">
        <v>2441</v>
      </c>
      <c r="N237">
        <v>1221</v>
      </c>
      <c r="O237">
        <v>1</v>
      </c>
      <c r="P237" t="str">
        <f>("15")</f>
        <v>15</v>
      </c>
      <c r="Q237" t="str">
        <f>("AKABI Mohamed")</f>
        <v>AKABI Mohamed</v>
      </c>
      <c r="R237">
        <v>230</v>
      </c>
      <c r="S237" t="s">
        <v>44</v>
      </c>
      <c r="T237">
        <v>0</v>
      </c>
      <c r="V237">
        <v>6</v>
      </c>
      <c r="W237">
        <v>230</v>
      </c>
      <c r="X237">
        <v>0</v>
      </c>
    </row>
    <row r="238" spans="1:24" x14ac:dyDescent="0.35">
      <c r="A238" t="s">
        <v>8</v>
      </c>
      <c r="B238" t="s">
        <v>9</v>
      </c>
      <c r="C238" t="str">
        <f t="shared" si="20"/>
        <v>11102</v>
      </c>
      <c r="D238" t="s">
        <v>10</v>
      </c>
      <c r="E238" t="str">
        <f t="shared" si="21"/>
        <v>33</v>
      </c>
      <c r="F238">
        <v>109144</v>
      </c>
      <c r="G238">
        <v>94529</v>
      </c>
      <c r="H238">
        <v>3229</v>
      </c>
      <c r="I238" t="str">
        <f t="shared" ref="I238:I248" si="26">("10")</f>
        <v>10</v>
      </c>
      <c r="J238" t="str">
        <f t="shared" ref="J238:J248" si="27">("Burgerlijst")</f>
        <v>Burgerlijst</v>
      </c>
      <c r="K238">
        <v>284</v>
      </c>
      <c r="L238">
        <v>457</v>
      </c>
      <c r="M238">
        <v>741</v>
      </c>
      <c r="O238">
        <v>0</v>
      </c>
      <c r="P238" t="str">
        <f>("1")</f>
        <v>1</v>
      </c>
      <c r="Q238" t="str">
        <f>("SIEPRATH Kristel")</f>
        <v>SIEPRATH Kristel</v>
      </c>
      <c r="R238">
        <v>174</v>
      </c>
      <c r="S238" t="s">
        <v>44</v>
      </c>
    </row>
    <row r="239" spans="1:24" x14ac:dyDescent="0.35">
      <c r="A239" t="s">
        <v>8</v>
      </c>
      <c r="B239" t="s">
        <v>9</v>
      </c>
      <c r="C239" t="str">
        <f t="shared" si="20"/>
        <v>11102</v>
      </c>
      <c r="D239" t="s">
        <v>10</v>
      </c>
      <c r="E239" t="str">
        <f t="shared" si="21"/>
        <v>33</v>
      </c>
      <c r="F239">
        <v>109144</v>
      </c>
      <c r="G239">
        <v>94529</v>
      </c>
      <c r="H239">
        <v>3229</v>
      </c>
      <c r="I239" t="str">
        <f t="shared" si="26"/>
        <v>10</v>
      </c>
      <c r="J239" t="str">
        <f t="shared" si="27"/>
        <v>Burgerlijst</v>
      </c>
      <c r="K239">
        <v>284</v>
      </c>
      <c r="L239">
        <v>457</v>
      </c>
      <c r="M239">
        <v>741</v>
      </c>
      <c r="O239">
        <v>0</v>
      </c>
      <c r="P239" t="str">
        <f>("2")</f>
        <v>2</v>
      </c>
      <c r="Q239" t="str">
        <f>("PATYN Christophe")</f>
        <v>PATYN Christophe</v>
      </c>
      <c r="R239">
        <v>54</v>
      </c>
      <c r="S239" t="s">
        <v>44</v>
      </c>
    </row>
    <row r="240" spans="1:24" x14ac:dyDescent="0.35">
      <c r="A240" t="s">
        <v>8</v>
      </c>
      <c r="B240" t="s">
        <v>9</v>
      </c>
      <c r="C240" t="str">
        <f t="shared" si="20"/>
        <v>11102</v>
      </c>
      <c r="D240" t="s">
        <v>10</v>
      </c>
      <c r="E240" t="str">
        <f t="shared" si="21"/>
        <v>33</v>
      </c>
      <c r="F240">
        <v>109144</v>
      </c>
      <c r="G240">
        <v>94529</v>
      </c>
      <c r="H240">
        <v>3229</v>
      </c>
      <c r="I240" t="str">
        <f t="shared" si="26"/>
        <v>10</v>
      </c>
      <c r="J240" t="str">
        <f t="shared" si="27"/>
        <v>Burgerlijst</v>
      </c>
      <c r="K240">
        <v>284</v>
      </c>
      <c r="L240">
        <v>457</v>
      </c>
      <c r="M240">
        <v>741</v>
      </c>
      <c r="O240">
        <v>0</v>
      </c>
      <c r="P240" t="str">
        <f>("3")</f>
        <v>3</v>
      </c>
      <c r="Q240" t="str">
        <f>("SCHUCKINK KOOL Coen")</f>
        <v>SCHUCKINK KOOL Coen</v>
      </c>
      <c r="R240">
        <v>52</v>
      </c>
      <c r="S240" t="s">
        <v>44</v>
      </c>
    </row>
    <row r="241" spans="1:24" x14ac:dyDescent="0.35">
      <c r="A241" t="s">
        <v>8</v>
      </c>
      <c r="B241" t="s">
        <v>9</v>
      </c>
      <c r="C241" t="str">
        <f t="shared" si="20"/>
        <v>11102</v>
      </c>
      <c r="D241" t="s">
        <v>10</v>
      </c>
      <c r="E241" t="str">
        <f t="shared" si="21"/>
        <v>33</v>
      </c>
      <c r="F241">
        <v>109144</v>
      </c>
      <c r="G241">
        <v>94529</v>
      </c>
      <c r="H241">
        <v>3229</v>
      </c>
      <c r="I241" t="str">
        <f t="shared" si="26"/>
        <v>10</v>
      </c>
      <c r="J241" t="str">
        <f t="shared" si="27"/>
        <v>Burgerlijst</v>
      </c>
      <c r="K241">
        <v>284</v>
      </c>
      <c r="L241">
        <v>457</v>
      </c>
      <c r="M241">
        <v>741</v>
      </c>
      <c r="O241">
        <v>0</v>
      </c>
      <c r="P241" t="str">
        <f>("4")</f>
        <v>4</v>
      </c>
      <c r="Q241" t="str">
        <f>("SCHELFHOUT Leen")</f>
        <v>SCHELFHOUT Leen</v>
      </c>
      <c r="R241">
        <v>107</v>
      </c>
      <c r="S241" t="s">
        <v>44</v>
      </c>
    </row>
    <row r="242" spans="1:24" x14ac:dyDescent="0.35">
      <c r="A242" t="s">
        <v>8</v>
      </c>
      <c r="B242" t="s">
        <v>9</v>
      </c>
      <c r="C242" t="str">
        <f t="shared" si="20"/>
        <v>11102</v>
      </c>
      <c r="D242" t="s">
        <v>10</v>
      </c>
      <c r="E242" t="str">
        <f t="shared" si="21"/>
        <v>33</v>
      </c>
      <c r="F242">
        <v>109144</v>
      </c>
      <c r="G242">
        <v>94529</v>
      </c>
      <c r="H242">
        <v>3229</v>
      </c>
      <c r="I242" t="str">
        <f t="shared" si="26"/>
        <v>10</v>
      </c>
      <c r="J242" t="str">
        <f t="shared" si="27"/>
        <v>Burgerlijst</v>
      </c>
      <c r="K242">
        <v>284</v>
      </c>
      <c r="L242">
        <v>457</v>
      </c>
      <c r="M242">
        <v>741</v>
      </c>
      <c r="O242">
        <v>0</v>
      </c>
      <c r="P242" t="str">
        <f>("5")</f>
        <v>5</v>
      </c>
      <c r="Q242" t="str">
        <f>("SCHUCKINK KOOL Johan")</f>
        <v>SCHUCKINK KOOL Johan</v>
      </c>
      <c r="R242">
        <v>46</v>
      </c>
      <c r="S242" t="s">
        <v>44</v>
      </c>
    </row>
    <row r="243" spans="1:24" x14ac:dyDescent="0.35">
      <c r="A243" t="s">
        <v>8</v>
      </c>
      <c r="B243" t="s">
        <v>9</v>
      </c>
      <c r="C243" t="str">
        <f t="shared" si="20"/>
        <v>11102</v>
      </c>
      <c r="D243" t="s">
        <v>10</v>
      </c>
      <c r="E243" t="str">
        <f t="shared" si="21"/>
        <v>33</v>
      </c>
      <c r="F243">
        <v>109144</v>
      </c>
      <c r="G243">
        <v>94529</v>
      </c>
      <c r="H243">
        <v>3229</v>
      </c>
      <c r="I243" t="str">
        <f t="shared" si="26"/>
        <v>10</v>
      </c>
      <c r="J243" t="str">
        <f t="shared" si="27"/>
        <v>Burgerlijst</v>
      </c>
      <c r="K243">
        <v>284</v>
      </c>
      <c r="L243">
        <v>457</v>
      </c>
      <c r="M243">
        <v>741</v>
      </c>
      <c r="O243">
        <v>0</v>
      </c>
      <c r="P243" t="str">
        <f>("6")</f>
        <v>6</v>
      </c>
      <c r="Q243" t="str">
        <f>("CLAESSENS Elsje")</f>
        <v>CLAESSENS Elsje</v>
      </c>
      <c r="R243">
        <v>72</v>
      </c>
      <c r="S243" t="s">
        <v>44</v>
      </c>
    </row>
    <row r="244" spans="1:24" x14ac:dyDescent="0.35">
      <c r="A244" t="s">
        <v>8</v>
      </c>
      <c r="B244" t="s">
        <v>9</v>
      </c>
      <c r="C244" t="str">
        <f t="shared" si="20"/>
        <v>11102</v>
      </c>
      <c r="D244" t="s">
        <v>10</v>
      </c>
      <c r="E244" t="str">
        <f t="shared" si="21"/>
        <v>33</v>
      </c>
      <c r="F244">
        <v>109144</v>
      </c>
      <c r="G244">
        <v>94529</v>
      </c>
      <c r="H244">
        <v>3229</v>
      </c>
      <c r="I244" t="str">
        <f t="shared" si="26"/>
        <v>10</v>
      </c>
      <c r="J244" t="str">
        <f t="shared" si="27"/>
        <v>Burgerlijst</v>
      </c>
      <c r="K244">
        <v>284</v>
      </c>
      <c r="L244">
        <v>457</v>
      </c>
      <c r="M244">
        <v>741</v>
      </c>
      <c r="O244">
        <v>0</v>
      </c>
      <c r="P244" t="str">
        <f>("7")</f>
        <v>7</v>
      </c>
      <c r="Q244" t="str">
        <f>("DE BRUYN Benjamin")</f>
        <v>DE BRUYN Benjamin</v>
      </c>
      <c r="R244">
        <v>67</v>
      </c>
      <c r="S244" t="s">
        <v>44</v>
      </c>
    </row>
    <row r="245" spans="1:24" x14ac:dyDescent="0.35">
      <c r="A245" t="s">
        <v>8</v>
      </c>
      <c r="B245" t="s">
        <v>9</v>
      </c>
      <c r="C245" t="str">
        <f t="shared" si="20"/>
        <v>11102</v>
      </c>
      <c r="D245" t="s">
        <v>10</v>
      </c>
      <c r="E245" t="str">
        <f t="shared" si="21"/>
        <v>33</v>
      </c>
      <c r="F245">
        <v>109144</v>
      </c>
      <c r="G245">
        <v>94529</v>
      </c>
      <c r="H245">
        <v>3229</v>
      </c>
      <c r="I245" t="str">
        <f t="shared" si="26"/>
        <v>10</v>
      </c>
      <c r="J245" t="str">
        <f t="shared" si="27"/>
        <v>Burgerlijst</v>
      </c>
      <c r="K245">
        <v>284</v>
      </c>
      <c r="L245">
        <v>457</v>
      </c>
      <c r="M245">
        <v>741</v>
      </c>
      <c r="O245">
        <v>0</v>
      </c>
      <c r="P245" t="str">
        <f>("8")</f>
        <v>8</v>
      </c>
      <c r="Q245" t="str">
        <f>("KRAS Hadewig")</f>
        <v>KRAS Hadewig</v>
      </c>
      <c r="R245">
        <v>49</v>
      </c>
      <c r="S245" t="s">
        <v>44</v>
      </c>
    </row>
    <row r="246" spans="1:24" x14ac:dyDescent="0.35">
      <c r="A246" t="s">
        <v>8</v>
      </c>
      <c r="B246" t="s">
        <v>9</v>
      </c>
      <c r="C246" t="str">
        <f t="shared" si="20"/>
        <v>11102</v>
      </c>
      <c r="D246" t="s">
        <v>10</v>
      </c>
      <c r="E246" t="str">
        <f t="shared" si="21"/>
        <v>33</v>
      </c>
      <c r="F246">
        <v>109144</v>
      </c>
      <c r="G246">
        <v>94529</v>
      </c>
      <c r="H246">
        <v>3229</v>
      </c>
      <c r="I246" t="str">
        <f t="shared" si="26"/>
        <v>10</v>
      </c>
      <c r="J246" t="str">
        <f t="shared" si="27"/>
        <v>Burgerlijst</v>
      </c>
      <c r="K246">
        <v>284</v>
      </c>
      <c r="L246">
        <v>457</v>
      </c>
      <c r="M246">
        <v>741</v>
      </c>
      <c r="O246">
        <v>0</v>
      </c>
      <c r="P246" t="str">
        <f>("9")</f>
        <v>9</v>
      </c>
      <c r="Q246" t="str">
        <f>("VAN DEN POEL Tine")</f>
        <v>VAN DEN POEL Tine</v>
      </c>
      <c r="R246">
        <v>52</v>
      </c>
      <c r="S246" t="s">
        <v>44</v>
      </c>
    </row>
    <row r="247" spans="1:24" x14ac:dyDescent="0.35">
      <c r="A247" t="s">
        <v>8</v>
      </c>
      <c r="B247" t="s">
        <v>9</v>
      </c>
      <c r="C247" t="str">
        <f t="shared" si="20"/>
        <v>11102</v>
      </c>
      <c r="D247" t="s">
        <v>10</v>
      </c>
      <c r="E247" t="str">
        <f t="shared" si="21"/>
        <v>33</v>
      </c>
      <c r="F247">
        <v>109144</v>
      </c>
      <c r="G247">
        <v>94529</v>
      </c>
      <c r="H247">
        <v>3229</v>
      </c>
      <c r="I247" t="str">
        <f t="shared" si="26"/>
        <v>10</v>
      </c>
      <c r="J247" t="str">
        <f t="shared" si="27"/>
        <v>Burgerlijst</v>
      </c>
      <c r="K247">
        <v>284</v>
      </c>
      <c r="L247">
        <v>457</v>
      </c>
      <c r="M247">
        <v>741</v>
      </c>
      <c r="O247">
        <v>0</v>
      </c>
      <c r="P247" t="str">
        <f>("10")</f>
        <v>10</v>
      </c>
      <c r="Q247" t="str">
        <f>("BIJVOET Kato")</f>
        <v>BIJVOET Kato</v>
      </c>
      <c r="R247">
        <v>60</v>
      </c>
      <c r="S247" t="s">
        <v>44</v>
      </c>
    </row>
    <row r="248" spans="1:24" x14ac:dyDescent="0.35">
      <c r="A248" t="s">
        <v>8</v>
      </c>
      <c r="B248" t="s">
        <v>9</v>
      </c>
      <c r="C248" t="str">
        <f t="shared" si="20"/>
        <v>11102</v>
      </c>
      <c r="D248" t="s">
        <v>10</v>
      </c>
      <c r="E248" t="str">
        <f t="shared" si="21"/>
        <v>33</v>
      </c>
      <c r="F248">
        <v>109144</v>
      </c>
      <c r="G248">
        <v>94529</v>
      </c>
      <c r="H248">
        <v>3229</v>
      </c>
      <c r="I248" t="str">
        <f t="shared" si="26"/>
        <v>10</v>
      </c>
      <c r="J248" t="str">
        <f t="shared" si="27"/>
        <v>Burgerlijst</v>
      </c>
      <c r="K248">
        <v>284</v>
      </c>
      <c r="L248">
        <v>457</v>
      </c>
      <c r="M248">
        <v>741</v>
      </c>
      <c r="O248">
        <v>0</v>
      </c>
      <c r="P248" t="str">
        <f>("11")</f>
        <v>11</v>
      </c>
      <c r="Q248" t="str">
        <f>("DERRE Charles")</f>
        <v>DERRE Charles</v>
      </c>
      <c r="R248">
        <v>48</v>
      </c>
      <c r="S248" t="s">
        <v>44</v>
      </c>
    </row>
    <row r="249" spans="1:24" x14ac:dyDescent="0.35">
      <c r="A249" t="s">
        <v>8</v>
      </c>
      <c r="B249" t="s">
        <v>9</v>
      </c>
      <c r="C249" t="str">
        <f t="shared" ref="C249:C280" si="28">("11232")</f>
        <v>11232</v>
      </c>
      <c r="D249" t="s">
        <v>11</v>
      </c>
      <c r="E249" t="str">
        <f t="shared" ref="E249:E280" si="29">("25")</f>
        <v>25</v>
      </c>
      <c r="F249">
        <v>29377</v>
      </c>
      <c r="G249">
        <v>26328</v>
      </c>
      <c r="H249">
        <v>854</v>
      </c>
      <c r="I249" t="str">
        <f t="shared" ref="I249:I273" si="30">("1")</f>
        <v>1</v>
      </c>
      <c r="J249" t="str">
        <f t="shared" ref="J249:J273" si="31">("sp.a - Groen")</f>
        <v>sp.a - Groen</v>
      </c>
      <c r="K249">
        <v>2752</v>
      </c>
      <c r="L249">
        <v>6265</v>
      </c>
      <c r="M249">
        <v>9017</v>
      </c>
      <c r="N249">
        <v>8116</v>
      </c>
      <c r="O249">
        <v>9</v>
      </c>
      <c r="P249" t="str">
        <f>("1")</f>
        <v>1</v>
      </c>
      <c r="Q249" t="str">
        <f>("PIRYNS Freya")</f>
        <v>PIRYNS Freya</v>
      </c>
      <c r="R249">
        <v>2663</v>
      </c>
      <c r="S249">
        <v>8116</v>
      </c>
      <c r="T249">
        <v>2803</v>
      </c>
      <c r="U249">
        <v>1</v>
      </c>
    </row>
    <row r="250" spans="1:24" x14ac:dyDescent="0.35">
      <c r="A250" t="s">
        <v>8</v>
      </c>
      <c r="B250" t="s">
        <v>9</v>
      </c>
      <c r="C250" t="str">
        <f t="shared" si="28"/>
        <v>11232</v>
      </c>
      <c r="D250" t="s">
        <v>11</v>
      </c>
      <c r="E250" t="str">
        <f t="shared" si="29"/>
        <v>25</v>
      </c>
      <c r="F250">
        <v>29377</v>
      </c>
      <c r="G250">
        <v>26328</v>
      </c>
      <c r="H250">
        <v>854</v>
      </c>
      <c r="I250" t="str">
        <f t="shared" si="30"/>
        <v>1</v>
      </c>
      <c r="J250" t="str">
        <f t="shared" si="31"/>
        <v>sp.a - Groen</v>
      </c>
      <c r="K250">
        <v>2752</v>
      </c>
      <c r="L250">
        <v>6265</v>
      </c>
      <c r="M250">
        <v>9017</v>
      </c>
      <c r="N250">
        <v>8116</v>
      </c>
      <c r="O250">
        <v>9</v>
      </c>
      <c r="P250" t="str">
        <f>("2")</f>
        <v>2</v>
      </c>
      <c r="Q250" t="str">
        <f>("ÖZTÜRK Erkan")</f>
        <v>ÖZTÜRK Erkan</v>
      </c>
      <c r="R250">
        <v>1659</v>
      </c>
      <c r="S250">
        <v>4462</v>
      </c>
      <c r="T250">
        <v>0</v>
      </c>
      <c r="U250">
        <v>2</v>
      </c>
    </row>
    <row r="251" spans="1:24" x14ac:dyDescent="0.35">
      <c r="A251" t="s">
        <v>8</v>
      </c>
      <c r="B251" t="s">
        <v>9</v>
      </c>
      <c r="C251" t="str">
        <f t="shared" si="28"/>
        <v>11232</v>
      </c>
      <c r="D251" t="s">
        <v>11</v>
      </c>
      <c r="E251" t="str">
        <f t="shared" si="29"/>
        <v>25</v>
      </c>
      <c r="F251">
        <v>29377</v>
      </c>
      <c r="G251">
        <v>26328</v>
      </c>
      <c r="H251">
        <v>854</v>
      </c>
      <c r="I251" t="str">
        <f t="shared" si="30"/>
        <v>1</v>
      </c>
      <c r="J251" t="str">
        <f t="shared" si="31"/>
        <v>sp.a - Groen</v>
      </c>
      <c r="K251">
        <v>2752</v>
      </c>
      <c r="L251">
        <v>6265</v>
      </c>
      <c r="M251">
        <v>9017</v>
      </c>
      <c r="N251">
        <v>8116</v>
      </c>
      <c r="O251">
        <v>9</v>
      </c>
      <c r="P251" t="str">
        <f>("3")</f>
        <v>3</v>
      </c>
      <c r="Q251" t="str">
        <f>("PEETERS Arnold")</f>
        <v>PEETERS Arnold</v>
      </c>
      <c r="R251">
        <v>719</v>
      </c>
      <c r="S251">
        <v>719</v>
      </c>
      <c r="T251">
        <v>0</v>
      </c>
      <c r="U251">
        <v>4</v>
      </c>
    </row>
    <row r="252" spans="1:24" x14ac:dyDescent="0.35">
      <c r="A252" t="s">
        <v>8</v>
      </c>
      <c r="B252" t="s">
        <v>9</v>
      </c>
      <c r="C252" t="str">
        <f t="shared" si="28"/>
        <v>11232</v>
      </c>
      <c r="D252" t="s">
        <v>11</v>
      </c>
      <c r="E252" t="str">
        <f t="shared" si="29"/>
        <v>25</v>
      </c>
      <c r="F252">
        <v>29377</v>
      </c>
      <c r="G252">
        <v>26328</v>
      </c>
      <c r="H252">
        <v>854</v>
      </c>
      <c r="I252" t="str">
        <f t="shared" si="30"/>
        <v>1</v>
      </c>
      <c r="J252" t="str">
        <f t="shared" si="31"/>
        <v>sp.a - Groen</v>
      </c>
      <c r="K252">
        <v>2752</v>
      </c>
      <c r="L252">
        <v>6265</v>
      </c>
      <c r="M252">
        <v>9017</v>
      </c>
      <c r="N252">
        <v>8116</v>
      </c>
      <c r="O252">
        <v>9</v>
      </c>
      <c r="P252" t="str">
        <f>("4")</f>
        <v>4</v>
      </c>
      <c r="Q252" t="str">
        <f>("VERBRAEKEN Lucy")</f>
        <v>VERBRAEKEN Lucy</v>
      </c>
      <c r="R252">
        <v>391</v>
      </c>
      <c r="S252">
        <v>391</v>
      </c>
      <c r="T252">
        <v>0</v>
      </c>
      <c r="U252">
        <v>7</v>
      </c>
    </row>
    <row r="253" spans="1:24" x14ac:dyDescent="0.35">
      <c r="A253" t="s">
        <v>8</v>
      </c>
      <c r="B253" t="s">
        <v>9</v>
      </c>
      <c r="C253" t="str">
        <f t="shared" si="28"/>
        <v>11232</v>
      </c>
      <c r="D253" t="s">
        <v>11</v>
      </c>
      <c r="E253" t="str">
        <f t="shared" si="29"/>
        <v>25</v>
      </c>
      <c r="F253">
        <v>29377</v>
      </c>
      <c r="G253">
        <v>26328</v>
      </c>
      <c r="H253">
        <v>854</v>
      </c>
      <c r="I253" t="str">
        <f t="shared" si="30"/>
        <v>1</v>
      </c>
      <c r="J253" t="str">
        <f t="shared" si="31"/>
        <v>sp.a - Groen</v>
      </c>
      <c r="K253">
        <v>2752</v>
      </c>
      <c r="L253">
        <v>6265</v>
      </c>
      <c r="M253">
        <v>9017</v>
      </c>
      <c r="N253">
        <v>8116</v>
      </c>
      <c r="O253">
        <v>9</v>
      </c>
      <c r="P253" t="str">
        <f>("5")</f>
        <v>5</v>
      </c>
      <c r="Q253" t="str">
        <f>("DE BIE Ronny")</f>
        <v>DE BIE Ronny</v>
      </c>
      <c r="R253">
        <v>317</v>
      </c>
      <c r="S253" t="s">
        <v>44</v>
      </c>
      <c r="T253">
        <v>0</v>
      </c>
      <c r="V253">
        <v>1</v>
      </c>
      <c r="W253">
        <v>8116</v>
      </c>
      <c r="X253">
        <v>457</v>
      </c>
    </row>
    <row r="254" spans="1:24" x14ac:dyDescent="0.35">
      <c r="A254" t="s">
        <v>8</v>
      </c>
      <c r="B254" t="s">
        <v>9</v>
      </c>
      <c r="C254" t="str">
        <f t="shared" si="28"/>
        <v>11232</v>
      </c>
      <c r="D254" t="s">
        <v>11</v>
      </c>
      <c r="E254" t="str">
        <f t="shared" si="29"/>
        <v>25</v>
      </c>
      <c r="F254">
        <v>29377</v>
      </c>
      <c r="G254">
        <v>26328</v>
      </c>
      <c r="H254">
        <v>854</v>
      </c>
      <c r="I254" t="str">
        <f t="shared" si="30"/>
        <v>1</v>
      </c>
      <c r="J254" t="str">
        <f t="shared" si="31"/>
        <v>sp.a - Groen</v>
      </c>
      <c r="K254">
        <v>2752</v>
      </c>
      <c r="L254">
        <v>6265</v>
      </c>
      <c r="M254">
        <v>9017</v>
      </c>
      <c r="N254">
        <v>8116</v>
      </c>
      <c r="O254">
        <v>9</v>
      </c>
      <c r="P254" t="str">
        <f>("6")</f>
        <v>6</v>
      </c>
      <c r="Q254" t="str">
        <f>("VERMEULEN Ria")</f>
        <v>VERMEULEN Ria</v>
      </c>
      <c r="R254">
        <v>391</v>
      </c>
      <c r="S254">
        <v>391</v>
      </c>
      <c r="T254">
        <v>0</v>
      </c>
      <c r="U254">
        <v>8</v>
      </c>
    </row>
    <row r="255" spans="1:24" x14ac:dyDescent="0.35">
      <c r="A255" t="s">
        <v>8</v>
      </c>
      <c r="B255" t="s">
        <v>9</v>
      </c>
      <c r="C255" t="str">
        <f t="shared" si="28"/>
        <v>11232</v>
      </c>
      <c r="D255" t="s">
        <v>11</v>
      </c>
      <c r="E255" t="str">
        <f t="shared" si="29"/>
        <v>25</v>
      </c>
      <c r="F255">
        <v>29377</v>
      </c>
      <c r="G255">
        <v>26328</v>
      </c>
      <c r="H255">
        <v>854</v>
      </c>
      <c r="I255" t="str">
        <f t="shared" si="30"/>
        <v>1</v>
      </c>
      <c r="J255" t="str">
        <f t="shared" si="31"/>
        <v>sp.a - Groen</v>
      </c>
      <c r="K255">
        <v>2752</v>
      </c>
      <c r="L255">
        <v>6265</v>
      </c>
      <c r="M255">
        <v>9017</v>
      </c>
      <c r="N255">
        <v>8116</v>
      </c>
      <c r="O255">
        <v>9</v>
      </c>
      <c r="P255" t="str">
        <f>("7")</f>
        <v>7</v>
      </c>
      <c r="Q255" t="str">
        <f>("WAETERSCHOOT Peter")</f>
        <v>WAETERSCHOOT Peter</v>
      </c>
      <c r="R255">
        <v>356</v>
      </c>
      <c r="S255" t="s">
        <v>44</v>
      </c>
      <c r="T255">
        <v>0</v>
      </c>
      <c r="V255">
        <v>2</v>
      </c>
      <c r="W255">
        <v>813</v>
      </c>
      <c r="X255">
        <v>0</v>
      </c>
    </row>
    <row r="256" spans="1:24" x14ac:dyDescent="0.35">
      <c r="A256" t="s">
        <v>8</v>
      </c>
      <c r="B256" t="s">
        <v>9</v>
      </c>
      <c r="C256" t="str">
        <f t="shared" si="28"/>
        <v>11232</v>
      </c>
      <c r="D256" t="s">
        <v>11</v>
      </c>
      <c r="E256" t="str">
        <f t="shared" si="29"/>
        <v>25</v>
      </c>
      <c r="F256">
        <v>29377</v>
      </c>
      <c r="G256">
        <v>26328</v>
      </c>
      <c r="H256">
        <v>854</v>
      </c>
      <c r="I256" t="str">
        <f t="shared" si="30"/>
        <v>1</v>
      </c>
      <c r="J256" t="str">
        <f t="shared" si="31"/>
        <v>sp.a - Groen</v>
      </c>
      <c r="K256">
        <v>2752</v>
      </c>
      <c r="L256">
        <v>6265</v>
      </c>
      <c r="M256">
        <v>9017</v>
      </c>
      <c r="N256">
        <v>8116</v>
      </c>
      <c r="O256">
        <v>9</v>
      </c>
      <c r="P256" t="str">
        <f>("8")</f>
        <v>8</v>
      </c>
      <c r="Q256" t="str">
        <f>("CUYPERS Evi")</f>
        <v>CUYPERS Evi</v>
      </c>
      <c r="R256">
        <v>335</v>
      </c>
      <c r="S256" t="s">
        <v>44</v>
      </c>
      <c r="T256">
        <v>0</v>
      </c>
      <c r="V256">
        <v>6</v>
      </c>
      <c r="W256">
        <v>335</v>
      </c>
      <c r="X256">
        <v>0</v>
      </c>
    </row>
    <row r="257" spans="1:24" x14ac:dyDescent="0.35">
      <c r="A257" t="s">
        <v>8</v>
      </c>
      <c r="B257" t="s">
        <v>9</v>
      </c>
      <c r="C257" t="str">
        <f t="shared" si="28"/>
        <v>11232</v>
      </c>
      <c r="D257" t="s">
        <v>11</v>
      </c>
      <c r="E257" t="str">
        <f t="shared" si="29"/>
        <v>25</v>
      </c>
      <c r="F257">
        <v>29377</v>
      </c>
      <c r="G257">
        <v>26328</v>
      </c>
      <c r="H257">
        <v>854</v>
      </c>
      <c r="I257" t="str">
        <f t="shared" si="30"/>
        <v>1</v>
      </c>
      <c r="J257" t="str">
        <f t="shared" si="31"/>
        <v>sp.a - Groen</v>
      </c>
      <c r="K257">
        <v>2752</v>
      </c>
      <c r="L257">
        <v>6265</v>
      </c>
      <c r="M257">
        <v>9017</v>
      </c>
      <c r="N257">
        <v>8116</v>
      </c>
      <c r="O257">
        <v>9</v>
      </c>
      <c r="P257" t="str">
        <f>("9")</f>
        <v>9</v>
      </c>
      <c r="Q257" t="str">
        <f>("ISSIFOU Yao")</f>
        <v>ISSIFOU Yao</v>
      </c>
      <c r="R257">
        <v>294</v>
      </c>
      <c r="S257" t="s">
        <v>44</v>
      </c>
      <c r="T257">
        <v>0</v>
      </c>
      <c r="V257">
        <v>7</v>
      </c>
      <c r="W257">
        <v>294</v>
      </c>
      <c r="X257">
        <v>0</v>
      </c>
    </row>
    <row r="258" spans="1:24" x14ac:dyDescent="0.35">
      <c r="A258" t="s">
        <v>8</v>
      </c>
      <c r="B258" t="s">
        <v>9</v>
      </c>
      <c r="C258" t="str">
        <f t="shared" si="28"/>
        <v>11232</v>
      </c>
      <c r="D258" t="s">
        <v>11</v>
      </c>
      <c r="E258" t="str">
        <f t="shared" si="29"/>
        <v>25</v>
      </c>
      <c r="F258">
        <v>29377</v>
      </c>
      <c r="G258">
        <v>26328</v>
      </c>
      <c r="H258">
        <v>854</v>
      </c>
      <c r="I258" t="str">
        <f t="shared" si="30"/>
        <v>1</v>
      </c>
      <c r="J258" t="str">
        <f t="shared" si="31"/>
        <v>sp.a - Groen</v>
      </c>
      <c r="K258">
        <v>2752</v>
      </c>
      <c r="L258">
        <v>6265</v>
      </c>
      <c r="M258">
        <v>9017</v>
      </c>
      <c r="N258">
        <v>8116</v>
      </c>
      <c r="O258">
        <v>9</v>
      </c>
      <c r="P258" t="str">
        <f>("10")</f>
        <v>10</v>
      </c>
      <c r="Q258" t="str">
        <f>("VAN AELST Kris")</f>
        <v>VAN AELST Kris</v>
      </c>
      <c r="R258">
        <v>284</v>
      </c>
      <c r="S258" t="s">
        <v>44</v>
      </c>
      <c r="T258">
        <v>0</v>
      </c>
      <c r="V258">
        <v>9</v>
      </c>
      <c r="W258">
        <v>284</v>
      </c>
      <c r="X258">
        <v>0</v>
      </c>
    </row>
    <row r="259" spans="1:24" x14ac:dyDescent="0.35">
      <c r="A259" t="s">
        <v>8</v>
      </c>
      <c r="B259" t="s">
        <v>9</v>
      </c>
      <c r="C259" t="str">
        <f t="shared" si="28"/>
        <v>11232</v>
      </c>
      <c r="D259" t="s">
        <v>11</v>
      </c>
      <c r="E259" t="str">
        <f t="shared" si="29"/>
        <v>25</v>
      </c>
      <c r="F259">
        <v>29377</v>
      </c>
      <c r="G259">
        <v>26328</v>
      </c>
      <c r="H259">
        <v>854</v>
      </c>
      <c r="I259" t="str">
        <f t="shared" si="30"/>
        <v>1</v>
      </c>
      <c r="J259" t="str">
        <f t="shared" si="31"/>
        <v>sp.a - Groen</v>
      </c>
      <c r="K259">
        <v>2752</v>
      </c>
      <c r="L259">
        <v>6265</v>
      </c>
      <c r="M259">
        <v>9017</v>
      </c>
      <c r="N259">
        <v>8116</v>
      </c>
      <c r="O259">
        <v>9</v>
      </c>
      <c r="P259" t="str">
        <f>("11")</f>
        <v>11</v>
      </c>
      <c r="Q259" t="str">
        <f>("VAN DER PAAL Christina")</f>
        <v>VAN DER PAAL Christina</v>
      </c>
      <c r="R259">
        <v>247</v>
      </c>
      <c r="S259" t="s">
        <v>44</v>
      </c>
      <c r="T259">
        <v>0</v>
      </c>
      <c r="V259">
        <v>12</v>
      </c>
      <c r="W259">
        <v>247</v>
      </c>
      <c r="X259">
        <v>0</v>
      </c>
    </row>
    <row r="260" spans="1:24" x14ac:dyDescent="0.35">
      <c r="A260" t="s">
        <v>8</v>
      </c>
      <c r="B260" t="s">
        <v>9</v>
      </c>
      <c r="C260" t="str">
        <f t="shared" si="28"/>
        <v>11232</v>
      </c>
      <c r="D260" t="s">
        <v>11</v>
      </c>
      <c r="E260" t="str">
        <f t="shared" si="29"/>
        <v>25</v>
      </c>
      <c r="F260">
        <v>29377</v>
      </c>
      <c r="G260">
        <v>26328</v>
      </c>
      <c r="H260">
        <v>854</v>
      </c>
      <c r="I260" t="str">
        <f t="shared" si="30"/>
        <v>1</v>
      </c>
      <c r="J260" t="str">
        <f t="shared" si="31"/>
        <v>sp.a - Groen</v>
      </c>
      <c r="K260">
        <v>2752</v>
      </c>
      <c r="L260">
        <v>6265</v>
      </c>
      <c r="M260">
        <v>9017</v>
      </c>
      <c r="N260">
        <v>8116</v>
      </c>
      <c r="O260">
        <v>9</v>
      </c>
      <c r="P260" t="str">
        <f>("12")</f>
        <v>12</v>
      </c>
      <c r="Q260" t="str">
        <f>("MOORE Thomas")</f>
        <v>MOORE Thomas</v>
      </c>
      <c r="R260">
        <v>252</v>
      </c>
      <c r="S260" t="s">
        <v>44</v>
      </c>
      <c r="T260">
        <v>0</v>
      </c>
      <c r="V260">
        <v>11</v>
      </c>
      <c r="W260">
        <v>252</v>
      </c>
      <c r="X260">
        <v>0</v>
      </c>
    </row>
    <row r="261" spans="1:24" x14ac:dyDescent="0.35">
      <c r="A261" t="s">
        <v>8</v>
      </c>
      <c r="B261" t="s">
        <v>9</v>
      </c>
      <c r="C261" t="str">
        <f t="shared" si="28"/>
        <v>11232</v>
      </c>
      <c r="D261" t="s">
        <v>11</v>
      </c>
      <c r="E261" t="str">
        <f t="shared" si="29"/>
        <v>25</v>
      </c>
      <c r="F261">
        <v>29377</v>
      </c>
      <c r="G261">
        <v>26328</v>
      </c>
      <c r="H261">
        <v>854</v>
      </c>
      <c r="I261" t="str">
        <f t="shared" si="30"/>
        <v>1</v>
      </c>
      <c r="J261" t="str">
        <f t="shared" si="31"/>
        <v>sp.a - Groen</v>
      </c>
      <c r="K261">
        <v>2752</v>
      </c>
      <c r="L261">
        <v>6265</v>
      </c>
      <c r="M261">
        <v>9017</v>
      </c>
      <c r="N261">
        <v>8116</v>
      </c>
      <c r="O261">
        <v>9</v>
      </c>
      <c r="P261" t="str">
        <f>("13")</f>
        <v>13</v>
      </c>
      <c r="Q261" t="str">
        <f>("VAN PELLICOM Kristine")</f>
        <v>VAN PELLICOM Kristine</v>
      </c>
      <c r="R261">
        <v>438</v>
      </c>
      <c r="S261">
        <v>438</v>
      </c>
      <c r="T261">
        <v>0</v>
      </c>
      <c r="U261">
        <v>6</v>
      </c>
    </row>
    <row r="262" spans="1:24" x14ac:dyDescent="0.35">
      <c r="A262" t="s">
        <v>8</v>
      </c>
      <c r="B262" t="s">
        <v>9</v>
      </c>
      <c r="C262" t="str">
        <f t="shared" si="28"/>
        <v>11232</v>
      </c>
      <c r="D262" t="s">
        <v>11</v>
      </c>
      <c r="E262" t="str">
        <f t="shared" si="29"/>
        <v>25</v>
      </c>
      <c r="F262">
        <v>29377</v>
      </c>
      <c r="G262">
        <v>26328</v>
      </c>
      <c r="H262">
        <v>854</v>
      </c>
      <c r="I262" t="str">
        <f t="shared" si="30"/>
        <v>1</v>
      </c>
      <c r="J262" t="str">
        <f t="shared" si="31"/>
        <v>sp.a - Groen</v>
      </c>
      <c r="K262">
        <v>2752</v>
      </c>
      <c r="L262">
        <v>6265</v>
      </c>
      <c r="M262">
        <v>9017</v>
      </c>
      <c r="N262">
        <v>8116</v>
      </c>
      <c r="O262">
        <v>9</v>
      </c>
      <c r="P262" t="str">
        <f>("14")</f>
        <v>14</v>
      </c>
      <c r="Q262" t="str">
        <f>("APERS Karl")</f>
        <v>APERS Karl</v>
      </c>
      <c r="R262">
        <v>385</v>
      </c>
      <c r="S262">
        <v>385</v>
      </c>
      <c r="T262">
        <v>0</v>
      </c>
      <c r="U262">
        <v>9</v>
      </c>
    </row>
    <row r="263" spans="1:24" x14ac:dyDescent="0.35">
      <c r="A263" t="s">
        <v>8</v>
      </c>
      <c r="B263" t="s">
        <v>9</v>
      </c>
      <c r="C263" t="str">
        <f t="shared" si="28"/>
        <v>11232</v>
      </c>
      <c r="D263" t="s">
        <v>11</v>
      </c>
      <c r="E263" t="str">
        <f t="shared" si="29"/>
        <v>25</v>
      </c>
      <c r="F263">
        <v>29377</v>
      </c>
      <c r="G263">
        <v>26328</v>
      </c>
      <c r="H263">
        <v>854</v>
      </c>
      <c r="I263" t="str">
        <f t="shared" si="30"/>
        <v>1</v>
      </c>
      <c r="J263" t="str">
        <f t="shared" si="31"/>
        <v>sp.a - Groen</v>
      </c>
      <c r="K263">
        <v>2752</v>
      </c>
      <c r="L263">
        <v>6265</v>
      </c>
      <c r="M263">
        <v>9017</v>
      </c>
      <c r="N263">
        <v>8116</v>
      </c>
      <c r="O263">
        <v>9</v>
      </c>
      <c r="P263" t="str">
        <f>("15")</f>
        <v>15</v>
      </c>
      <c r="Q263" t="str">
        <f>("MICHIELSEN Christine")</f>
        <v>MICHIELSEN Christine</v>
      </c>
      <c r="R263">
        <v>255</v>
      </c>
      <c r="S263" t="s">
        <v>44</v>
      </c>
      <c r="T263">
        <v>0</v>
      </c>
      <c r="V263">
        <v>10</v>
      </c>
      <c r="W263">
        <v>255</v>
      </c>
      <c r="X263">
        <v>0</v>
      </c>
    </row>
    <row r="264" spans="1:24" x14ac:dyDescent="0.35">
      <c r="A264" t="s">
        <v>8</v>
      </c>
      <c r="B264" t="s">
        <v>9</v>
      </c>
      <c r="C264" t="str">
        <f t="shared" si="28"/>
        <v>11232</v>
      </c>
      <c r="D264" t="s">
        <v>11</v>
      </c>
      <c r="E264" t="str">
        <f t="shared" si="29"/>
        <v>25</v>
      </c>
      <c r="F264">
        <v>29377</v>
      </c>
      <c r="G264">
        <v>26328</v>
      </c>
      <c r="H264">
        <v>854</v>
      </c>
      <c r="I264" t="str">
        <f t="shared" si="30"/>
        <v>1</v>
      </c>
      <c r="J264" t="str">
        <f t="shared" si="31"/>
        <v>sp.a - Groen</v>
      </c>
      <c r="K264">
        <v>2752</v>
      </c>
      <c r="L264">
        <v>6265</v>
      </c>
      <c r="M264">
        <v>9017</v>
      </c>
      <c r="N264">
        <v>8116</v>
      </c>
      <c r="O264">
        <v>9</v>
      </c>
      <c r="P264" t="str">
        <f>("16")</f>
        <v>16</v>
      </c>
      <c r="Q264" t="str">
        <f>("AVERENS Patrick")</f>
        <v>AVERENS Patrick</v>
      </c>
      <c r="R264">
        <v>142</v>
      </c>
      <c r="S264" t="s">
        <v>44</v>
      </c>
      <c r="T264">
        <v>0</v>
      </c>
      <c r="V264">
        <v>15</v>
      </c>
      <c r="W264">
        <v>142</v>
      </c>
      <c r="X264">
        <v>0</v>
      </c>
    </row>
    <row r="265" spans="1:24" x14ac:dyDescent="0.35">
      <c r="A265" t="s">
        <v>8</v>
      </c>
      <c r="B265" t="s">
        <v>9</v>
      </c>
      <c r="C265" t="str">
        <f t="shared" si="28"/>
        <v>11232</v>
      </c>
      <c r="D265" t="s">
        <v>11</v>
      </c>
      <c r="E265" t="str">
        <f t="shared" si="29"/>
        <v>25</v>
      </c>
      <c r="F265">
        <v>29377</v>
      </c>
      <c r="G265">
        <v>26328</v>
      </c>
      <c r="H265">
        <v>854</v>
      </c>
      <c r="I265" t="str">
        <f t="shared" si="30"/>
        <v>1</v>
      </c>
      <c r="J265" t="str">
        <f t="shared" si="31"/>
        <v>sp.a - Groen</v>
      </c>
      <c r="K265">
        <v>2752</v>
      </c>
      <c r="L265">
        <v>6265</v>
      </c>
      <c r="M265">
        <v>9017</v>
      </c>
      <c r="N265">
        <v>8116</v>
      </c>
      <c r="O265">
        <v>9</v>
      </c>
      <c r="P265" t="str">
        <f>("17")</f>
        <v>17</v>
      </c>
      <c r="Q265" t="str">
        <f>("BADLI Mina")</f>
        <v>BADLI Mina</v>
      </c>
      <c r="R265">
        <v>365</v>
      </c>
      <c r="S265" t="s">
        <v>44</v>
      </c>
      <c r="T265">
        <v>0</v>
      </c>
      <c r="V265">
        <v>4</v>
      </c>
      <c r="W265">
        <v>365</v>
      </c>
      <c r="X265">
        <v>0</v>
      </c>
    </row>
    <row r="266" spans="1:24" x14ac:dyDescent="0.35">
      <c r="A266" t="s">
        <v>8</v>
      </c>
      <c r="B266" t="s">
        <v>9</v>
      </c>
      <c r="C266" t="str">
        <f t="shared" si="28"/>
        <v>11232</v>
      </c>
      <c r="D266" t="s">
        <v>11</v>
      </c>
      <c r="E266" t="str">
        <f t="shared" si="29"/>
        <v>25</v>
      </c>
      <c r="F266">
        <v>29377</v>
      </c>
      <c r="G266">
        <v>26328</v>
      </c>
      <c r="H266">
        <v>854</v>
      </c>
      <c r="I266" t="str">
        <f t="shared" si="30"/>
        <v>1</v>
      </c>
      <c r="J266" t="str">
        <f t="shared" si="31"/>
        <v>sp.a - Groen</v>
      </c>
      <c r="K266">
        <v>2752</v>
      </c>
      <c r="L266">
        <v>6265</v>
      </c>
      <c r="M266">
        <v>9017</v>
      </c>
      <c r="N266">
        <v>8116</v>
      </c>
      <c r="O266">
        <v>9</v>
      </c>
      <c r="P266" t="str">
        <f>("18")</f>
        <v>18</v>
      </c>
      <c r="Q266" t="str">
        <f>("GORREBEECK Lydia Matilda")</f>
        <v>GORREBEECK Lydia Matilda</v>
      </c>
      <c r="R266">
        <v>196</v>
      </c>
      <c r="S266" t="s">
        <v>44</v>
      </c>
      <c r="T266">
        <v>0</v>
      </c>
      <c r="V266">
        <v>14</v>
      </c>
      <c r="W266">
        <v>196</v>
      </c>
      <c r="X266">
        <v>0</v>
      </c>
    </row>
    <row r="267" spans="1:24" x14ac:dyDescent="0.35">
      <c r="A267" t="s">
        <v>8</v>
      </c>
      <c r="B267" t="s">
        <v>9</v>
      </c>
      <c r="C267" t="str">
        <f t="shared" si="28"/>
        <v>11232</v>
      </c>
      <c r="D267" t="s">
        <v>11</v>
      </c>
      <c r="E267" t="str">
        <f t="shared" si="29"/>
        <v>25</v>
      </c>
      <c r="F267">
        <v>29377</v>
      </c>
      <c r="G267">
        <v>26328</v>
      </c>
      <c r="H267">
        <v>854</v>
      </c>
      <c r="I267" t="str">
        <f t="shared" si="30"/>
        <v>1</v>
      </c>
      <c r="J267" t="str">
        <f t="shared" si="31"/>
        <v>sp.a - Groen</v>
      </c>
      <c r="K267">
        <v>2752</v>
      </c>
      <c r="L267">
        <v>6265</v>
      </c>
      <c r="M267">
        <v>9017</v>
      </c>
      <c r="N267">
        <v>8116</v>
      </c>
      <c r="O267">
        <v>9</v>
      </c>
      <c r="P267" t="str">
        <f>("19")</f>
        <v>19</v>
      </c>
      <c r="Q267" t="str">
        <f>("GHESQUIÈRE Robrecht")</f>
        <v>GHESQUIÈRE Robrecht</v>
      </c>
      <c r="R267">
        <v>220</v>
      </c>
      <c r="S267" t="s">
        <v>44</v>
      </c>
      <c r="T267">
        <v>0</v>
      </c>
      <c r="V267">
        <v>13</v>
      </c>
      <c r="W267">
        <v>220</v>
      </c>
      <c r="X267">
        <v>0</v>
      </c>
    </row>
    <row r="268" spans="1:24" x14ac:dyDescent="0.35">
      <c r="A268" t="s">
        <v>8</v>
      </c>
      <c r="B268" t="s">
        <v>9</v>
      </c>
      <c r="C268" t="str">
        <f t="shared" si="28"/>
        <v>11232</v>
      </c>
      <c r="D268" t="s">
        <v>11</v>
      </c>
      <c r="E268" t="str">
        <f t="shared" si="29"/>
        <v>25</v>
      </c>
      <c r="F268">
        <v>29377</v>
      </c>
      <c r="G268">
        <v>26328</v>
      </c>
      <c r="H268">
        <v>854</v>
      </c>
      <c r="I268" t="str">
        <f t="shared" si="30"/>
        <v>1</v>
      </c>
      <c r="J268" t="str">
        <f t="shared" si="31"/>
        <v>sp.a - Groen</v>
      </c>
      <c r="K268">
        <v>2752</v>
      </c>
      <c r="L268">
        <v>6265</v>
      </c>
      <c r="M268">
        <v>9017</v>
      </c>
      <c r="N268">
        <v>8116</v>
      </c>
      <c r="O268">
        <v>9</v>
      </c>
      <c r="P268" t="str">
        <f>("20")</f>
        <v>20</v>
      </c>
      <c r="Q268" t="str">
        <f>("TORRES FALCATO SIMÕES Ester")</f>
        <v>TORRES FALCATO SIMÕES Ester</v>
      </c>
      <c r="R268">
        <v>359</v>
      </c>
      <c r="S268" t="s">
        <v>44</v>
      </c>
      <c r="T268">
        <v>0</v>
      </c>
      <c r="V268">
        <v>5</v>
      </c>
      <c r="W268">
        <v>359</v>
      </c>
      <c r="X268">
        <v>0</v>
      </c>
    </row>
    <row r="269" spans="1:24" x14ac:dyDescent="0.35">
      <c r="A269" t="s">
        <v>8</v>
      </c>
      <c r="B269" t="s">
        <v>9</v>
      </c>
      <c r="C269" t="str">
        <f t="shared" si="28"/>
        <v>11232</v>
      </c>
      <c r="D269" t="s">
        <v>11</v>
      </c>
      <c r="E269" t="str">
        <f t="shared" si="29"/>
        <v>25</v>
      </c>
      <c r="F269">
        <v>29377</v>
      </c>
      <c r="G269">
        <v>26328</v>
      </c>
      <c r="H269">
        <v>854</v>
      </c>
      <c r="I269" t="str">
        <f t="shared" si="30"/>
        <v>1</v>
      </c>
      <c r="J269" t="str">
        <f t="shared" si="31"/>
        <v>sp.a - Groen</v>
      </c>
      <c r="K269">
        <v>2752</v>
      </c>
      <c r="L269">
        <v>6265</v>
      </c>
      <c r="M269">
        <v>9017</v>
      </c>
      <c r="N269">
        <v>8116</v>
      </c>
      <c r="O269">
        <v>9</v>
      </c>
      <c r="P269" t="str">
        <f>("21")</f>
        <v>21</v>
      </c>
      <c r="Q269" t="str">
        <f>("BREUGELMANS François")</f>
        <v>BREUGELMANS François</v>
      </c>
      <c r="R269">
        <v>140</v>
      </c>
      <c r="S269" t="s">
        <v>44</v>
      </c>
      <c r="T269">
        <v>0</v>
      </c>
      <c r="V269">
        <v>16</v>
      </c>
      <c r="W269">
        <v>140</v>
      </c>
      <c r="X269">
        <v>0</v>
      </c>
    </row>
    <row r="270" spans="1:24" x14ac:dyDescent="0.35">
      <c r="A270" t="s">
        <v>8</v>
      </c>
      <c r="B270" t="s">
        <v>9</v>
      </c>
      <c r="C270" t="str">
        <f t="shared" si="28"/>
        <v>11232</v>
      </c>
      <c r="D270" t="s">
        <v>11</v>
      </c>
      <c r="E270" t="str">
        <f t="shared" si="29"/>
        <v>25</v>
      </c>
      <c r="F270">
        <v>29377</v>
      </c>
      <c r="G270">
        <v>26328</v>
      </c>
      <c r="H270">
        <v>854</v>
      </c>
      <c r="I270" t="str">
        <f t="shared" si="30"/>
        <v>1</v>
      </c>
      <c r="J270" t="str">
        <f t="shared" si="31"/>
        <v>sp.a - Groen</v>
      </c>
      <c r="K270">
        <v>2752</v>
      </c>
      <c r="L270">
        <v>6265</v>
      </c>
      <c r="M270">
        <v>9017</v>
      </c>
      <c r="N270">
        <v>8116</v>
      </c>
      <c r="O270">
        <v>9</v>
      </c>
      <c r="P270" t="str">
        <f>("22")</f>
        <v>22</v>
      </c>
      <c r="Q270" t="str">
        <f>("WILLEMSE Clara")</f>
        <v>WILLEMSE Clara</v>
      </c>
      <c r="R270">
        <v>368</v>
      </c>
      <c r="S270" t="s">
        <v>44</v>
      </c>
      <c r="T270">
        <v>0</v>
      </c>
      <c r="V270">
        <v>3</v>
      </c>
      <c r="W270">
        <v>368</v>
      </c>
      <c r="X270">
        <v>0</v>
      </c>
    </row>
    <row r="271" spans="1:24" x14ac:dyDescent="0.35">
      <c r="A271" t="s">
        <v>8</v>
      </c>
      <c r="B271" t="s">
        <v>9</v>
      </c>
      <c r="C271" t="str">
        <f t="shared" si="28"/>
        <v>11232</v>
      </c>
      <c r="D271" t="s">
        <v>11</v>
      </c>
      <c r="E271" t="str">
        <f t="shared" si="29"/>
        <v>25</v>
      </c>
      <c r="F271">
        <v>29377</v>
      </c>
      <c r="G271">
        <v>26328</v>
      </c>
      <c r="H271">
        <v>854</v>
      </c>
      <c r="I271" t="str">
        <f t="shared" si="30"/>
        <v>1</v>
      </c>
      <c r="J271" t="str">
        <f t="shared" si="31"/>
        <v>sp.a - Groen</v>
      </c>
      <c r="K271">
        <v>2752</v>
      </c>
      <c r="L271">
        <v>6265</v>
      </c>
      <c r="M271">
        <v>9017</v>
      </c>
      <c r="N271">
        <v>8116</v>
      </c>
      <c r="O271">
        <v>9</v>
      </c>
      <c r="P271" t="str">
        <f>("23")</f>
        <v>23</v>
      </c>
      <c r="Q271" t="str">
        <f>("BEELS Jinnih")</f>
        <v>BEELS Jinnih</v>
      </c>
      <c r="R271">
        <v>978</v>
      </c>
      <c r="S271">
        <v>978</v>
      </c>
      <c r="T271">
        <v>0</v>
      </c>
      <c r="U271">
        <v>3</v>
      </c>
    </row>
    <row r="272" spans="1:24" x14ac:dyDescent="0.35">
      <c r="A272" t="s">
        <v>8</v>
      </c>
      <c r="B272" t="s">
        <v>9</v>
      </c>
      <c r="C272" t="str">
        <f t="shared" si="28"/>
        <v>11232</v>
      </c>
      <c r="D272" t="s">
        <v>11</v>
      </c>
      <c r="E272" t="str">
        <f t="shared" si="29"/>
        <v>25</v>
      </c>
      <c r="F272">
        <v>29377</v>
      </c>
      <c r="G272">
        <v>26328</v>
      </c>
      <c r="H272">
        <v>854</v>
      </c>
      <c r="I272" t="str">
        <f t="shared" si="30"/>
        <v>1</v>
      </c>
      <c r="J272" t="str">
        <f t="shared" si="31"/>
        <v>sp.a - Groen</v>
      </c>
      <c r="K272">
        <v>2752</v>
      </c>
      <c r="L272">
        <v>6265</v>
      </c>
      <c r="M272">
        <v>9017</v>
      </c>
      <c r="N272">
        <v>8116</v>
      </c>
      <c r="O272">
        <v>9</v>
      </c>
      <c r="P272" t="str">
        <f>("24")</f>
        <v>24</v>
      </c>
      <c r="Q272" t="str">
        <f>("MALCORPS Johan")</f>
        <v>MALCORPS Johan</v>
      </c>
      <c r="R272">
        <v>287</v>
      </c>
      <c r="S272" t="s">
        <v>44</v>
      </c>
      <c r="T272">
        <v>0</v>
      </c>
      <c r="V272">
        <v>8</v>
      </c>
      <c r="W272">
        <v>287</v>
      </c>
      <c r="X272">
        <v>0</v>
      </c>
    </row>
    <row r="273" spans="1:24" x14ac:dyDescent="0.35">
      <c r="A273" t="s">
        <v>8</v>
      </c>
      <c r="B273" t="s">
        <v>9</v>
      </c>
      <c r="C273" t="str">
        <f t="shared" si="28"/>
        <v>11232</v>
      </c>
      <c r="D273" t="s">
        <v>11</v>
      </c>
      <c r="E273" t="str">
        <f t="shared" si="29"/>
        <v>25</v>
      </c>
      <c r="F273">
        <v>29377</v>
      </c>
      <c r="G273">
        <v>26328</v>
      </c>
      <c r="H273">
        <v>854</v>
      </c>
      <c r="I273" t="str">
        <f t="shared" si="30"/>
        <v>1</v>
      </c>
      <c r="J273" t="str">
        <f t="shared" si="31"/>
        <v>sp.a - Groen</v>
      </c>
      <c r="K273">
        <v>2752</v>
      </c>
      <c r="L273">
        <v>6265</v>
      </c>
      <c r="M273">
        <v>9017</v>
      </c>
      <c r="N273">
        <v>8116</v>
      </c>
      <c r="O273">
        <v>9</v>
      </c>
      <c r="P273" t="str">
        <f>("25")</f>
        <v>25</v>
      </c>
      <c r="Q273" t="str">
        <f>("RAATS Peter")</f>
        <v>RAATS Peter</v>
      </c>
      <c r="R273">
        <v>522</v>
      </c>
      <c r="S273">
        <v>522</v>
      </c>
      <c r="T273">
        <v>0</v>
      </c>
      <c r="U273">
        <v>5</v>
      </c>
    </row>
    <row r="274" spans="1:24" x14ac:dyDescent="0.35">
      <c r="A274" t="s">
        <v>8</v>
      </c>
      <c r="B274" t="s">
        <v>9</v>
      </c>
      <c r="C274" t="str">
        <f t="shared" si="28"/>
        <v>11232</v>
      </c>
      <c r="D274" t="s">
        <v>11</v>
      </c>
      <c r="E274" t="str">
        <f t="shared" si="29"/>
        <v>25</v>
      </c>
      <c r="F274">
        <v>29377</v>
      </c>
      <c r="G274">
        <v>26328</v>
      </c>
      <c r="H274">
        <v>854</v>
      </c>
      <c r="I274" t="str">
        <f t="shared" ref="I274:I298" si="32">("2")</f>
        <v>2</v>
      </c>
      <c r="J274" t="str">
        <f t="shared" ref="J274:J298" si="33">("N-VA")</f>
        <v>N-VA</v>
      </c>
      <c r="K274">
        <v>3762</v>
      </c>
      <c r="L274">
        <v>4541</v>
      </c>
      <c r="M274">
        <v>8303</v>
      </c>
      <c r="N274">
        <v>7473</v>
      </c>
      <c r="O274">
        <v>9</v>
      </c>
      <c r="P274" t="str">
        <f>("1")</f>
        <v>1</v>
      </c>
      <c r="Q274" t="str">
        <f>("VAN DER PLANKEN Evi")</f>
        <v>VAN DER PLANKEN Evi</v>
      </c>
      <c r="R274">
        <v>2702</v>
      </c>
      <c r="S274">
        <v>7473</v>
      </c>
      <c r="T274">
        <v>6515</v>
      </c>
      <c r="U274">
        <v>1</v>
      </c>
    </row>
    <row r="275" spans="1:24" x14ac:dyDescent="0.35">
      <c r="A275" t="s">
        <v>8</v>
      </c>
      <c r="B275" t="s">
        <v>9</v>
      </c>
      <c r="C275" t="str">
        <f t="shared" si="28"/>
        <v>11232</v>
      </c>
      <c r="D275" t="s">
        <v>11</v>
      </c>
      <c r="E275" t="str">
        <f t="shared" si="29"/>
        <v>25</v>
      </c>
      <c r="F275">
        <v>29377</v>
      </c>
      <c r="G275">
        <v>26328</v>
      </c>
      <c r="H275">
        <v>854</v>
      </c>
      <c r="I275" t="str">
        <f t="shared" si="32"/>
        <v>2</v>
      </c>
      <c r="J275" t="str">
        <f t="shared" si="33"/>
        <v>N-VA</v>
      </c>
      <c r="K275">
        <v>3762</v>
      </c>
      <c r="L275">
        <v>4541</v>
      </c>
      <c r="M275">
        <v>8303</v>
      </c>
      <c r="N275">
        <v>7473</v>
      </c>
      <c r="O275">
        <v>9</v>
      </c>
      <c r="P275" t="str">
        <f>("2")</f>
        <v>2</v>
      </c>
      <c r="Q275" t="str">
        <f>("DE SAEGHER Bruno")</f>
        <v>DE SAEGHER Bruno</v>
      </c>
      <c r="R275">
        <v>686</v>
      </c>
      <c r="S275">
        <v>7201</v>
      </c>
      <c r="T275">
        <v>0</v>
      </c>
      <c r="U275">
        <v>2</v>
      </c>
    </row>
    <row r="276" spans="1:24" x14ac:dyDescent="0.35">
      <c r="A276" t="s">
        <v>8</v>
      </c>
      <c r="B276" t="s">
        <v>9</v>
      </c>
      <c r="C276" t="str">
        <f t="shared" si="28"/>
        <v>11232</v>
      </c>
      <c r="D276" t="s">
        <v>11</v>
      </c>
      <c r="E276" t="str">
        <f t="shared" si="29"/>
        <v>25</v>
      </c>
      <c r="F276">
        <v>29377</v>
      </c>
      <c r="G276">
        <v>26328</v>
      </c>
      <c r="H276">
        <v>854</v>
      </c>
      <c r="I276" t="str">
        <f t="shared" si="32"/>
        <v>2</v>
      </c>
      <c r="J276" t="str">
        <f t="shared" si="33"/>
        <v>N-VA</v>
      </c>
      <c r="K276">
        <v>3762</v>
      </c>
      <c r="L276">
        <v>4541</v>
      </c>
      <c r="M276">
        <v>8303</v>
      </c>
      <c r="N276">
        <v>7473</v>
      </c>
      <c r="O276">
        <v>9</v>
      </c>
      <c r="P276" t="str">
        <f>("3")</f>
        <v>3</v>
      </c>
      <c r="Q276" t="str">
        <f>("DORÉ Janick")</f>
        <v>DORÉ Janick</v>
      </c>
      <c r="R276">
        <v>509</v>
      </c>
      <c r="S276">
        <v>509</v>
      </c>
      <c r="T276">
        <v>0</v>
      </c>
      <c r="U276">
        <v>3</v>
      </c>
    </row>
    <row r="277" spans="1:24" x14ac:dyDescent="0.35">
      <c r="A277" t="s">
        <v>8</v>
      </c>
      <c r="B277" t="s">
        <v>9</v>
      </c>
      <c r="C277" t="str">
        <f t="shared" si="28"/>
        <v>11232</v>
      </c>
      <c r="D277" t="s">
        <v>11</v>
      </c>
      <c r="E277" t="str">
        <f t="shared" si="29"/>
        <v>25</v>
      </c>
      <c r="F277">
        <v>29377</v>
      </c>
      <c r="G277">
        <v>26328</v>
      </c>
      <c r="H277">
        <v>854</v>
      </c>
      <c r="I277" t="str">
        <f t="shared" si="32"/>
        <v>2</v>
      </c>
      <c r="J277" t="str">
        <f t="shared" si="33"/>
        <v>N-VA</v>
      </c>
      <c r="K277">
        <v>3762</v>
      </c>
      <c r="L277">
        <v>4541</v>
      </c>
      <c r="M277">
        <v>8303</v>
      </c>
      <c r="N277">
        <v>7473</v>
      </c>
      <c r="O277">
        <v>9</v>
      </c>
      <c r="P277" t="str">
        <f>("4")</f>
        <v>4</v>
      </c>
      <c r="Q277" t="str">
        <f>("KEYMIS Lieselot")</f>
        <v>KEYMIS Lieselot</v>
      </c>
      <c r="R277">
        <v>417</v>
      </c>
      <c r="S277">
        <v>417</v>
      </c>
      <c r="T277">
        <v>0</v>
      </c>
      <c r="U277">
        <v>4</v>
      </c>
    </row>
    <row r="278" spans="1:24" x14ac:dyDescent="0.35">
      <c r="A278" t="s">
        <v>8</v>
      </c>
      <c r="B278" t="s">
        <v>9</v>
      </c>
      <c r="C278" t="str">
        <f t="shared" si="28"/>
        <v>11232</v>
      </c>
      <c r="D278" t="s">
        <v>11</v>
      </c>
      <c r="E278" t="str">
        <f t="shared" si="29"/>
        <v>25</v>
      </c>
      <c r="F278">
        <v>29377</v>
      </c>
      <c r="G278">
        <v>26328</v>
      </c>
      <c r="H278">
        <v>854</v>
      </c>
      <c r="I278" t="str">
        <f t="shared" si="32"/>
        <v>2</v>
      </c>
      <c r="J278" t="str">
        <f t="shared" si="33"/>
        <v>N-VA</v>
      </c>
      <c r="K278">
        <v>3762</v>
      </c>
      <c r="L278">
        <v>4541</v>
      </c>
      <c r="M278">
        <v>8303</v>
      </c>
      <c r="N278">
        <v>7473</v>
      </c>
      <c r="O278">
        <v>9</v>
      </c>
      <c r="P278" t="str">
        <f>("5")</f>
        <v>5</v>
      </c>
      <c r="Q278" t="str">
        <f>("JACQUES Ilse")</f>
        <v>JACQUES Ilse</v>
      </c>
      <c r="R278">
        <v>335</v>
      </c>
      <c r="S278">
        <v>335</v>
      </c>
      <c r="T278">
        <v>0</v>
      </c>
      <c r="U278">
        <v>8</v>
      </c>
    </row>
    <row r="279" spans="1:24" x14ac:dyDescent="0.35">
      <c r="A279" t="s">
        <v>8</v>
      </c>
      <c r="B279" t="s">
        <v>9</v>
      </c>
      <c r="C279" t="str">
        <f t="shared" si="28"/>
        <v>11232</v>
      </c>
      <c r="D279" t="s">
        <v>11</v>
      </c>
      <c r="E279" t="str">
        <f t="shared" si="29"/>
        <v>25</v>
      </c>
      <c r="F279">
        <v>29377</v>
      </c>
      <c r="G279">
        <v>26328</v>
      </c>
      <c r="H279">
        <v>854</v>
      </c>
      <c r="I279" t="str">
        <f t="shared" si="32"/>
        <v>2</v>
      </c>
      <c r="J279" t="str">
        <f t="shared" si="33"/>
        <v>N-VA</v>
      </c>
      <c r="K279">
        <v>3762</v>
      </c>
      <c r="L279">
        <v>4541</v>
      </c>
      <c r="M279">
        <v>8303</v>
      </c>
      <c r="N279">
        <v>7473</v>
      </c>
      <c r="O279">
        <v>9</v>
      </c>
      <c r="P279" t="str">
        <f>("6")</f>
        <v>6</v>
      </c>
      <c r="Q279" t="str">
        <f>("POPPE Jan")</f>
        <v>POPPE Jan</v>
      </c>
      <c r="R279">
        <v>324</v>
      </c>
      <c r="S279">
        <v>324</v>
      </c>
      <c r="T279">
        <v>0</v>
      </c>
      <c r="U279">
        <v>9</v>
      </c>
    </row>
    <row r="280" spans="1:24" x14ac:dyDescent="0.35">
      <c r="A280" t="s">
        <v>8</v>
      </c>
      <c r="B280" t="s">
        <v>9</v>
      </c>
      <c r="C280" t="str">
        <f t="shared" si="28"/>
        <v>11232</v>
      </c>
      <c r="D280" t="s">
        <v>11</v>
      </c>
      <c r="E280" t="str">
        <f t="shared" si="29"/>
        <v>25</v>
      </c>
      <c r="F280">
        <v>29377</v>
      </c>
      <c r="G280">
        <v>26328</v>
      </c>
      <c r="H280">
        <v>854</v>
      </c>
      <c r="I280" t="str">
        <f t="shared" si="32"/>
        <v>2</v>
      </c>
      <c r="J280" t="str">
        <f t="shared" si="33"/>
        <v>N-VA</v>
      </c>
      <c r="K280">
        <v>3762</v>
      </c>
      <c r="L280">
        <v>4541</v>
      </c>
      <c r="M280">
        <v>8303</v>
      </c>
      <c r="N280">
        <v>7473</v>
      </c>
      <c r="O280">
        <v>9</v>
      </c>
      <c r="P280" t="str">
        <f>("7")</f>
        <v>7</v>
      </c>
      <c r="Q280" t="str">
        <f>("BUDTS Conny")</f>
        <v>BUDTS Conny</v>
      </c>
      <c r="R280">
        <v>212</v>
      </c>
      <c r="S280" t="s">
        <v>44</v>
      </c>
      <c r="T280">
        <v>0</v>
      </c>
      <c r="V280">
        <v>1</v>
      </c>
      <c r="W280">
        <v>7473</v>
      </c>
      <c r="X280">
        <v>4025</v>
      </c>
    </row>
    <row r="281" spans="1:24" x14ac:dyDescent="0.35">
      <c r="A281" t="s">
        <v>8</v>
      </c>
      <c r="B281" t="s">
        <v>9</v>
      </c>
      <c r="C281" t="str">
        <f t="shared" ref="C281:C312" si="34">("11232")</f>
        <v>11232</v>
      </c>
      <c r="D281" t="s">
        <v>11</v>
      </c>
      <c r="E281" t="str">
        <f t="shared" ref="E281:E312" si="35">("25")</f>
        <v>25</v>
      </c>
      <c r="F281">
        <v>29377</v>
      </c>
      <c r="G281">
        <v>26328</v>
      </c>
      <c r="H281">
        <v>854</v>
      </c>
      <c r="I281" t="str">
        <f t="shared" si="32"/>
        <v>2</v>
      </c>
      <c r="J281" t="str">
        <f t="shared" si="33"/>
        <v>N-VA</v>
      </c>
      <c r="K281">
        <v>3762</v>
      </c>
      <c r="L281">
        <v>4541</v>
      </c>
      <c r="M281">
        <v>8303</v>
      </c>
      <c r="N281">
        <v>7473</v>
      </c>
      <c r="O281">
        <v>9</v>
      </c>
      <c r="P281" t="str">
        <f>("8")</f>
        <v>8</v>
      </c>
      <c r="Q281" t="str">
        <f>("VAN HERPEN Rik")</f>
        <v>VAN HERPEN Rik</v>
      </c>
      <c r="R281">
        <v>227</v>
      </c>
      <c r="S281" t="s">
        <v>44</v>
      </c>
      <c r="T281">
        <v>0</v>
      </c>
      <c r="V281">
        <v>2</v>
      </c>
      <c r="W281">
        <v>4252</v>
      </c>
      <c r="X281">
        <v>0</v>
      </c>
    </row>
    <row r="282" spans="1:24" x14ac:dyDescent="0.35">
      <c r="A282" t="s">
        <v>8</v>
      </c>
      <c r="B282" t="s">
        <v>9</v>
      </c>
      <c r="C282" t="str">
        <f t="shared" si="34"/>
        <v>11232</v>
      </c>
      <c r="D282" t="s">
        <v>11</v>
      </c>
      <c r="E282" t="str">
        <f t="shared" si="35"/>
        <v>25</v>
      </c>
      <c r="F282">
        <v>29377</v>
      </c>
      <c r="G282">
        <v>26328</v>
      </c>
      <c r="H282">
        <v>854</v>
      </c>
      <c r="I282" t="str">
        <f t="shared" si="32"/>
        <v>2</v>
      </c>
      <c r="J282" t="str">
        <f t="shared" si="33"/>
        <v>N-VA</v>
      </c>
      <c r="K282">
        <v>3762</v>
      </c>
      <c r="L282">
        <v>4541</v>
      </c>
      <c r="M282">
        <v>8303</v>
      </c>
      <c r="N282">
        <v>7473</v>
      </c>
      <c r="O282">
        <v>9</v>
      </c>
      <c r="P282" t="str">
        <f>("9")</f>
        <v>9</v>
      </c>
      <c r="Q282" t="str">
        <f>("ROELOFS-WOUTERS Myriam")</f>
        <v>ROELOFS-WOUTERS Myriam</v>
      </c>
      <c r="R282">
        <v>223</v>
      </c>
      <c r="S282" t="s">
        <v>44</v>
      </c>
      <c r="T282">
        <v>0</v>
      </c>
      <c r="V282">
        <v>7</v>
      </c>
      <c r="W282">
        <v>223</v>
      </c>
      <c r="X282">
        <v>0</v>
      </c>
    </row>
    <row r="283" spans="1:24" x14ac:dyDescent="0.35">
      <c r="A283" t="s">
        <v>8</v>
      </c>
      <c r="B283" t="s">
        <v>9</v>
      </c>
      <c r="C283" t="str">
        <f t="shared" si="34"/>
        <v>11232</v>
      </c>
      <c r="D283" t="s">
        <v>11</v>
      </c>
      <c r="E283" t="str">
        <f t="shared" si="35"/>
        <v>25</v>
      </c>
      <c r="F283">
        <v>29377</v>
      </c>
      <c r="G283">
        <v>26328</v>
      </c>
      <c r="H283">
        <v>854</v>
      </c>
      <c r="I283" t="str">
        <f t="shared" si="32"/>
        <v>2</v>
      </c>
      <c r="J283" t="str">
        <f t="shared" si="33"/>
        <v>N-VA</v>
      </c>
      <c r="K283">
        <v>3762</v>
      </c>
      <c r="L283">
        <v>4541</v>
      </c>
      <c r="M283">
        <v>8303</v>
      </c>
      <c r="N283">
        <v>7473</v>
      </c>
      <c r="O283">
        <v>9</v>
      </c>
      <c r="P283" t="str">
        <f>("10")</f>
        <v>10</v>
      </c>
      <c r="Q283" t="str">
        <f>("JACKSON Andy")</f>
        <v>JACKSON Andy</v>
      </c>
      <c r="R283">
        <v>269</v>
      </c>
      <c r="S283" t="s">
        <v>44</v>
      </c>
      <c r="T283">
        <v>0</v>
      </c>
      <c r="V283">
        <v>5</v>
      </c>
      <c r="W283">
        <v>269</v>
      </c>
      <c r="X283">
        <v>0</v>
      </c>
    </row>
    <row r="284" spans="1:24" x14ac:dyDescent="0.35">
      <c r="A284" t="s">
        <v>8</v>
      </c>
      <c r="B284" t="s">
        <v>9</v>
      </c>
      <c r="C284" t="str">
        <f t="shared" si="34"/>
        <v>11232</v>
      </c>
      <c r="D284" t="s">
        <v>11</v>
      </c>
      <c r="E284" t="str">
        <f t="shared" si="35"/>
        <v>25</v>
      </c>
      <c r="F284">
        <v>29377</v>
      </c>
      <c r="G284">
        <v>26328</v>
      </c>
      <c r="H284">
        <v>854</v>
      </c>
      <c r="I284" t="str">
        <f t="shared" si="32"/>
        <v>2</v>
      </c>
      <c r="J284" t="str">
        <f t="shared" si="33"/>
        <v>N-VA</v>
      </c>
      <c r="K284">
        <v>3762</v>
      </c>
      <c r="L284">
        <v>4541</v>
      </c>
      <c r="M284">
        <v>8303</v>
      </c>
      <c r="N284">
        <v>7473</v>
      </c>
      <c r="O284">
        <v>9</v>
      </c>
      <c r="P284" t="str">
        <f>("11")</f>
        <v>11</v>
      </c>
      <c r="Q284" t="str">
        <f>("KEUTEN Dieter")</f>
        <v>KEUTEN Dieter</v>
      </c>
      <c r="R284">
        <v>169</v>
      </c>
      <c r="S284" t="s">
        <v>44</v>
      </c>
      <c r="T284">
        <v>0</v>
      </c>
      <c r="V284">
        <v>15</v>
      </c>
      <c r="W284">
        <v>169</v>
      </c>
      <c r="X284">
        <v>0</v>
      </c>
    </row>
    <row r="285" spans="1:24" x14ac:dyDescent="0.35">
      <c r="A285" t="s">
        <v>8</v>
      </c>
      <c r="B285" t="s">
        <v>9</v>
      </c>
      <c r="C285" t="str">
        <f t="shared" si="34"/>
        <v>11232</v>
      </c>
      <c r="D285" t="s">
        <v>11</v>
      </c>
      <c r="E285" t="str">
        <f t="shared" si="35"/>
        <v>25</v>
      </c>
      <c r="F285">
        <v>29377</v>
      </c>
      <c r="G285">
        <v>26328</v>
      </c>
      <c r="H285">
        <v>854</v>
      </c>
      <c r="I285" t="str">
        <f t="shared" si="32"/>
        <v>2</v>
      </c>
      <c r="J285" t="str">
        <f t="shared" si="33"/>
        <v>N-VA</v>
      </c>
      <c r="K285">
        <v>3762</v>
      </c>
      <c r="L285">
        <v>4541</v>
      </c>
      <c r="M285">
        <v>8303</v>
      </c>
      <c r="N285">
        <v>7473</v>
      </c>
      <c r="O285">
        <v>9</v>
      </c>
      <c r="P285" t="str">
        <f>("12")</f>
        <v>12</v>
      </c>
      <c r="Q285" t="str">
        <f>("VAN BERCKELAER Charlotte")</f>
        <v>VAN BERCKELAER Charlotte</v>
      </c>
      <c r="R285">
        <v>291</v>
      </c>
      <c r="S285" t="s">
        <v>44</v>
      </c>
      <c r="T285">
        <v>0</v>
      </c>
      <c r="V285">
        <v>3</v>
      </c>
      <c r="W285">
        <v>291</v>
      </c>
      <c r="X285">
        <v>0</v>
      </c>
    </row>
    <row r="286" spans="1:24" x14ac:dyDescent="0.35">
      <c r="A286" t="s">
        <v>8</v>
      </c>
      <c r="B286" t="s">
        <v>9</v>
      </c>
      <c r="C286" t="str">
        <f t="shared" si="34"/>
        <v>11232</v>
      </c>
      <c r="D286" t="s">
        <v>11</v>
      </c>
      <c r="E286" t="str">
        <f t="shared" si="35"/>
        <v>25</v>
      </c>
      <c r="F286">
        <v>29377</v>
      </c>
      <c r="G286">
        <v>26328</v>
      </c>
      <c r="H286">
        <v>854</v>
      </c>
      <c r="I286" t="str">
        <f t="shared" si="32"/>
        <v>2</v>
      </c>
      <c r="J286" t="str">
        <f t="shared" si="33"/>
        <v>N-VA</v>
      </c>
      <c r="K286">
        <v>3762</v>
      </c>
      <c r="L286">
        <v>4541</v>
      </c>
      <c r="M286">
        <v>8303</v>
      </c>
      <c r="N286">
        <v>7473</v>
      </c>
      <c r="O286">
        <v>9</v>
      </c>
      <c r="P286" t="str">
        <f>("13")</f>
        <v>13</v>
      </c>
      <c r="Q286" t="str">
        <f>("CLOOTS Jan")</f>
        <v>CLOOTS Jan</v>
      </c>
      <c r="R286">
        <v>280</v>
      </c>
      <c r="S286" t="s">
        <v>44</v>
      </c>
      <c r="T286">
        <v>0</v>
      </c>
      <c r="V286">
        <v>4</v>
      </c>
      <c r="W286">
        <v>280</v>
      </c>
      <c r="X286">
        <v>0</v>
      </c>
    </row>
    <row r="287" spans="1:24" x14ac:dyDescent="0.35">
      <c r="A287" t="s">
        <v>8</v>
      </c>
      <c r="B287" t="s">
        <v>9</v>
      </c>
      <c r="C287" t="str">
        <f t="shared" si="34"/>
        <v>11232</v>
      </c>
      <c r="D287" t="s">
        <v>11</v>
      </c>
      <c r="E287" t="str">
        <f t="shared" si="35"/>
        <v>25</v>
      </c>
      <c r="F287">
        <v>29377</v>
      </c>
      <c r="G287">
        <v>26328</v>
      </c>
      <c r="H287">
        <v>854</v>
      </c>
      <c r="I287" t="str">
        <f t="shared" si="32"/>
        <v>2</v>
      </c>
      <c r="J287" t="str">
        <f t="shared" si="33"/>
        <v>N-VA</v>
      </c>
      <c r="K287">
        <v>3762</v>
      </c>
      <c r="L287">
        <v>4541</v>
      </c>
      <c r="M287">
        <v>8303</v>
      </c>
      <c r="N287">
        <v>7473</v>
      </c>
      <c r="O287">
        <v>9</v>
      </c>
      <c r="P287" t="str">
        <f>("14")</f>
        <v>14</v>
      </c>
      <c r="Q287" t="str">
        <f>("MINTJENS Lotte")</f>
        <v>MINTJENS Lotte</v>
      </c>
      <c r="R287">
        <v>342</v>
      </c>
      <c r="S287">
        <v>342</v>
      </c>
      <c r="T287">
        <v>0</v>
      </c>
      <c r="U287">
        <v>6</v>
      </c>
    </row>
    <row r="288" spans="1:24" x14ac:dyDescent="0.35">
      <c r="A288" t="s">
        <v>8</v>
      </c>
      <c r="B288" t="s">
        <v>9</v>
      </c>
      <c r="C288" t="str">
        <f t="shared" si="34"/>
        <v>11232</v>
      </c>
      <c r="D288" t="s">
        <v>11</v>
      </c>
      <c r="E288" t="str">
        <f t="shared" si="35"/>
        <v>25</v>
      </c>
      <c r="F288">
        <v>29377</v>
      </c>
      <c r="G288">
        <v>26328</v>
      </c>
      <c r="H288">
        <v>854</v>
      </c>
      <c r="I288" t="str">
        <f t="shared" si="32"/>
        <v>2</v>
      </c>
      <c r="J288" t="str">
        <f t="shared" si="33"/>
        <v>N-VA</v>
      </c>
      <c r="K288">
        <v>3762</v>
      </c>
      <c r="L288">
        <v>4541</v>
      </c>
      <c r="M288">
        <v>8303</v>
      </c>
      <c r="N288">
        <v>7473</v>
      </c>
      <c r="O288">
        <v>9</v>
      </c>
      <c r="P288" t="str">
        <f>("15")</f>
        <v>15</v>
      </c>
      <c r="Q288" t="str">
        <f>("ALTINTAS Sevilay")</f>
        <v>ALTINTAS Sevilay</v>
      </c>
      <c r="R288">
        <v>359</v>
      </c>
      <c r="S288">
        <v>359</v>
      </c>
      <c r="T288">
        <v>0</v>
      </c>
      <c r="U288">
        <v>5</v>
      </c>
    </row>
    <row r="289" spans="1:24" x14ac:dyDescent="0.35">
      <c r="A289" t="s">
        <v>8</v>
      </c>
      <c r="B289" t="s">
        <v>9</v>
      </c>
      <c r="C289" t="str">
        <f t="shared" si="34"/>
        <v>11232</v>
      </c>
      <c r="D289" t="s">
        <v>11</v>
      </c>
      <c r="E289" t="str">
        <f t="shared" si="35"/>
        <v>25</v>
      </c>
      <c r="F289">
        <v>29377</v>
      </c>
      <c r="G289">
        <v>26328</v>
      </c>
      <c r="H289">
        <v>854</v>
      </c>
      <c r="I289" t="str">
        <f t="shared" si="32"/>
        <v>2</v>
      </c>
      <c r="J289" t="str">
        <f t="shared" si="33"/>
        <v>N-VA</v>
      </c>
      <c r="K289">
        <v>3762</v>
      </c>
      <c r="L289">
        <v>4541</v>
      </c>
      <c r="M289">
        <v>8303</v>
      </c>
      <c r="N289">
        <v>7473</v>
      </c>
      <c r="O289">
        <v>9</v>
      </c>
      <c r="P289" t="str">
        <f>("16")</f>
        <v>16</v>
      </c>
      <c r="Q289" t="str">
        <f>("VAN CLEEMPUT Els")</f>
        <v>VAN CLEEMPUT Els</v>
      </c>
      <c r="R289">
        <v>231</v>
      </c>
      <c r="S289" t="s">
        <v>44</v>
      </c>
      <c r="T289">
        <v>0</v>
      </c>
      <c r="V289">
        <v>6</v>
      </c>
      <c r="W289">
        <v>231</v>
      </c>
      <c r="X289">
        <v>0</v>
      </c>
    </row>
    <row r="290" spans="1:24" x14ac:dyDescent="0.35">
      <c r="A290" t="s">
        <v>8</v>
      </c>
      <c r="B290" t="s">
        <v>9</v>
      </c>
      <c r="C290" t="str">
        <f t="shared" si="34"/>
        <v>11232</v>
      </c>
      <c r="D290" t="s">
        <v>11</v>
      </c>
      <c r="E290" t="str">
        <f t="shared" si="35"/>
        <v>25</v>
      </c>
      <c r="F290">
        <v>29377</v>
      </c>
      <c r="G290">
        <v>26328</v>
      </c>
      <c r="H290">
        <v>854</v>
      </c>
      <c r="I290" t="str">
        <f t="shared" si="32"/>
        <v>2</v>
      </c>
      <c r="J290" t="str">
        <f t="shared" si="33"/>
        <v>N-VA</v>
      </c>
      <c r="K290">
        <v>3762</v>
      </c>
      <c r="L290">
        <v>4541</v>
      </c>
      <c r="M290">
        <v>8303</v>
      </c>
      <c r="N290">
        <v>7473</v>
      </c>
      <c r="O290">
        <v>9</v>
      </c>
      <c r="P290" t="str">
        <f>("17")</f>
        <v>17</v>
      </c>
      <c r="Q290" t="str">
        <f>("DE GEYNDT Joris")</f>
        <v>DE GEYNDT Joris</v>
      </c>
      <c r="R290">
        <v>171</v>
      </c>
      <c r="S290" t="s">
        <v>44</v>
      </c>
      <c r="T290">
        <v>0</v>
      </c>
      <c r="V290">
        <v>14</v>
      </c>
      <c r="W290">
        <v>171</v>
      </c>
      <c r="X290">
        <v>0</v>
      </c>
    </row>
    <row r="291" spans="1:24" x14ac:dyDescent="0.35">
      <c r="A291" t="s">
        <v>8</v>
      </c>
      <c r="B291" t="s">
        <v>9</v>
      </c>
      <c r="C291" t="str">
        <f t="shared" si="34"/>
        <v>11232</v>
      </c>
      <c r="D291" t="s">
        <v>11</v>
      </c>
      <c r="E291" t="str">
        <f t="shared" si="35"/>
        <v>25</v>
      </c>
      <c r="F291">
        <v>29377</v>
      </c>
      <c r="G291">
        <v>26328</v>
      </c>
      <c r="H291">
        <v>854</v>
      </c>
      <c r="I291" t="str">
        <f t="shared" si="32"/>
        <v>2</v>
      </c>
      <c r="J291" t="str">
        <f t="shared" si="33"/>
        <v>N-VA</v>
      </c>
      <c r="K291">
        <v>3762</v>
      </c>
      <c r="L291">
        <v>4541</v>
      </c>
      <c r="M291">
        <v>8303</v>
      </c>
      <c r="N291">
        <v>7473</v>
      </c>
      <c r="O291">
        <v>9</v>
      </c>
      <c r="P291" t="str">
        <f>("18")</f>
        <v>18</v>
      </c>
      <c r="Q291" t="str">
        <f>("GALLIAERT Irène")</f>
        <v>GALLIAERT Irène</v>
      </c>
      <c r="R291">
        <v>188</v>
      </c>
      <c r="S291" t="s">
        <v>44</v>
      </c>
      <c r="T291">
        <v>0</v>
      </c>
      <c r="V291">
        <v>11</v>
      </c>
      <c r="W291">
        <v>188</v>
      </c>
      <c r="X291">
        <v>0</v>
      </c>
    </row>
    <row r="292" spans="1:24" x14ac:dyDescent="0.35">
      <c r="A292" t="s">
        <v>8</v>
      </c>
      <c r="B292" t="s">
        <v>9</v>
      </c>
      <c r="C292" t="str">
        <f t="shared" si="34"/>
        <v>11232</v>
      </c>
      <c r="D292" t="s">
        <v>11</v>
      </c>
      <c r="E292" t="str">
        <f t="shared" si="35"/>
        <v>25</v>
      </c>
      <c r="F292">
        <v>29377</v>
      </c>
      <c r="G292">
        <v>26328</v>
      </c>
      <c r="H292">
        <v>854</v>
      </c>
      <c r="I292" t="str">
        <f t="shared" si="32"/>
        <v>2</v>
      </c>
      <c r="J292" t="str">
        <f t="shared" si="33"/>
        <v>N-VA</v>
      </c>
      <c r="K292">
        <v>3762</v>
      </c>
      <c r="L292">
        <v>4541</v>
      </c>
      <c r="M292">
        <v>8303</v>
      </c>
      <c r="N292">
        <v>7473</v>
      </c>
      <c r="O292">
        <v>9</v>
      </c>
      <c r="P292" t="str">
        <f>("19")</f>
        <v>19</v>
      </c>
      <c r="Q292" t="str">
        <f>("DE GIER Johan")</f>
        <v>DE GIER Johan</v>
      </c>
      <c r="R292">
        <v>185</v>
      </c>
      <c r="S292" t="s">
        <v>44</v>
      </c>
      <c r="T292">
        <v>0</v>
      </c>
      <c r="V292">
        <v>12</v>
      </c>
      <c r="W292">
        <v>185</v>
      </c>
      <c r="X292">
        <v>0</v>
      </c>
    </row>
    <row r="293" spans="1:24" x14ac:dyDescent="0.35">
      <c r="A293" t="s">
        <v>8</v>
      </c>
      <c r="B293" t="s">
        <v>9</v>
      </c>
      <c r="C293" t="str">
        <f t="shared" si="34"/>
        <v>11232</v>
      </c>
      <c r="D293" t="s">
        <v>11</v>
      </c>
      <c r="E293" t="str">
        <f t="shared" si="35"/>
        <v>25</v>
      </c>
      <c r="F293">
        <v>29377</v>
      </c>
      <c r="G293">
        <v>26328</v>
      </c>
      <c r="H293">
        <v>854</v>
      </c>
      <c r="I293" t="str">
        <f t="shared" si="32"/>
        <v>2</v>
      </c>
      <c r="J293" t="str">
        <f t="shared" si="33"/>
        <v>N-VA</v>
      </c>
      <c r="K293">
        <v>3762</v>
      </c>
      <c r="L293">
        <v>4541</v>
      </c>
      <c r="M293">
        <v>8303</v>
      </c>
      <c r="N293">
        <v>7473</v>
      </c>
      <c r="O293">
        <v>9</v>
      </c>
      <c r="P293" t="str">
        <f>("20")</f>
        <v>20</v>
      </c>
      <c r="Q293" t="str">
        <f>("HEIJKERS Elke")</f>
        <v>HEIJKERS Elke</v>
      </c>
      <c r="R293">
        <v>193</v>
      </c>
      <c r="S293" t="s">
        <v>44</v>
      </c>
      <c r="T293">
        <v>0</v>
      </c>
      <c r="V293">
        <v>9</v>
      </c>
      <c r="W293">
        <v>193</v>
      </c>
      <c r="X293">
        <v>0</v>
      </c>
    </row>
    <row r="294" spans="1:24" x14ac:dyDescent="0.35">
      <c r="A294" t="s">
        <v>8</v>
      </c>
      <c r="B294" t="s">
        <v>9</v>
      </c>
      <c r="C294" t="str">
        <f t="shared" si="34"/>
        <v>11232</v>
      </c>
      <c r="D294" t="s">
        <v>11</v>
      </c>
      <c r="E294" t="str">
        <f t="shared" si="35"/>
        <v>25</v>
      </c>
      <c r="F294">
        <v>29377</v>
      </c>
      <c r="G294">
        <v>26328</v>
      </c>
      <c r="H294">
        <v>854</v>
      </c>
      <c r="I294" t="str">
        <f t="shared" si="32"/>
        <v>2</v>
      </c>
      <c r="J294" t="str">
        <f t="shared" si="33"/>
        <v>N-VA</v>
      </c>
      <c r="K294">
        <v>3762</v>
      </c>
      <c r="L294">
        <v>4541</v>
      </c>
      <c r="M294">
        <v>8303</v>
      </c>
      <c r="N294">
        <v>7473</v>
      </c>
      <c r="O294">
        <v>9</v>
      </c>
      <c r="P294" t="str">
        <f>("21")</f>
        <v>21</v>
      </c>
      <c r="Q294" t="str">
        <f>("GEERS Magda")</f>
        <v>GEERS Magda</v>
      </c>
      <c r="R294">
        <v>190</v>
      </c>
      <c r="S294" t="s">
        <v>44</v>
      </c>
      <c r="T294">
        <v>0</v>
      </c>
      <c r="V294">
        <v>10</v>
      </c>
      <c r="W294">
        <v>190</v>
      </c>
      <c r="X294">
        <v>0</v>
      </c>
    </row>
    <row r="295" spans="1:24" x14ac:dyDescent="0.35">
      <c r="A295" t="s">
        <v>8</v>
      </c>
      <c r="B295" t="s">
        <v>9</v>
      </c>
      <c r="C295" t="str">
        <f t="shared" si="34"/>
        <v>11232</v>
      </c>
      <c r="D295" t="s">
        <v>11</v>
      </c>
      <c r="E295" t="str">
        <f t="shared" si="35"/>
        <v>25</v>
      </c>
      <c r="F295">
        <v>29377</v>
      </c>
      <c r="G295">
        <v>26328</v>
      </c>
      <c r="H295">
        <v>854</v>
      </c>
      <c r="I295" t="str">
        <f t="shared" si="32"/>
        <v>2</v>
      </c>
      <c r="J295" t="str">
        <f t="shared" si="33"/>
        <v>N-VA</v>
      </c>
      <c r="K295">
        <v>3762</v>
      </c>
      <c r="L295">
        <v>4541</v>
      </c>
      <c r="M295">
        <v>8303</v>
      </c>
      <c r="N295">
        <v>7473</v>
      </c>
      <c r="O295">
        <v>9</v>
      </c>
      <c r="P295" t="str">
        <f>("22")</f>
        <v>22</v>
      </c>
      <c r="Q295" t="str">
        <f>("TERZIĆ Dejan")</f>
        <v>TERZIĆ Dejan</v>
      </c>
      <c r="R295">
        <v>161</v>
      </c>
      <c r="S295" t="s">
        <v>44</v>
      </c>
      <c r="T295">
        <v>0</v>
      </c>
      <c r="V295">
        <v>16</v>
      </c>
      <c r="W295">
        <v>161</v>
      </c>
      <c r="X295">
        <v>0</v>
      </c>
    </row>
    <row r="296" spans="1:24" x14ac:dyDescent="0.35">
      <c r="A296" t="s">
        <v>8</v>
      </c>
      <c r="B296" t="s">
        <v>9</v>
      </c>
      <c r="C296" t="str">
        <f t="shared" si="34"/>
        <v>11232</v>
      </c>
      <c r="D296" t="s">
        <v>11</v>
      </c>
      <c r="E296" t="str">
        <f t="shared" si="35"/>
        <v>25</v>
      </c>
      <c r="F296">
        <v>29377</v>
      </c>
      <c r="G296">
        <v>26328</v>
      </c>
      <c r="H296">
        <v>854</v>
      </c>
      <c r="I296" t="str">
        <f t="shared" si="32"/>
        <v>2</v>
      </c>
      <c r="J296" t="str">
        <f t="shared" si="33"/>
        <v>N-VA</v>
      </c>
      <c r="K296">
        <v>3762</v>
      </c>
      <c r="L296">
        <v>4541</v>
      </c>
      <c r="M296">
        <v>8303</v>
      </c>
      <c r="N296">
        <v>7473</v>
      </c>
      <c r="O296">
        <v>9</v>
      </c>
      <c r="P296" t="str">
        <f>("23")</f>
        <v>23</v>
      </c>
      <c r="Q296" t="str">
        <f>("TIELEMANS Joeri")</f>
        <v>TIELEMANS Joeri</v>
      </c>
      <c r="R296">
        <v>201</v>
      </c>
      <c r="S296" t="s">
        <v>44</v>
      </c>
      <c r="T296">
        <v>0</v>
      </c>
      <c r="V296">
        <v>8</v>
      </c>
      <c r="W296">
        <v>201</v>
      </c>
      <c r="X296">
        <v>0</v>
      </c>
    </row>
    <row r="297" spans="1:24" x14ac:dyDescent="0.35">
      <c r="A297" t="s">
        <v>8</v>
      </c>
      <c r="B297" t="s">
        <v>9</v>
      </c>
      <c r="C297" t="str">
        <f t="shared" si="34"/>
        <v>11232</v>
      </c>
      <c r="D297" t="s">
        <v>11</v>
      </c>
      <c r="E297" t="str">
        <f t="shared" si="35"/>
        <v>25</v>
      </c>
      <c r="F297">
        <v>29377</v>
      </c>
      <c r="G297">
        <v>26328</v>
      </c>
      <c r="H297">
        <v>854</v>
      </c>
      <c r="I297" t="str">
        <f t="shared" si="32"/>
        <v>2</v>
      </c>
      <c r="J297" t="str">
        <f t="shared" si="33"/>
        <v>N-VA</v>
      </c>
      <c r="K297">
        <v>3762</v>
      </c>
      <c r="L297">
        <v>4541</v>
      </c>
      <c r="M297">
        <v>8303</v>
      </c>
      <c r="N297">
        <v>7473</v>
      </c>
      <c r="O297">
        <v>9</v>
      </c>
      <c r="P297" t="str">
        <f>("24")</f>
        <v>24</v>
      </c>
      <c r="Q297" t="str">
        <f>("DOHET Madine")</f>
        <v>DOHET Madine</v>
      </c>
      <c r="R297">
        <v>181</v>
      </c>
      <c r="S297" t="s">
        <v>44</v>
      </c>
      <c r="T297">
        <v>0</v>
      </c>
      <c r="V297">
        <v>13</v>
      </c>
      <c r="W297">
        <v>181</v>
      </c>
      <c r="X297">
        <v>0</v>
      </c>
    </row>
    <row r="298" spans="1:24" x14ac:dyDescent="0.35">
      <c r="A298" t="s">
        <v>8</v>
      </c>
      <c r="B298" t="s">
        <v>9</v>
      </c>
      <c r="C298" t="str">
        <f t="shared" si="34"/>
        <v>11232</v>
      </c>
      <c r="D298" t="s">
        <v>11</v>
      </c>
      <c r="E298" t="str">
        <f t="shared" si="35"/>
        <v>25</v>
      </c>
      <c r="F298">
        <v>29377</v>
      </c>
      <c r="G298">
        <v>26328</v>
      </c>
      <c r="H298">
        <v>854</v>
      </c>
      <c r="I298" t="str">
        <f t="shared" si="32"/>
        <v>2</v>
      </c>
      <c r="J298" t="str">
        <f t="shared" si="33"/>
        <v>N-VA</v>
      </c>
      <c r="K298">
        <v>3762</v>
      </c>
      <c r="L298">
        <v>4541</v>
      </c>
      <c r="M298">
        <v>8303</v>
      </c>
      <c r="N298">
        <v>7473</v>
      </c>
      <c r="O298">
        <v>9</v>
      </c>
      <c r="P298" t="str">
        <f>("25")</f>
        <v>25</v>
      </c>
      <c r="Q298" t="str">
        <f>("DEDECKER Jan")</f>
        <v>DEDECKER Jan</v>
      </c>
      <c r="R298">
        <v>341</v>
      </c>
      <c r="S298">
        <v>341</v>
      </c>
      <c r="T298">
        <v>0</v>
      </c>
      <c r="U298">
        <v>7</v>
      </c>
    </row>
    <row r="299" spans="1:24" x14ac:dyDescent="0.35">
      <c r="A299" t="s">
        <v>8</v>
      </c>
      <c r="B299" t="s">
        <v>9</v>
      </c>
      <c r="C299" t="str">
        <f t="shared" si="34"/>
        <v>11232</v>
      </c>
      <c r="D299" t="s">
        <v>11</v>
      </c>
      <c r="E299" t="str">
        <f t="shared" si="35"/>
        <v>25</v>
      </c>
      <c r="F299">
        <v>29377</v>
      </c>
      <c r="G299">
        <v>26328</v>
      </c>
      <c r="H299">
        <v>854</v>
      </c>
      <c r="I299" t="str">
        <f t="shared" ref="I299:I323" si="36">("3")</f>
        <v>3</v>
      </c>
      <c r="J299" t="str">
        <f t="shared" ref="J299:J323" si="37">("CD&amp;V")</f>
        <v>CD&amp;V</v>
      </c>
      <c r="K299">
        <v>622</v>
      </c>
      <c r="L299">
        <v>1283</v>
      </c>
      <c r="M299">
        <v>1905</v>
      </c>
      <c r="N299">
        <v>1270</v>
      </c>
      <c r="O299">
        <v>2</v>
      </c>
      <c r="P299" t="str">
        <f>("1")</f>
        <v>1</v>
      </c>
      <c r="Q299" t="str">
        <f>("DE CLEYN Edwin")</f>
        <v>DE CLEYN Edwin</v>
      </c>
      <c r="R299">
        <v>557</v>
      </c>
      <c r="S299">
        <v>972</v>
      </c>
      <c r="T299">
        <v>0</v>
      </c>
      <c r="U299">
        <v>1</v>
      </c>
    </row>
    <row r="300" spans="1:24" x14ac:dyDescent="0.35">
      <c r="A300" t="s">
        <v>8</v>
      </c>
      <c r="B300" t="s">
        <v>9</v>
      </c>
      <c r="C300" t="str">
        <f t="shared" si="34"/>
        <v>11232</v>
      </c>
      <c r="D300" t="s">
        <v>11</v>
      </c>
      <c r="E300" t="str">
        <f t="shared" si="35"/>
        <v>25</v>
      </c>
      <c r="F300">
        <v>29377</v>
      </c>
      <c r="G300">
        <v>26328</v>
      </c>
      <c r="H300">
        <v>854</v>
      </c>
      <c r="I300" t="str">
        <f t="shared" si="36"/>
        <v>3</v>
      </c>
      <c r="J300" t="str">
        <f t="shared" si="37"/>
        <v>CD&amp;V</v>
      </c>
      <c r="K300">
        <v>622</v>
      </c>
      <c r="L300">
        <v>1283</v>
      </c>
      <c r="M300">
        <v>1905</v>
      </c>
      <c r="N300">
        <v>1270</v>
      </c>
      <c r="O300">
        <v>2</v>
      </c>
      <c r="P300" t="str">
        <f>("2")</f>
        <v>2</v>
      </c>
      <c r="Q300" t="str">
        <f>("KARACA Buket")</f>
        <v>KARACA Buket</v>
      </c>
      <c r="R300">
        <v>239</v>
      </c>
      <c r="S300">
        <v>239</v>
      </c>
      <c r="T300">
        <v>0</v>
      </c>
      <c r="U300">
        <v>2</v>
      </c>
    </row>
    <row r="301" spans="1:24" x14ac:dyDescent="0.35">
      <c r="A301" t="s">
        <v>8</v>
      </c>
      <c r="B301" t="s">
        <v>9</v>
      </c>
      <c r="C301" t="str">
        <f t="shared" si="34"/>
        <v>11232</v>
      </c>
      <c r="D301" t="s">
        <v>11</v>
      </c>
      <c r="E301" t="str">
        <f t="shared" si="35"/>
        <v>25</v>
      </c>
      <c r="F301">
        <v>29377</v>
      </c>
      <c r="G301">
        <v>26328</v>
      </c>
      <c r="H301">
        <v>854</v>
      </c>
      <c r="I301" t="str">
        <f t="shared" si="36"/>
        <v>3</v>
      </c>
      <c r="J301" t="str">
        <f t="shared" si="37"/>
        <v>CD&amp;V</v>
      </c>
      <c r="K301">
        <v>622</v>
      </c>
      <c r="L301">
        <v>1283</v>
      </c>
      <c r="M301">
        <v>1905</v>
      </c>
      <c r="N301">
        <v>1270</v>
      </c>
      <c r="O301">
        <v>2</v>
      </c>
      <c r="P301" t="str">
        <f>("3")</f>
        <v>3</v>
      </c>
      <c r="Q301" t="str">
        <f>("VANLAERHOVEN Luc")</f>
        <v>VANLAERHOVEN Luc</v>
      </c>
      <c r="R301">
        <v>198</v>
      </c>
      <c r="S301" t="s">
        <v>44</v>
      </c>
      <c r="T301">
        <v>0</v>
      </c>
      <c r="V301">
        <v>1</v>
      </c>
      <c r="W301">
        <v>613</v>
      </c>
      <c r="X301">
        <v>0</v>
      </c>
    </row>
    <row r="302" spans="1:24" x14ac:dyDescent="0.35">
      <c r="A302" t="s">
        <v>8</v>
      </c>
      <c r="B302" t="s">
        <v>9</v>
      </c>
      <c r="C302" t="str">
        <f t="shared" si="34"/>
        <v>11232</v>
      </c>
      <c r="D302" t="s">
        <v>11</v>
      </c>
      <c r="E302" t="str">
        <f t="shared" si="35"/>
        <v>25</v>
      </c>
      <c r="F302">
        <v>29377</v>
      </c>
      <c r="G302">
        <v>26328</v>
      </c>
      <c r="H302">
        <v>854</v>
      </c>
      <c r="I302" t="str">
        <f t="shared" si="36"/>
        <v>3</v>
      </c>
      <c r="J302" t="str">
        <f t="shared" si="37"/>
        <v>CD&amp;V</v>
      </c>
      <c r="K302">
        <v>622</v>
      </c>
      <c r="L302">
        <v>1283</v>
      </c>
      <c r="M302">
        <v>1905</v>
      </c>
      <c r="N302">
        <v>1270</v>
      </c>
      <c r="O302">
        <v>2</v>
      </c>
      <c r="P302" t="str">
        <f>("4")</f>
        <v>4</v>
      </c>
      <c r="Q302" t="str">
        <f>("ROELANT-HUYBRECHTS Patty")</f>
        <v>ROELANT-HUYBRECHTS Patty</v>
      </c>
      <c r="R302">
        <v>74</v>
      </c>
      <c r="S302" t="s">
        <v>44</v>
      </c>
      <c r="T302">
        <v>0</v>
      </c>
      <c r="V302">
        <v>5</v>
      </c>
      <c r="W302">
        <v>74</v>
      </c>
      <c r="X302">
        <v>0</v>
      </c>
    </row>
    <row r="303" spans="1:24" x14ac:dyDescent="0.35">
      <c r="A303" t="s">
        <v>8</v>
      </c>
      <c r="B303" t="s">
        <v>9</v>
      </c>
      <c r="C303" t="str">
        <f t="shared" si="34"/>
        <v>11232</v>
      </c>
      <c r="D303" t="s">
        <v>11</v>
      </c>
      <c r="E303" t="str">
        <f t="shared" si="35"/>
        <v>25</v>
      </c>
      <c r="F303">
        <v>29377</v>
      </c>
      <c r="G303">
        <v>26328</v>
      </c>
      <c r="H303">
        <v>854</v>
      </c>
      <c r="I303" t="str">
        <f t="shared" si="36"/>
        <v>3</v>
      </c>
      <c r="J303" t="str">
        <f t="shared" si="37"/>
        <v>CD&amp;V</v>
      </c>
      <c r="K303">
        <v>622</v>
      </c>
      <c r="L303">
        <v>1283</v>
      </c>
      <c r="M303">
        <v>1905</v>
      </c>
      <c r="N303">
        <v>1270</v>
      </c>
      <c r="O303">
        <v>2</v>
      </c>
      <c r="P303" t="str">
        <f>("5")</f>
        <v>5</v>
      </c>
      <c r="Q303" t="str">
        <f>("VAN DEN BERGH Frederik")</f>
        <v>VAN DEN BERGH Frederik</v>
      </c>
      <c r="R303">
        <v>60</v>
      </c>
      <c r="S303" t="s">
        <v>44</v>
      </c>
      <c r="T303">
        <v>0</v>
      </c>
      <c r="V303">
        <v>10</v>
      </c>
      <c r="W303">
        <v>60</v>
      </c>
      <c r="X303">
        <v>0</v>
      </c>
    </row>
    <row r="304" spans="1:24" x14ac:dyDescent="0.35">
      <c r="A304" t="s">
        <v>8</v>
      </c>
      <c r="B304" t="s">
        <v>9</v>
      </c>
      <c r="C304" t="str">
        <f t="shared" si="34"/>
        <v>11232</v>
      </c>
      <c r="D304" t="s">
        <v>11</v>
      </c>
      <c r="E304" t="str">
        <f t="shared" si="35"/>
        <v>25</v>
      </c>
      <c r="F304">
        <v>29377</v>
      </c>
      <c r="G304">
        <v>26328</v>
      </c>
      <c r="H304">
        <v>854</v>
      </c>
      <c r="I304" t="str">
        <f t="shared" si="36"/>
        <v>3</v>
      </c>
      <c r="J304" t="str">
        <f t="shared" si="37"/>
        <v>CD&amp;V</v>
      </c>
      <c r="K304">
        <v>622</v>
      </c>
      <c r="L304">
        <v>1283</v>
      </c>
      <c r="M304">
        <v>1905</v>
      </c>
      <c r="N304">
        <v>1270</v>
      </c>
      <c r="O304">
        <v>2</v>
      </c>
      <c r="P304" t="str">
        <f>("6")</f>
        <v>6</v>
      </c>
      <c r="Q304" t="str">
        <f>("DEBRUYNE Suzanne")</f>
        <v>DEBRUYNE Suzanne</v>
      </c>
      <c r="R304">
        <v>86</v>
      </c>
      <c r="S304" t="s">
        <v>44</v>
      </c>
      <c r="T304">
        <v>0</v>
      </c>
      <c r="V304">
        <v>4</v>
      </c>
      <c r="W304">
        <v>86</v>
      </c>
      <c r="X304">
        <v>0</v>
      </c>
    </row>
    <row r="305" spans="1:24" x14ac:dyDescent="0.35">
      <c r="A305" t="s">
        <v>8</v>
      </c>
      <c r="B305" t="s">
        <v>9</v>
      </c>
      <c r="C305" t="str">
        <f t="shared" si="34"/>
        <v>11232</v>
      </c>
      <c r="D305" t="s">
        <v>11</v>
      </c>
      <c r="E305" t="str">
        <f t="shared" si="35"/>
        <v>25</v>
      </c>
      <c r="F305">
        <v>29377</v>
      </c>
      <c r="G305">
        <v>26328</v>
      </c>
      <c r="H305">
        <v>854</v>
      </c>
      <c r="I305" t="str">
        <f t="shared" si="36"/>
        <v>3</v>
      </c>
      <c r="J305" t="str">
        <f t="shared" si="37"/>
        <v>CD&amp;V</v>
      </c>
      <c r="K305">
        <v>622</v>
      </c>
      <c r="L305">
        <v>1283</v>
      </c>
      <c r="M305">
        <v>1905</v>
      </c>
      <c r="N305">
        <v>1270</v>
      </c>
      <c r="O305">
        <v>2</v>
      </c>
      <c r="P305" t="str">
        <f>("7")</f>
        <v>7</v>
      </c>
      <c r="Q305" t="str">
        <f>("LOVENIERS Eric")</f>
        <v>LOVENIERS Eric</v>
      </c>
      <c r="R305">
        <v>92</v>
      </c>
      <c r="S305" t="s">
        <v>44</v>
      </c>
      <c r="T305">
        <v>0</v>
      </c>
      <c r="V305">
        <v>3</v>
      </c>
      <c r="W305">
        <v>92</v>
      </c>
      <c r="X305">
        <v>0</v>
      </c>
    </row>
    <row r="306" spans="1:24" x14ac:dyDescent="0.35">
      <c r="A306" t="s">
        <v>8</v>
      </c>
      <c r="B306" t="s">
        <v>9</v>
      </c>
      <c r="C306" t="str">
        <f t="shared" si="34"/>
        <v>11232</v>
      </c>
      <c r="D306" t="s">
        <v>11</v>
      </c>
      <c r="E306" t="str">
        <f t="shared" si="35"/>
        <v>25</v>
      </c>
      <c r="F306">
        <v>29377</v>
      </c>
      <c r="G306">
        <v>26328</v>
      </c>
      <c r="H306">
        <v>854</v>
      </c>
      <c r="I306" t="str">
        <f t="shared" si="36"/>
        <v>3</v>
      </c>
      <c r="J306" t="str">
        <f t="shared" si="37"/>
        <v>CD&amp;V</v>
      </c>
      <c r="K306">
        <v>622</v>
      </c>
      <c r="L306">
        <v>1283</v>
      </c>
      <c r="M306">
        <v>1905</v>
      </c>
      <c r="N306">
        <v>1270</v>
      </c>
      <c r="O306">
        <v>2</v>
      </c>
      <c r="P306" t="str">
        <f>("8")</f>
        <v>8</v>
      </c>
      <c r="Q306" t="str">
        <f>("BERNAERTS Denise")</f>
        <v>BERNAERTS Denise</v>
      </c>
      <c r="R306">
        <v>61</v>
      </c>
      <c r="S306" t="s">
        <v>44</v>
      </c>
      <c r="T306">
        <v>0</v>
      </c>
      <c r="V306">
        <v>8</v>
      </c>
      <c r="W306">
        <v>61</v>
      </c>
      <c r="X306">
        <v>0</v>
      </c>
    </row>
    <row r="307" spans="1:24" x14ac:dyDescent="0.35">
      <c r="A307" t="s">
        <v>8</v>
      </c>
      <c r="B307" t="s">
        <v>9</v>
      </c>
      <c r="C307" t="str">
        <f t="shared" si="34"/>
        <v>11232</v>
      </c>
      <c r="D307" t="s">
        <v>11</v>
      </c>
      <c r="E307" t="str">
        <f t="shared" si="35"/>
        <v>25</v>
      </c>
      <c r="F307">
        <v>29377</v>
      </c>
      <c r="G307">
        <v>26328</v>
      </c>
      <c r="H307">
        <v>854</v>
      </c>
      <c r="I307" t="str">
        <f t="shared" si="36"/>
        <v>3</v>
      </c>
      <c r="J307" t="str">
        <f t="shared" si="37"/>
        <v>CD&amp;V</v>
      </c>
      <c r="K307">
        <v>622</v>
      </c>
      <c r="L307">
        <v>1283</v>
      </c>
      <c r="M307">
        <v>1905</v>
      </c>
      <c r="N307">
        <v>1270</v>
      </c>
      <c r="O307">
        <v>2</v>
      </c>
      <c r="P307" t="str">
        <f>("9")</f>
        <v>9</v>
      </c>
      <c r="Q307" t="str">
        <f>("VERACHTERT Hugo")</f>
        <v>VERACHTERT Hugo</v>
      </c>
      <c r="R307">
        <v>36</v>
      </c>
      <c r="S307" t="s">
        <v>44</v>
      </c>
      <c r="T307">
        <v>0</v>
      </c>
      <c r="V307">
        <v>16</v>
      </c>
      <c r="W307">
        <v>36</v>
      </c>
      <c r="X307">
        <v>0</v>
      </c>
    </row>
    <row r="308" spans="1:24" x14ac:dyDescent="0.35">
      <c r="A308" t="s">
        <v>8</v>
      </c>
      <c r="B308" t="s">
        <v>9</v>
      </c>
      <c r="C308" t="str">
        <f t="shared" si="34"/>
        <v>11232</v>
      </c>
      <c r="D308" t="s">
        <v>11</v>
      </c>
      <c r="E308" t="str">
        <f t="shared" si="35"/>
        <v>25</v>
      </c>
      <c r="F308">
        <v>29377</v>
      </c>
      <c r="G308">
        <v>26328</v>
      </c>
      <c r="H308">
        <v>854</v>
      </c>
      <c r="I308" t="str">
        <f t="shared" si="36"/>
        <v>3</v>
      </c>
      <c r="J308" t="str">
        <f t="shared" si="37"/>
        <v>CD&amp;V</v>
      </c>
      <c r="K308">
        <v>622</v>
      </c>
      <c r="L308">
        <v>1283</v>
      </c>
      <c r="M308">
        <v>1905</v>
      </c>
      <c r="N308">
        <v>1270</v>
      </c>
      <c r="O308">
        <v>2</v>
      </c>
      <c r="P308" t="str">
        <f>("10")</f>
        <v>10</v>
      </c>
      <c r="Q308" t="str">
        <f>("DECRAENE Nadine")</f>
        <v>DECRAENE Nadine</v>
      </c>
      <c r="R308">
        <v>61</v>
      </c>
      <c r="S308" t="s">
        <v>44</v>
      </c>
      <c r="T308">
        <v>0</v>
      </c>
      <c r="V308">
        <v>9</v>
      </c>
      <c r="W308">
        <v>61</v>
      </c>
      <c r="X308">
        <v>0</v>
      </c>
    </row>
    <row r="309" spans="1:24" x14ac:dyDescent="0.35">
      <c r="A309" t="s">
        <v>8</v>
      </c>
      <c r="B309" t="s">
        <v>9</v>
      </c>
      <c r="C309" t="str">
        <f t="shared" si="34"/>
        <v>11232</v>
      </c>
      <c r="D309" t="s">
        <v>11</v>
      </c>
      <c r="E309" t="str">
        <f t="shared" si="35"/>
        <v>25</v>
      </c>
      <c r="F309">
        <v>29377</v>
      </c>
      <c r="G309">
        <v>26328</v>
      </c>
      <c r="H309">
        <v>854</v>
      </c>
      <c r="I309" t="str">
        <f t="shared" si="36"/>
        <v>3</v>
      </c>
      <c r="J309" t="str">
        <f t="shared" si="37"/>
        <v>CD&amp;V</v>
      </c>
      <c r="K309">
        <v>622</v>
      </c>
      <c r="L309">
        <v>1283</v>
      </c>
      <c r="M309">
        <v>1905</v>
      </c>
      <c r="N309">
        <v>1270</v>
      </c>
      <c r="O309">
        <v>2</v>
      </c>
      <c r="P309" t="str">
        <f>("11")</f>
        <v>11</v>
      </c>
      <c r="Q309" t="str">
        <f>("CEULEMANS Xavier")</f>
        <v>CEULEMANS Xavier</v>
      </c>
      <c r="R309">
        <v>63</v>
      </c>
      <c r="S309" t="s">
        <v>44</v>
      </c>
      <c r="T309">
        <v>0</v>
      </c>
      <c r="V309">
        <v>7</v>
      </c>
      <c r="W309">
        <v>63</v>
      </c>
      <c r="X309">
        <v>0</v>
      </c>
    </row>
    <row r="310" spans="1:24" x14ac:dyDescent="0.35">
      <c r="A310" t="s">
        <v>8</v>
      </c>
      <c r="B310" t="s">
        <v>9</v>
      </c>
      <c r="C310" t="str">
        <f t="shared" si="34"/>
        <v>11232</v>
      </c>
      <c r="D310" t="s">
        <v>11</v>
      </c>
      <c r="E310" t="str">
        <f t="shared" si="35"/>
        <v>25</v>
      </c>
      <c r="F310">
        <v>29377</v>
      </c>
      <c r="G310">
        <v>26328</v>
      </c>
      <c r="H310">
        <v>854</v>
      </c>
      <c r="I310" t="str">
        <f t="shared" si="36"/>
        <v>3</v>
      </c>
      <c r="J310" t="str">
        <f t="shared" si="37"/>
        <v>CD&amp;V</v>
      </c>
      <c r="K310">
        <v>622</v>
      </c>
      <c r="L310">
        <v>1283</v>
      </c>
      <c r="M310">
        <v>1905</v>
      </c>
      <c r="N310">
        <v>1270</v>
      </c>
      <c r="O310">
        <v>2</v>
      </c>
      <c r="P310" t="str">
        <f>("12")</f>
        <v>12</v>
      </c>
      <c r="Q310" t="str">
        <f>("BEUNEN Stéphanie")</f>
        <v>BEUNEN Stéphanie</v>
      </c>
      <c r="R310">
        <v>48</v>
      </c>
      <c r="S310" t="s">
        <v>44</v>
      </c>
      <c r="T310">
        <v>0</v>
      </c>
      <c r="V310">
        <v>12</v>
      </c>
      <c r="W310">
        <v>48</v>
      </c>
      <c r="X310">
        <v>0</v>
      </c>
    </row>
    <row r="311" spans="1:24" x14ac:dyDescent="0.35">
      <c r="A311" t="s">
        <v>8</v>
      </c>
      <c r="B311" t="s">
        <v>9</v>
      </c>
      <c r="C311" t="str">
        <f t="shared" si="34"/>
        <v>11232</v>
      </c>
      <c r="D311" t="s">
        <v>11</v>
      </c>
      <c r="E311" t="str">
        <f t="shared" si="35"/>
        <v>25</v>
      </c>
      <c r="F311">
        <v>29377</v>
      </c>
      <c r="G311">
        <v>26328</v>
      </c>
      <c r="H311">
        <v>854</v>
      </c>
      <c r="I311" t="str">
        <f t="shared" si="36"/>
        <v>3</v>
      </c>
      <c r="J311" t="str">
        <f t="shared" si="37"/>
        <v>CD&amp;V</v>
      </c>
      <c r="K311">
        <v>622</v>
      </c>
      <c r="L311">
        <v>1283</v>
      </c>
      <c r="M311">
        <v>1905</v>
      </c>
      <c r="N311">
        <v>1270</v>
      </c>
      <c r="O311">
        <v>2</v>
      </c>
      <c r="P311" t="str">
        <f>("13")</f>
        <v>13</v>
      </c>
      <c r="Q311" t="str">
        <f>("JONKER Hans")</f>
        <v>JONKER Hans</v>
      </c>
      <c r="R311">
        <v>23</v>
      </c>
      <c r="S311" t="s">
        <v>44</v>
      </c>
      <c r="T311">
        <v>0</v>
      </c>
      <c r="V311">
        <v>23</v>
      </c>
      <c r="W311">
        <v>23</v>
      </c>
      <c r="X311">
        <v>0</v>
      </c>
    </row>
    <row r="312" spans="1:24" x14ac:dyDescent="0.35">
      <c r="A312" t="s">
        <v>8</v>
      </c>
      <c r="B312" t="s">
        <v>9</v>
      </c>
      <c r="C312" t="str">
        <f t="shared" si="34"/>
        <v>11232</v>
      </c>
      <c r="D312" t="s">
        <v>11</v>
      </c>
      <c r="E312" t="str">
        <f t="shared" si="35"/>
        <v>25</v>
      </c>
      <c r="F312">
        <v>29377</v>
      </c>
      <c r="G312">
        <v>26328</v>
      </c>
      <c r="H312">
        <v>854</v>
      </c>
      <c r="I312" t="str">
        <f t="shared" si="36"/>
        <v>3</v>
      </c>
      <c r="J312" t="str">
        <f t="shared" si="37"/>
        <v>CD&amp;V</v>
      </c>
      <c r="K312">
        <v>622</v>
      </c>
      <c r="L312">
        <v>1283</v>
      </c>
      <c r="M312">
        <v>1905</v>
      </c>
      <c r="N312">
        <v>1270</v>
      </c>
      <c r="O312">
        <v>2</v>
      </c>
      <c r="P312" t="str">
        <f>("14")</f>
        <v>14</v>
      </c>
      <c r="Q312" t="str">
        <f>("KAYINGA ANZADI Pierre")</f>
        <v>KAYINGA ANZADI Pierre</v>
      </c>
      <c r="R312">
        <v>29</v>
      </c>
      <c r="S312" t="s">
        <v>44</v>
      </c>
      <c r="T312">
        <v>0</v>
      </c>
      <c r="V312">
        <v>17</v>
      </c>
      <c r="W312">
        <v>29</v>
      </c>
      <c r="X312">
        <v>0</v>
      </c>
    </row>
    <row r="313" spans="1:24" x14ac:dyDescent="0.35">
      <c r="A313" t="s">
        <v>8</v>
      </c>
      <c r="B313" t="s">
        <v>9</v>
      </c>
      <c r="C313" t="str">
        <f t="shared" ref="C313:C344" si="38">("11232")</f>
        <v>11232</v>
      </c>
      <c r="D313" t="s">
        <v>11</v>
      </c>
      <c r="E313" t="str">
        <f t="shared" ref="E313:E344" si="39">("25")</f>
        <v>25</v>
      </c>
      <c r="F313">
        <v>29377</v>
      </c>
      <c r="G313">
        <v>26328</v>
      </c>
      <c r="H313">
        <v>854</v>
      </c>
      <c r="I313" t="str">
        <f t="shared" si="36"/>
        <v>3</v>
      </c>
      <c r="J313" t="str">
        <f t="shared" si="37"/>
        <v>CD&amp;V</v>
      </c>
      <c r="K313">
        <v>622</v>
      </c>
      <c r="L313">
        <v>1283</v>
      </c>
      <c r="M313">
        <v>1905</v>
      </c>
      <c r="N313">
        <v>1270</v>
      </c>
      <c r="O313">
        <v>2</v>
      </c>
      <c r="P313" t="str">
        <f>("15")</f>
        <v>15</v>
      </c>
      <c r="Q313" t="str">
        <f>("OPSTAELE Jeanine")</f>
        <v>OPSTAELE Jeanine</v>
      </c>
      <c r="R313">
        <v>29</v>
      </c>
      <c r="S313" t="s">
        <v>44</v>
      </c>
      <c r="T313">
        <v>0</v>
      </c>
      <c r="V313">
        <v>18</v>
      </c>
      <c r="W313">
        <v>29</v>
      </c>
      <c r="X313">
        <v>0</v>
      </c>
    </row>
    <row r="314" spans="1:24" x14ac:dyDescent="0.35">
      <c r="A314" t="s">
        <v>8</v>
      </c>
      <c r="B314" t="s">
        <v>9</v>
      </c>
      <c r="C314" t="str">
        <f t="shared" si="38"/>
        <v>11232</v>
      </c>
      <c r="D314" t="s">
        <v>11</v>
      </c>
      <c r="E314" t="str">
        <f t="shared" si="39"/>
        <v>25</v>
      </c>
      <c r="F314">
        <v>29377</v>
      </c>
      <c r="G314">
        <v>26328</v>
      </c>
      <c r="H314">
        <v>854</v>
      </c>
      <c r="I314" t="str">
        <f t="shared" si="36"/>
        <v>3</v>
      </c>
      <c r="J314" t="str">
        <f t="shared" si="37"/>
        <v>CD&amp;V</v>
      </c>
      <c r="K314">
        <v>622</v>
      </c>
      <c r="L314">
        <v>1283</v>
      </c>
      <c r="M314">
        <v>1905</v>
      </c>
      <c r="N314">
        <v>1270</v>
      </c>
      <c r="O314">
        <v>2</v>
      </c>
      <c r="P314" t="str">
        <f>("16")</f>
        <v>16</v>
      </c>
      <c r="Q314" t="str">
        <f>("SCHOUWAERTS Gerda")</f>
        <v>SCHOUWAERTS Gerda</v>
      </c>
      <c r="R314">
        <v>44</v>
      </c>
      <c r="S314" t="s">
        <v>44</v>
      </c>
      <c r="T314">
        <v>0</v>
      </c>
      <c r="V314">
        <v>15</v>
      </c>
      <c r="W314">
        <v>44</v>
      </c>
      <c r="X314">
        <v>0</v>
      </c>
    </row>
    <row r="315" spans="1:24" x14ac:dyDescent="0.35">
      <c r="A315" t="s">
        <v>8</v>
      </c>
      <c r="B315" t="s">
        <v>9</v>
      </c>
      <c r="C315" t="str">
        <f t="shared" si="38"/>
        <v>11232</v>
      </c>
      <c r="D315" t="s">
        <v>11</v>
      </c>
      <c r="E315" t="str">
        <f t="shared" si="39"/>
        <v>25</v>
      </c>
      <c r="F315">
        <v>29377</v>
      </c>
      <c r="G315">
        <v>26328</v>
      </c>
      <c r="H315">
        <v>854</v>
      </c>
      <c r="I315" t="str">
        <f t="shared" si="36"/>
        <v>3</v>
      </c>
      <c r="J315" t="str">
        <f t="shared" si="37"/>
        <v>CD&amp;V</v>
      </c>
      <c r="K315">
        <v>622</v>
      </c>
      <c r="L315">
        <v>1283</v>
      </c>
      <c r="M315">
        <v>1905</v>
      </c>
      <c r="N315">
        <v>1270</v>
      </c>
      <c r="O315">
        <v>2</v>
      </c>
      <c r="P315" t="str">
        <f>("17")</f>
        <v>17</v>
      </c>
      <c r="Q315" t="str">
        <f>("DEAN Lieve")</f>
        <v>DEAN Lieve</v>
      </c>
      <c r="R315">
        <v>28</v>
      </c>
      <c r="S315" t="s">
        <v>44</v>
      </c>
      <c r="T315">
        <v>0</v>
      </c>
      <c r="V315">
        <v>19</v>
      </c>
      <c r="W315">
        <v>28</v>
      </c>
      <c r="X315">
        <v>0</v>
      </c>
    </row>
    <row r="316" spans="1:24" x14ac:dyDescent="0.35">
      <c r="A316" t="s">
        <v>8</v>
      </c>
      <c r="B316" t="s">
        <v>9</v>
      </c>
      <c r="C316" t="str">
        <f t="shared" si="38"/>
        <v>11232</v>
      </c>
      <c r="D316" t="s">
        <v>11</v>
      </c>
      <c r="E316" t="str">
        <f t="shared" si="39"/>
        <v>25</v>
      </c>
      <c r="F316">
        <v>29377</v>
      </c>
      <c r="G316">
        <v>26328</v>
      </c>
      <c r="H316">
        <v>854</v>
      </c>
      <c r="I316" t="str">
        <f t="shared" si="36"/>
        <v>3</v>
      </c>
      <c r="J316" t="str">
        <f t="shared" si="37"/>
        <v>CD&amp;V</v>
      </c>
      <c r="K316">
        <v>622</v>
      </c>
      <c r="L316">
        <v>1283</v>
      </c>
      <c r="M316">
        <v>1905</v>
      </c>
      <c r="N316">
        <v>1270</v>
      </c>
      <c r="O316">
        <v>2</v>
      </c>
      <c r="P316" t="str">
        <f>("18")</f>
        <v>18</v>
      </c>
      <c r="Q316" t="str">
        <f>("WAEGEMANS André")</f>
        <v>WAEGEMANS André</v>
      </c>
      <c r="R316">
        <v>26</v>
      </c>
      <c r="S316" t="s">
        <v>44</v>
      </c>
      <c r="T316">
        <v>0</v>
      </c>
      <c r="V316">
        <v>20</v>
      </c>
      <c r="W316">
        <v>26</v>
      </c>
      <c r="X316">
        <v>0</v>
      </c>
    </row>
    <row r="317" spans="1:24" x14ac:dyDescent="0.35">
      <c r="A317" t="s">
        <v>8</v>
      </c>
      <c r="B317" t="s">
        <v>9</v>
      </c>
      <c r="C317" t="str">
        <f t="shared" si="38"/>
        <v>11232</v>
      </c>
      <c r="D317" t="s">
        <v>11</v>
      </c>
      <c r="E317" t="str">
        <f t="shared" si="39"/>
        <v>25</v>
      </c>
      <c r="F317">
        <v>29377</v>
      </c>
      <c r="G317">
        <v>26328</v>
      </c>
      <c r="H317">
        <v>854</v>
      </c>
      <c r="I317" t="str">
        <f t="shared" si="36"/>
        <v>3</v>
      </c>
      <c r="J317" t="str">
        <f t="shared" si="37"/>
        <v>CD&amp;V</v>
      </c>
      <c r="K317">
        <v>622</v>
      </c>
      <c r="L317">
        <v>1283</v>
      </c>
      <c r="M317">
        <v>1905</v>
      </c>
      <c r="N317">
        <v>1270</v>
      </c>
      <c r="O317">
        <v>2</v>
      </c>
      <c r="P317" t="str">
        <f>("19")</f>
        <v>19</v>
      </c>
      <c r="Q317" t="str">
        <f>("ORIS Danielle")</f>
        <v>ORIS Danielle</v>
      </c>
      <c r="R317">
        <v>45</v>
      </c>
      <c r="S317" t="s">
        <v>44</v>
      </c>
      <c r="T317">
        <v>0</v>
      </c>
      <c r="V317">
        <v>13</v>
      </c>
      <c r="W317">
        <v>45</v>
      </c>
      <c r="X317">
        <v>0</v>
      </c>
    </row>
    <row r="318" spans="1:24" x14ac:dyDescent="0.35">
      <c r="A318" t="s">
        <v>8</v>
      </c>
      <c r="B318" t="s">
        <v>9</v>
      </c>
      <c r="C318" t="str">
        <f t="shared" si="38"/>
        <v>11232</v>
      </c>
      <c r="D318" t="s">
        <v>11</v>
      </c>
      <c r="E318" t="str">
        <f t="shared" si="39"/>
        <v>25</v>
      </c>
      <c r="F318">
        <v>29377</v>
      </c>
      <c r="G318">
        <v>26328</v>
      </c>
      <c r="H318">
        <v>854</v>
      </c>
      <c r="I318" t="str">
        <f t="shared" si="36"/>
        <v>3</v>
      </c>
      <c r="J318" t="str">
        <f t="shared" si="37"/>
        <v>CD&amp;V</v>
      </c>
      <c r="K318">
        <v>622</v>
      </c>
      <c r="L318">
        <v>1283</v>
      </c>
      <c r="M318">
        <v>1905</v>
      </c>
      <c r="N318">
        <v>1270</v>
      </c>
      <c r="O318">
        <v>2</v>
      </c>
      <c r="P318" t="str">
        <f>("20")</f>
        <v>20</v>
      </c>
      <c r="Q318" t="str">
        <f>("CORTHOUT Sven")</f>
        <v>CORTHOUT Sven</v>
      </c>
      <c r="R318">
        <v>24</v>
      </c>
      <c r="S318" t="s">
        <v>44</v>
      </c>
      <c r="T318">
        <v>0</v>
      </c>
      <c r="V318">
        <v>22</v>
      </c>
      <c r="W318">
        <v>24</v>
      </c>
      <c r="X318">
        <v>0</v>
      </c>
    </row>
    <row r="319" spans="1:24" x14ac:dyDescent="0.35">
      <c r="A319" t="s">
        <v>8</v>
      </c>
      <c r="B319" t="s">
        <v>9</v>
      </c>
      <c r="C319" t="str">
        <f t="shared" si="38"/>
        <v>11232</v>
      </c>
      <c r="D319" t="s">
        <v>11</v>
      </c>
      <c r="E319" t="str">
        <f t="shared" si="39"/>
        <v>25</v>
      </c>
      <c r="F319">
        <v>29377</v>
      </c>
      <c r="G319">
        <v>26328</v>
      </c>
      <c r="H319">
        <v>854</v>
      </c>
      <c r="I319" t="str">
        <f t="shared" si="36"/>
        <v>3</v>
      </c>
      <c r="J319" t="str">
        <f t="shared" si="37"/>
        <v>CD&amp;V</v>
      </c>
      <c r="K319">
        <v>622</v>
      </c>
      <c r="L319">
        <v>1283</v>
      </c>
      <c r="M319">
        <v>1905</v>
      </c>
      <c r="N319">
        <v>1270</v>
      </c>
      <c r="O319">
        <v>2</v>
      </c>
      <c r="P319" t="str">
        <f>("21")</f>
        <v>21</v>
      </c>
      <c r="Q319" t="str">
        <f>("YÜKSEL Gurbet")</f>
        <v>YÜKSEL Gurbet</v>
      </c>
      <c r="R319">
        <v>70</v>
      </c>
      <c r="S319" t="s">
        <v>44</v>
      </c>
      <c r="T319">
        <v>0</v>
      </c>
      <c r="V319">
        <v>6</v>
      </c>
      <c r="W319">
        <v>70</v>
      </c>
      <c r="X319">
        <v>0</v>
      </c>
    </row>
    <row r="320" spans="1:24" x14ac:dyDescent="0.35">
      <c r="A320" t="s">
        <v>8</v>
      </c>
      <c r="B320" t="s">
        <v>9</v>
      </c>
      <c r="C320" t="str">
        <f t="shared" si="38"/>
        <v>11232</v>
      </c>
      <c r="D320" t="s">
        <v>11</v>
      </c>
      <c r="E320" t="str">
        <f t="shared" si="39"/>
        <v>25</v>
      </c>
      <c r="F320">
        <v>29377</v>
      </c>
      <c r="G320">
        <v>26328</v>
      </c>
      <c r="H320">
        <v>854</v>
      </c>
      <c r="I320" t="str">
        <f t="shared" si="36"/>
        <v>3</v>
      </c>
      <c r="J320" t="str">
        <f t="shared" si="37"/>
        <v>CD&amp;V</v>
      </c>
      <c r="K320">
        <v>622</v>
      </c>
      <c r="L320">
        <v>1283</v>
      </c>
      <c r="M320">
        <v>1905</v>
      </c>
      <c r="N320">
        <v>1270</v>
      </c>
      <c r="O320">
        <v>2</v>
      </c>
      <c r="P320" t="str">
        <f>("22")</f>
        <v>22</v>
      </c>
      <c r="Q320" t="str">
        <f>("JOOS Karel")</f>
        <v>JOOS Karel</v>
      </c>
      <c r="R320">
        <v>26</v>
      </c>
      <c r="S320" t="s">
        <v>44</v>
      </c>
      <c r="T320">
        <v>0</v>
      </c>
      <c r="V320">
        <v>21</v>
      </c>
      <c r="W320">
        <v>26</v>
      </c>
      <c r="X320">
        <v>0</v>
      </c>
    </row>
    <row r="321" spans="1:24" x14ac:dyDescent="0.35">
      <c r="A321" t="s">
        <v>8</v>
      </c>
      <c r="B321" t="s">
        <v>9</v>
      </c>
      <c r="C321" t="str">
        <f t="shared" si="38"/>
        <v>11232</v>
      </c>
      <c r="D321" t="s">
        <v>11</v>
      </c>
      <c r="E321" t="str">
        <f t="shared" si="39"/>
        <v>25</v>
      </c>
      <c r="F321">
        <v>29377</v>
      </c>
      <c r="G321">
        <v>26328</v>
      </c>
      <c r="H321">
        <v>854</v>
      </c>
      <c r="I321" t="str">
        <f t="shared" si="36"/>
        <v>3</v>
      </c>
      <c r="J321" t="str">
        <f t="shared" si="37"/>
        <v>CD&amp;V</v>
      </c>
      <c r="K321">
        <v>622</v>
      </c>
      <c r="L321">
        <v>1283</v>
      </c>
      <c r="M321">
        <v>1905</v>
      </c>
      <c r="N321">
        <v>1270</v>
      </c>
      <c r="O321">
        <v>2</v>
      </c>
      <c r="P321" t="str">
        <f>("23")</f>
        <v>23</v>
      </c>
      <c r="Q321" t="str">
        <f>("JACOBS Rita")</f>
        <v>JACOBS Rita</v>
      </c>
      <c r="R321">
        <v>45</v>
      </c>
      <c r="S321" t="s">
        <v>44</v>
      </c>
      <c r="T321">
        <v>0</v>
      </c>
      <c r="V321">
        <v>14</v>
      </c>
      <c r="W321">
        <v>45</v>
      </c>
      <c r="X321">
        <v>0</v>
      </c>
    </row>
    <row r="322" spans="1:24" x14ac:dyDescent="0.35">
      <c r="A322" t="s">
        <v>8</v>
      </c>
      <c r="B322" t="s">
        <v>9</v>
      </c>
      <c r="C322" t="str">
        <f t="shared" si="38"/>
        <v>11232</v>
      </c>
      <c r="D322" t="s">
        <v>11</v>
      </c>
      <c r="E322" t="str">
        <f t="shared" si="39"/>
        <v>25</v>
      </c>
      <c r="F322">
        <v>29377</v>
      </c>
      <c r="G322">
        <v>26328</v>
      </c>
      <c r="H322">
        <v>854</v>
      </c>
      <c r="I322" t="str">
        <f t="shared" si="36"/>
        <v>3</v>
      </c>
      <c r="J322" t="str">
        <f t="shared" si="37"/>
        <v>CD&amp;V</v>
      </c>
      <c r="K322">
        <v>622</v>
      </c>
      <c r="L322">
        <v>1283</v>
      </c>
      <c r="M322">
        <v>1905</v>
      </c>
      <c r="N322">
        <v>1270</v>
      </c>
      <c r="O322">
        <v>2</v>
      </c>
      <c r="P322" t="str">
        <f>("24")</f>
        <v>24</v>
      </c>
      <c r="Q322" t="str">
        <f>("VAN HOUTTE Jean")</f>
        <v>VAN HOUTTE Jean</v>
      </c>
      <c r="R322">
        <v>58</v>
      </c>
      <c r="S322" t="s">
        <v>44</v>
      </c>
      <c r="T322">
        <v>0</v>
      </c>
      <c r="V322">
        <v>11</v>
      </c>
      <c r="W322">
        <v>58</v>
      </c>
      <c r="X322">
        <v>0</v>
      </c>
    </row>
    <row r="323" spans="1:24" x14ac:dyDescent="0.35">
      <c r="A323" t="s">
        <v>8</v>
      </c>
      <c r="B323" t="s">
        <v>9</v>
      </c>
      <c r="C323" t="str">
        <f t="shared" si="38"/>
        <v>11232</v>
      </c>
      <c r="D323" t="s">
        <v>11</v>
      </c>
      <c r="E323" t="str">
        <f t="shared" si="39"/>
        <v>25</v>
      </c>
      <c r="F323">
        <v>29377</v>
      </c>
      <c r="G323">
        <v>26328</v>
      </c>
      <c r="H323">
        <v>854</v>
      </c>
      <c r="I323" t="str">
        <f t="shared" si="36"/>
        <v>3</v>
      </c>
      <c r="J323" t="str">
        <f t="shared" si="37"/>
        <v>CD&amp;V</v>
      </c>
      <c r="K323">
        <v>622</v>
      </c>
      <c r="L323">
        <v>1283</v>
      </c>
      <c r="M323">
        <v>1905</v>
      </c>
      <c r="N323">
        <v>1270</v>
      </c>
      <c r="O323">
        <v>2</v>
      </c>
      <c r="P323" t="str">
        <f>("25")</f>
        <v>25</v>
      </c>
      <c r="Q323" t="str">
        <f>("THIESSEN Luc")</f>
        <v>THIESSEN Luc</v>
      </c>
      <c r="R323">
        <v>107</v>
      </c>
      <c r="S323" t="s">
        <v>44</v>
      </c>
      <c r="T323">
        <v>0</v>
      </c>
      <c r="V323">
        <v>2</v>
      </c>
      <c r="W323">
        <v>107</v>
      </c>
      <c r="X323">
        <v>0</v>
      </c>
    </row>
    <row r="324" spans="1:24" x14ac:dyDescent="0.35">
      <c r="A324" t="s">
        <v>8</v>
      </c>
      <c r="B324" t="s">
        <v>9</v>
      </c>
      <c r="C324" t="str">
        <f t="shared" si="38"/>
        <v>11232</v>
      </c>
      <c r="D324" t="s">
        <v>11</v>
      </c>
      <c r="E324" t="str">
        <f t="shared" si="39"/>
        <v>25</v>
      </c>
      <c r="F324">
        <v>29377</v>
      </c>
      <c r="G324">
        <v>26328</v>
      </c>
      <c r="H324">
        <v>854</v>
      </c>
      <c r="I324" t="str">
        <f t="shared" ref="I324:I338" si="40">("5")</f>
        <v>5</v>
      </c>
      <c r="J324" t="str">
        <f t="shared" ref="J324:J338" si="41">("VLAAMS BELANG")</f>
        <v>VLAAMS BELANG</v>
      </c>
      <c r="K324">
        <v>719</v>
      </c>
      <c r="L324">
        <v>996</v>
      </c>
      <c r="M324">
        <v>1715</v>
      </c>
      <c r="N324">
        <v>858</v>
      </c>
      <c r="O324">
        <v>1</v>
      </c>
      <c r="P324" t="str">
        <f>("1")</f>
        <v>1</v>
      </c>
      <c r="Q324" t="str">
        <f>("BROUWERS Geert")</f>
        <v>BROUWERS Geert</v>
      </c>
      <c r="R324">
        <v>563</v>
      </c>
      <c r="S324">
        <v>803</v>
      </c>
      <c r="T324">
        <v>0</v>
      </c>
      <c r="U324">
        <v>1</v>
      </c>
    </row>
    <row r="325" spans="1:24" x14ac:dyDescent="0.35">
      <c r="A325" t="s">
        <v>8</v>
      </c>
      <c r="B325" t="s">
        <v>9</v>
      </c>
      <c r="C325" t="str">
        <f t="shared" si="38"/>
        <v>11232</v>
      </c>
      <c r="D325" t="s">
        <v>11</v>
      </c>
      <c r="E325" t="str">
        <f t="shared" si="39"/>
        <v>25</v>
      </c>
      <c r="F325">
        <v>29377</v>
      </c>
      <c r="G325">
        <v>26328</v>
      </c>
      <c r="H325">
        <v>854</v>
      </c>
      <c r="I325" t="str">
        <f t="shared" si="40"/>
        <v>5</v>
      </c>
      <c r="J325" t="str">
        <f t="shared" si="41"/>
        <v>VLAAMS BELANG</v>
      </c>
      <c r="K325">
        <v>719</v>
      </c>
      <c r="L325">
        <v>996</v>
      </c>
      <c r="M325">
        <v>1715</v>
      </c>
      <c r="N325">
        <v>858</v>
      </c>
      <c r="O325">
        <v>1</v>
      </c>
      <c r="P325" t="str">
        <f>("2")</f>
        <v>2</v>
      </c>
      <c r="Q325" t="str">
        <f>("DE WACHTER Micky")</f>
        <v>DE WACHTER Micky</v>
      </c>
      <c r="R325">
        <v>132</v>
      </c>
      <c r="S325" t="s">
        <v>44</v>
      </c>
      <c r="T325">
        <v>0</v>
      </c>
      <c r="V325">
        <v>1</v>
      </c>
      <c r="W325">
        <v>372</v>
      </c>
      <c r="X325">
        <v>0</v>
      </c>
    </row>
    <row r="326" spans="1:24" x14ac:dyDescent="0.35">
      <c r="A326" t="s">
        <v>8</v>
      </c>
      <c r="B326" t="s">
        <v>9</v>
      </c>
      <c r="C326" t="str">
        <f t="shared" si="38"/>
        <v>11232</v>
      </c>
      <c r="D326" t="s">
        <v>11</v>
      </c>
      <c r="E326" t="str">
        <f t="shared" si="39"/>
        <v>25</v>
      </c>
      <c r="F326">
        <v>29377</v>
      </c>
      <c r="G326">
        <v>26328</v>
      </c>
      <c r="H326">
        <v>854</v>
      </c>
      <c r="I326" t="str">
        <f t="shared" si="40"/>
        <v>5</v>
      </c>
      <c r="J326" t="str">
        <f t="shared" si="41"/>
        <v>VLAAMS BELANG</v>
      </c>
      <c r="K326">
        <v>719</v>
      </c>
      <c r="L326">
        <v>996</v>
      </c>
      <c r="M326">
        <v>1715</v>
      </c>
      <c r="N326">
        <v>858</v>
      </c>
      <c r="O326">
        <v>1</v>
      </c>
      <c r="P326" t="str">
        <f>("3")</f>
        <v>3</v>
      </c>
      <c r="Q326" t="str">
        <f>("MØLLER Karin")</f>
        <v>MØLLER Karin</v>
      </c>
      <c r="R326">
        <v>90</v>
      </c>
      <c r="S326" t="s">
        <v>44</v>
      </c>
      <c r="T326">
        <v>0</v>
      </c>
      <c r="V326">
        <v>4</v>
      </c>
      <c r="W326">
        <v>90</v>
      </c>
      <c r="X326">
        <v>0</v>
      </c>
    </row>
    <row r="327" spans="1:24" x14ac:dyDescent="0.35">
      <c r="A327" t="s">
        <v>8</v>
      </c>
      <c r="B327" t="s">
        <v>9</v>
      </c>
      <c r="C327" t="str">
        <f t="shared" si="38"/>
        <v>11232</v>
      </c>
      <c r="D327" t="s">
        <v>11</v>
      </c>
      <c r="E327" t="str">
        <f t="shared" si="39"/>
        <v>25</v>
      </c>
      <c r="F327">
        <v>29377</v>
      </c>
      <c r="G327">
        <v>26328</v>
      </c>
      <c r="H327">
        <v>854</v>
      </c>
      <c r="I327" t="str">
        <f t="shared" si="40"/>
        <v>5</v>
      </c>
      <c r="J327" t="str">
        <f t="shared" si="41"/>
        <v>VLAAMS BELANG</v>
      </c>
      <c r="K327">
        <v>719</v>
      </c>
      <c r="L327">
        <v>996</v>
      </c>
      <c r="M327">
        <v>1715</v>
      </c>
      <c r="N327">
        <v>858</v>
      </c>
      <c r="O327">
        <v>1</v>
      </c>
      <c r="P327" t="str">
        <f>("4")</f>
        <v>4</v>
      </c>
      <c r="Q327" t="str">
        <f>("DE BOCK Kristof")</f>
        <v>DE BOCK Kristof</v>
      </c>
      <c r="R327">
        <v>83</v>
      </c>
      <c r="S327" t="s">
        <v>44</v>
      </c>
      <c r="T327">
        <v>0</v>
      </c>
      <c r="V327">
        <v>5</v>
      </c>
      <c r="W327">
        <v>83</v>
      </c>
      <c r="X327">
        <v>0</v>
      </c>
    </row>
    <row r="328" spans="1:24" x14ac:dyDescent="0.35">
      <c r="A328" t="s">
        <v>8</v>
      </c>
      <c r="B328" t="s">
        <v>9</v>
      </c>
      <c r="C328" t="str">
        <f t="shared" si="38"/>
        <v>11232</v>
      </c>
      <c r="D328" t="s">
        <v>11</v>
      </c>
      <c r="E328" t="str">
        <f t="shared" si="39"/>
        <v>25</v>
      </c>
      <c r="F328">
        <v>29377</v>
      </c>
      <c r="G328">
        <v>26328</v>
      </c>
      <c r="H328">
        <v>854</v>
      </c>
      <c r="I328" t="str">
        <f t="shared" si="40"/>
        <v>5</v>
      </c>
      <c r="J328" t="str">
        <f t="shared" si="41"/>
        <v>VLAAMS BELANG</v>
      </c>
      <c r="K328">
        <v>719</v>
      </c>
      <c r="L328">
        <v>996</v>
      </c>
      <c r="M328">
        <v>1715</v>
      </c>
      <c r="N328">
        <v>858</v>
      </c>
      <c r="O328">
        <v>1</v>
      </c>
      <c r="P328" t="str">
        <f>("5")</f>
        <v>5</v>
      </c>
      <c r="Q328" t="str">
        <f>("DUNN Sharon")</f>
        <v>DUNN Sharon</v>
      </c>
      <c r="R328">
        <v>59</v>
      </c>
      <c r="S328" t="s">
        <v>44</v>
      </c>
      <c r="T328">
        <v>0</v>
      </c>
      <c r="V328">
        <v>7</v>
      </c>
      <c r="W328">
        <v>59</v>
      </c>
      <c r="X328">
        <v>0</v>
      </c>
    </row>
    <row r="329" spans="1:24" x14ac:dyDescent="0.35">
      <c r="A329" t="s">
        <v>8</v>
      </c>
      <c r="B329" t="s">
        <v>9</v>
      </c>
      <c r="C329" t="str">
        <f t="shared" si="38"/>
        <v>11232</v>
      </c>
      <c r="D329" t="s">
        <v>11</v>
      </c>
      <c r="E329" t="str">
        <f t="shared" si="39"/>
        <v>25</v>
      </c>
      <c r="F329">
        <v>29377</v>
      </c>
      <c r="G329">
        <v>26328</v>
      </c>
      <c r="H329">
        <v>854</v>
      </c>
      <c r="I329" t="str">
        <f t="shared" si="40"/>
        <v>5</v>
      </c>
      <c r="J329" t="str">
        <f t="shared" si="41"/>
        <v>VLAAMS BELANG</v>
      </c>
      <c r="K329">
        <v>719</v>
      </c>
      <c r="L329">
        <v>996</v>
      </c>
      <c r="M329">
        <v>1715</v>
      </c>
      <c r="N329">
        <v>858</v>
      </c>
      <c r="O329">
        <v>1</v>
      </c>
      <c r="P329" t="str">
        <f>("6")</f>
        <v>6</v>
      </c>
      <c r="Q329" t="str">
        <f>("THYS Marc")</f>
        <v>THYS Marc</v>
      </c>
      <c r="R329">
        <v>91</v>
      </c>
      <c r="S329" t="s">
        <v>44</v>
      </c>
      <c r="T329">
        <v>0</v>
      </c>
      <c r="V329">
        <v>3</v>
      </c>
      <c r="W329">
        <v>91</v>
      </c>
      <c r="X329">
        <v>0</v>
      </c>
    </row>
    <row r="330" spans="1:24" x14ac:dyDescent="0.35">
      <c r="A330" t="s">
        <v>8</v>
      </c>
      <c r="B330" t="s">
        <v>9</v>
      </c>
      <c r="C330" t="str">
        <f t="shared" si="38"/>
        <v>11232</v>
      </c>
      <c r="D330" t="s">
        <v>11</v>
      </c>
      <c r="E330" t="str">
        <f t="shared" si="39"/>
        <v>25</v>
      </c>
      <c r="F330">
        <v>29377</v>
      </c>
      <c r="G330">
        <v>26328</v>
      </c>
      <c r="H330">
        <v>854</v>
      </c>
      <c r="I330" t="str">
        <f t="shared" si="40"/>
        <v>5</v>
      </c>
      <c r="J330" t="str">
        <f t="shared" si="41"/>
        <v>VLAAMS BELANG</v>
      </c>
      <c r="K330">
        <v>719</v>
      </c>
      <c r="L330">
        <v>996</v>
      </c>
      <c r="M330">
        <v>1715</v>
      </c>
      <c r="N330">
        <v>858</v>
      </c>
      <c r="O330">
        <v>1</v>
      </c>
      <c r="P330" t="str">
        <f>("7")</f>
        <v>7</v>
      </c>
      <c r="Q330" t="str">
        <f>("KEMPEN Carlo")</f>
        <v>KEMPEN Carlo</v>
      </c>
      <c r="R330">
        <v>56</v>
      </c>
      <c r="S330" t="s">
        <v>44</v>
      </c>
      <c r="T330">
        <v>0</v>
      </c>
      <c r="V330">
        <v>8</v>
      </c>
      <c r="W330">
        <v>56</v>
      </c>
      <c r="X330">
        <v>0</v>
      </c>
    </row>
    <row r="331" spans="1:24" x14ac:dyDescent="0.35">
      <c r="A331" t="s">
        <v>8</v>
      </c>
      <c r="B331" t="s">
        <v>9</v>
      </c>
      <c r="C331" t="str">
        <f t="shared" si="38"/>
        <v>11232</v>
      </c>
      <c r="D331" t="s">
        <v>11</v>
      </c>
      <c r="E331" t="str">
        <f t="shared" si="39"/>
        <v>25</v>
      </c>
      <c r="F331">
        <v>29377</v>
      </c>
      <c r="G331">
        <v>26328</v>
      </c>
      <c r="H331">
        <v>854</v>
      </c>
      <c r="I331" t="str">
        <f t="shared" si="40"/>
        <v>5</v>
      </c>
      <c r="J331" t="str">
        <f t="shared" si="41"/>
        <v>VLAAMS BELANG</v>
      </c>
      <c r="K331">
        <v>719</v>
      </c>
      <c r="L331">
        <v>996</v>
      </c>
      <c r="M331">
        <v>1715</v>
      </c>
      <c r="N331">
        <v>858</v>
      </c>
      <c r="O331">
        <v>1</v>
      </c>
      <c r="P331" t="str">
        <f>("8")</f>
        <v>8</v>
      </c>
      <c r="Q331" t="str">
        <f>("MEYERS Magda")</f>
        <v>MEYERS Magda</v>
      </c>
      <c r="R331">
        <v>52</v>
      </c>
      <c r="S331" t="s">
        <v>44</v>
      </c>
      <c r="T331">
        <v>0</v>
      </c>
      <c r="V331">
        <v>10</v>
      </c>
      <c r="W331">
        <v>52</v>
      </c>
      <c r="X331">
        <v>0</v>
      </c>
    </row>
    <row r="332" spans="1:24" x14ac:dyDescent="0.35">
      <c r="A332" t="s">
        <v>8</v>
      </c>
      <c r="B332" t="s">
        <v>9</v>
      </c>
      <c r="C332" t="str">
        <f t="shared" si="38"/>
        <v>11232</v>
      </c>
      <c r="D332" t="s">
        <v>11</v>
      </c>
      <c r="E332" t="str">
        <f t="shared" si="39"/>
        <v>25</v>
      </c>
      <c r="F332">
        <v>29377</v>
      </c>
      <c r="G332">
        <v>26328</v>
      </c>
      <c r="H332">
        <v>854</v>
      </c>
      <c r="I332" t="str">
        <f t="shared" si="40"/>
        <v>5</v>
      </c>
      <c r="J332" t="str">
        <f t="shared" si="41"/>
        <v>VLAAMS BELANG</v>
      </c>
      <c r="K332">
        <v>719</v>
      </c>
      <c r="L332">
        <v>996</v>
      </c>
      <c r="M332">
        <v>1715</v>
      </c>
      <c r="N332">
        <v>858</v>
      </c>
      <c r="O332">
        <v>1</v>
      </c>
      <c r="P332" t="str">
        <f>("9")</f>
        <v>9</v>
      </c>
      <c r="Q332" t="str">
        <f>("UYTDEWILGEN Marc")</f>
        <v>UYTDEWILGEN Marc</v>
      </c>
      <c r="R332">
        <v>35</v>
      </c>
      <c r="S332" t="s">
        <v>44</v>
      </c>
      <c r="T332">
        <v>0</v>
      </c>
      <c r="V332">
        <v>14</v>
      </c>
      <c r="W332">
        <v>35</v>
      </c>
      <c r="X332">
        <v>0</v>
      </c>
    </row>
    <row r="333" spans="1:24" x14ac:dyDescent="0.35">
      <c r="A333" t="s">
        <v>8</v>
      </c>
      <c r="B333" t="s">
        <v>9</v>
      </c>
      <c r="C333" t="str">
        <f t="shared" si="38"/>
        <v>11232</v>
      </c>
      <c r="D333" t="s">
        <v>11</v>
      </c>
      <c r="E333" t="str">
        <f t="shared" si="39"/>
        <v>25</v>
      </c>
      <c r="F333">
        <v>29377</v>
      </c>
      <c r="G333">
        <v>26328</v>
      </c>
      <c r="H333">
        <v>854</v>
      </c>
      <c r="I333" t="str">
        <f t="shared" si="40"/>
        <v>5</v>
      </c>
      <c r="J333" t="str">
        <f t="shared" si="41"/>
        <v>VLAAMS BELANG</v>
      </c>
      <c r="K333">
        <v>719</v>
      </c>
      <c r="L333">
        <v>996</v>
      </c>
      <c r="M333">
        <v>1715</v>
      </c>
      <c r="N333">
        <v>858</v>
      </c>
      <c r="O333">
        <v>1</v>
      </c>
      <c r="P333" t="str">
        <f>("10")</f>
        <v>10</v>
      </c>
      <c r="Q333" t="str">
        <f>("BORGHGRAEF Rico")</f>
        <v>BORGHGRAEF Rico</v>
      </c>
      <c r="R333">
        <v>51</v>
      </c>
      <c r="S333" t="s">
        <v>44</v>
      </c>
      <c r="T333">
        <v>0</v>
      </c>
      <c r="V333">
        <v>11</v>
      </c>
      <c r="W333">
        <v>51</v>
      </c>
      <c r="X333">
        <v>0</v>
      </c>
    </row>
    <row r="334" spans="1:24" x14ac:dyDescent="0.35">
      <c r="A334" t="s">
        <v>8</v>
      </c>
      <c r="B334" t="s">
        <v>9</v>
      </c>
      <c r="C334" t="str">
        <f t="shared" si="38"/>
        <v>11232</v>
      </c>
      <c r="D334" t="s">
        <v>11</v>
      </c>
      <c r="E334" t="str">
        <f t="shared" si="39"/>
        <v>25</v>
      </c>
      <c r="F334">
        <v>29377</v>
      </c>
      <c r="G334">
        <v>26328</v>
      </c>
      <c r="H334">
        <v>854</v>
      </c>
      <c r="I334" t="str">
        <f t="shared" si="40"/>
        <v>5</v>
      </c>
      <c r="J334" t="str">
        <f t="shared" si="41"/>
        <v>VLAAMS BELANG</v>
      </c>
      <c r="K334">
        <v>719</v>
      </c>
      <c r="L334">
        <v>996</v>
      </c>
      <c r="M334">
        <v>1715</v>
      </c>
      <c r="N334">
        <v>858</v>
      </c>
      <c r="O334">
        <v>1</v>
      </c>
      <c r="P334" t="str">
        <f>("11")</f>
        <v>11</v>
      </c>
      <c r="Q334" t="str">
        <f>("ADRIAENSEN Liliane")</f>
        <v>ADRIAENSEN Liliane</v>
      </c>
      <c r="R334">
        <v>42</v>
      </c>
      <c r="S334" t="s">
        <v>44</v>
      </c>
      <c r="T334">
        <v>0</v>
      </c>
      <c r="V334">
        <v>13</v>
      </c>
      <c r="W334">
        <v>42</v>
      </c>
      <c r="X334">
        <v>0</v>
      </c>
    </row>
    <row r="335" spans="1:24" x14ac:dyDescent="0.35">
      <c r="A335" t="s">
        <v>8</v>
      </c>
      <c r="B335" t="s">
        <v>9</v>
      </c>
      <c r="C335" t="str">
        <f t="shared" si="38"/>
        <v>11232</v>
      </c>
      <c r="D335" t="s">
        <v>11</v>
      </c>
      <c r="E335" t="str">
        <f t="shared" si="39"/>
        <v>25</v>
      </c>
      <c r="F335">
        <v>29377</v>
      </c>
      <c r="G335">
        <v>26328</v>
      </c>
      <c r="H335">
        <v>854</v>
      </c>
      <c r="I335" t="str">
        <f t="shared" si="40"/>
        <v>5</v>
      </c>
      <c r="J335" t="str">
        <f t="shared" si="41"/>
        <v>VLAAMS BELANG</v>
      </c>
      <c r="K335">
        <v>719</v>
      </c>
      <c r="L335">
        <v>996</v>
      </c>
      <c r="M335">
        <v>1715</v>
      </c>
      <c r="N335">
        <v>858</v>
      </c>
      <c r="O335">
        <v>1</v>
      </c>
      <c r="P335" t="str">
        <f>("12")</f>
        <v>12</v>
      </c>
      <c r="Q335" t="str">
        <f>("VAN HEUCKELOM Marcel")</f>
        <v>VAN HEUCKELOM Marcel</v>
      </c>
      <c r="R335">
        <v>54</v>
      </c>
      <c r="S335" t="s">
        <v>44</v>
      </c>
      <c r="T335">
        <v>0</v>
      </c>
      <c r="V335">
        <v>9</v>
      </c>
      <c r="W335">
        <v>54</v>
      </c>
      <c r="X335">
        <v>0</v>
      </c>
    </row>
    <row r="336" spans="1:24" x14ac:dyDescent="0.35">
      <c r="A336" t="s">
        <v>8</v>
      </c>
      <c r="B336" t="s">
        <v>9</v>
      </c>
      <c r="C336" t="str">
        <f t="shared" si="38"/>
        <v>11232</v>
      </c>
      <c r="D336" t="s">
        <v>11</v>
      </c>
      <c r="E336" t="str">
        <f t="shared" si="39"/>
        <v>25</v>
      </c>
      <c r="F336">
        <v>29377</v>
      </c>
      <c r="G336">
        <v>26328</v>
      </c>
      <c r="H336">
        <v>854</v>
      </c>
      <c r="I336" t="str">
        <f t="shared" si="40"/>
        <v>5</v>
      </c>
      <c r="J336" t="str">
        <f t="shared" si="41"/>
        <v>VLAAMS BELANG</v>
      </c>
      <c r="K336">
        <v>719</v>
      </c>
      <c r="L336">
        <v>996</v>
      </c>
      <c r="M336">
        <v>1715</v>
      </c>
      <c r="N336">
        <v>858</v>
      </c>
      <c r="O336">
        <v>1</v>
      </c>
      <c r="P336" t="str">
        <f>("13")</f>
        <v>13</v>
      </c>
      <c r="Q336" t="str">
        <f>("JONGBLOED Marjon")</f>
        <v>JONGBLOED Marjon</v>
      </c>
      <c r="R336">
        <v>66</v>
      </c>
      <c r="S336" t="s">
        <v>44</v>
      </c>
      <c r="T336">
        <v>0</v>
      </c>
      <c r="V336">
        <v>6</v>
      </c>
      <c r="W336">
        <v>66</v>
      </c>
      <c r="X336">
        <v>0</v>
      </c>
    </row>
    <row r="337" spans="1:24" x14ac:dyDescent="0.35">
      <c r="A337" t="s">
        <v>8</v>
      </c>
      <c r="B337" t="s">
        <v>9</v>
      </c>
      <c r="C337" t="str">
        <f t="shared" si="38"/>
        <v>11232</v>
      </c>
      <c r="D337" t="s">
        <v>11</v>
      </c>
      <c r="E337" t="str">
        <f t="shared" si="39"/>
        <v>25</v>
      </c>
      <c r="F337">
        <v>29377</v>
      </c>
      <c r="G337">
        <v>26328</v>
      </c>
      <c r="H337">
        <v>854</v>
      </c>
      <c r="I337" t="str">
        <f t="shared" si="40"/>
        <v>5</v>
      </c>
      <c r="J337" t="str">
        <f t="shared" si="41"/>
        <v>VLAAMS BELANG</v>
      </c>
      <c r="K337">
        <v>719</v>
      </c>
      <c r="L337">
        <v>996</v>
      </c>
      <c r="M337">
        <v>1715</v>
      </c>
      <c r="N337">
        <v>858</v>
      </c>
      <c r="O337">
        <v>1</v>
      </c>
      <c r="P337" t="str">
        <f>("14")</f>
        <v>14</v>
      </c>
      <c r="Q337" t="str">
        <f>("VAN UTTERBEECK Carla")</f>
        <v>VAN UTTERBEECK Carla</v>
      </c>
      <c r="R337">
        <v>45</v>
      </c>
      <c r="S337" t="s">
        <v>44</v>
      </c>
      <c r="T337">
        <v>0</v>
      </c>
      <c r="V337">
        <v>12</v>
      </c>
      <c r="W337">
        <v>45</v>
      </c>
      <c r="X337">
        <v>0</v>
      </c>
    </row>
    <row r="338" spans="1:24" x14ac:dyDescent="0.35">
      <c r="A338" t="s">
        <v>8</v>
      </c>
      <c r="B338" t="s">
        <v>9</v>
      </c>
      <c r="C338" t="str">
        <f t="shared" si="38"/>
        <v>11232</v>
      </c>
      <c r="D338" t="s">
        <v>11</v>
      </c>
      <c r="E338" t="str">
        <f t="shared" si="39"/>
        <v>25</v>
      </c>
      <c r="F338">
        <v>29377</v>
      </c>
      <c r="G338">
        <v>26328</v>
      </c>
      <c r="H338">
        <v>854</v>
      </c>
      <c r="I338" t="str">
        <f t="shared" si="40"/>
        <v>5</v>
      </c>
      <c r="J338" t="str">
        <f t="shared" si="41"/>
        <v>VLAAMS BELANG</v>
      </c>
      <c r="K338">
        <v>719</v>
      </c>
      <c r="L338">
        <v>996</v>
      </c>
      <c r="M338">
        <v>1715</v>
      </c>
      <c r="N338">
        <v>858</v>
      </c>
      <c r="O338">
        <v>1</v>
      </c>
      <c r="P338" t="str">
        <f>("15")</f>
        <v>15</v>
      </c>
      <c r="Q338" t="str">
        <f>("LIEKENS Steven")</f>
        <v>LIEKENS Steven</v>
      </c>
      <c r="R338">
        <v>100</v>
      </c>
      <c r="S338" t="s">
        <v>44</v>
      </c>
      <c r="T338">
        <v>0</v>
      </c>
      <c r="V338">
        <v>2</v>
      </c>
      <c r="W338">
        <v>100</v>
      </c>
      <c r="X338">
        <v>0</v>
      </c>
    </row>
    <row r="339" spans="1:24" x14ac:dyDescent="0.35">
      <c r="A339" t="s">
        <v>8</v>
      </c>
      <c r="B339" t="s">
        <v>9</v>
      </c>
      <c r="C339" t="str">
        <f t="shared" si="38"/>
        <v>11232</v>
      </c>
      <c r="D339" t="s">
        <v>11</v>
      </c>
      <c r="E339" t="str">
        <f t="shared" si="39"/>
        <v>25</v>
      </c>
      <c r="F339">
        <v>29377</v>
      </c>
      <c r="G339">
        <v>26328</v>
      </c>
      <c r="H339">
        <v>854</v>
      </c>
      <c r="I339" t="str">
        <f t="shared" ref="I339:I363" si="42">("6")</f>
        <v>6</v>
      </c>
      <c r="J339" t="str">
        <f t="shared" ref="J339:J363" si="43">("Open Vld")</f>
        <v>Open Vld</v>
      </c>
      <c r="K339">
        <v>850</v>
      </c>
      <c r="L339">
        <v>1751</v>
      </c>
      <c r="M339">
        <v>2601</v>
      </c>
      <c r="N339">
        <v>1734</v>
      </c>
      <c r="O339">
        <v>2</v>
      </c>
      <c r="P339" t="str">
        <f>("1")</f>
        <v>1</v>
      </c>
      <c r="Q339" t="str">
        <f>("GYSELS Kris")</f>
        <v>GYSELS Kris</v>
      </c>
      <c r="R339">
        <v>498</v>
      </c>
      <c r="S339">
        <v>1065</v>
      </c>
      <c r="T339">
        <v>0</v>
      </c>
      <c r="U339">
        <v>1</v>
      </c>
    </row>
    <row r="340" spans="1:24" x14ac:dyDescent="0.35">
      <c r="A340" t="s">
        <v>8</v>
      </c>
      <c r="B340" t="s">
        <v>9</v>
      </c>
      <c r="C340" t="str">
        <f t="shared" si="38"/>
        <v>11232</v>
      </c>
      <c r="D340" t="s">
        <v>11</v>
      </c>
      <c r="E340" t="str">
        <f t="shared" si="39"/>
        <v>25</v>
      </c>
      <c r="F340">
        <v>29377</v>
      </c>
      <c r="G340">
        <v>26328</v>
      </c>
      <c r="H340">
        <v>854</v>
      </c>
      <c r="I340" t="str">
        <f t="shared" si="42"/>
        <v>6</v>
      </c>
      <c r="J340" t="str">
        <f t="shared" si="43"/>
        <v>Open Vld</v>
      </c>
      <c r="K340">
        <v>850</v>
      </c>
      <c r="L340">
        <v>1751</v>
      </c>
      <c r="M340">
        <v>2601</v>
      </c>
      <c r="N340">
        <v>1734</v>
      </c>
      <c r="O340">
        <v>2</v>
      </c>
      <c r="P340" t="str">
        <f>("2")</f>
        <v>2</v>
      </c>
      <c r="Q340" t="str">
        <f>("BAKELANTS Ann")</f>
        <v>BAKELANTS Ann</v>
      </c>
      <c r="R340">
        <v>398</v>
      </c>
      <c r="S340" t="s">
        <v>44</v>
      </c>
      <c r="T340">
        <v>0</v>
      </c>
      <c r="V340">
        <v>1</v>
      </c>
      <c r="W340">
        <v>965</v>
      </c>
      <c r="X340">
        <v>0</v>
      </c>
    </row>
    <row r="341" spans="1:24" x14ac:dyDescent="0.35">
      <c r="A341" t="s">
        <v>8</v>
      </c>
      <c r="B341" t="s">
        <v>9</v>
      </c>
      <c r="C341" t="str">
        <f t="shared" si="38"/>
        <v>11232</v>
      </c>
      <c r="D341" t="s">
        <v>11</v>
      </c>
      <c r="E341" t="str">
        <f t="shared" si="39"/>
        <v>25</v>
      </c>
      <c r="F341">
        <v>29377</v>
      </c>
      <c r="G341">
        <v>26328</v>
      </c>
      <c r="H341">
        <v>854</v>
      </c>
      <c r="I341" t="str">
        <f t="shared" si="42"/>
        <v>6</v>
      </c>
      <c r="J341" t="str">
        <f t="shared" si="43"/>
        <v>Open Vld</v>
      </c>
      <c r="K341">
        <v>850</v>
      </c>
      <c r="L341">
        <v>1751</v>
      </c>
      <c r="M341">
        <v>2601</v>
      </c>
      <c r="N341">
        <v>1734</v>
      </c>
      <c r="O341">
        <v>2</v>
      </c>
      <c r="P341" t="str">
        <f>("3")</f>
        <v>3</v>
      </c>
      <c r="Q341" t="str">
        <f>("SCHILTZ Willem-Frederik")</f>
        <v>SCHILTZ Willem-Frederik</v>
      </c>
      <c r="R341">
        <v>432</v>
      </c>
      <c r="S341">
        <v>432</v>
      </c>
      <c r="T341">
        <v>0</v>
      </c>
      <c r="U341">
        <v>2</v>
      </c>
    </row>
    <row r="342" spans="1:24" x14ac:dyDescent="0.35">
      <c r="A342" t="s">
        <v>8</v>
      </c>
      <c r="B342" t="s">
        <v>9</v>
      </c>
      <c r="C342" t="str">
        <f t="shared" si="38"/>
        <v>11232</v>
      </c>
      <c r="D342" t="s">
        <v>11</v>
      </c>
      <c r="E342" t="str">
        <f t="shared" si="39"/>
        <v>25</v>
      </c>
      <c r="F342">
        <v>29377</v>
      </c>
      <c r="G342">
        <v>26328</v>
      </c>
      <c r="H342">
        <v>854</v>
      </c>
      <c r="I342" t="str">
        <f t="shared" si="42"/>
        <v>6</v>
      </c>
      <c r="J342" t="str">
        <f t="shared" si="43"/>
        <v>Open Vld</v>
      </c>
      <c r="K342">
        <v>850</v>
      </c>
      <c r="L342">
        <v>1751</v>
      </c>
      <c r="M342">
        <v>2601</v>
      </c>
      <c r="N342">
        <v>1734</v>
      </c>
      <c r="O342">
        <v>2</v>
      </c>
      <c r="P342" t="str">
        <f>("4")</f>
        <v>4</v>
      </c>
      <c r="Q342" t="str">
        <f>("MARANNES Marina")</f>
        <v>MARANNES Marina</v>
      </c>
      <c r="R342">
        <v>134</v>
      </c>
      <c r="S342" t="s">
        <v>44</v>
      </c>
      <c r="T342">
        <v>0</v>
      </c>
      <c r="V342">
        <v>3</v>
      </c>
      <c r="W342">
        <v>134</v>
      </c>
      <c r="X342">
        <v>0</v>
      </c>
    </row>
    <row r="343" spans="1:24" x14ac:dyDescent="0.35">
      <c r="A343" t="s">
        <v>8</v>
      </c>
      <c r="B343" t="s">
        <v>9</v>
      </c>
      <c r="C343" t="str">
        <f t="shared" si="38"/>
        <v>11232</v>
      </c>
      <c r="D343" t="s">
        <v>11</v>
      </c>
      <c r="E343" t="str">
        <f t="shared" si="39"/>
        <v>25</v>
      </c>
      <c r="F343">
        <v>29377</v>
      </c>
      <c r="G343">
        <v>26328</v>
      </c>
      <c r="H343">
        <v>854</v>
      </c>
      <c r="I343" t="str">
        <f t="shared" si="42"/>
        <v>6</v>
      </c>
      <c r="J343" t="str">
        <f t="shared" si="43"/>
        <v>Open Vld</v>
      </c>
      <c r="K343">
        <v>850</v>
      </c>
      <c r="L343">
        <v>1751</v>
      </c>
      <c r="M343">
        <v>2601</v>
      </c>
      <c r="N343">
        <v>1734</v>
      </c>
      <c r="O343">
        <v>2</v>
      </c>
      <c r="P343" t="str">
        <f>("5")</f>
        <v>5</v>
      </c>
      <c r="Q343" t="str">
        <f>("COLSON Carlos")</f>
        <v>COLSON Carlos</v>
      </c>
      <c r="R343">
        <v>70</v>
      </c>
      <c r="S343" t="s">
        <v>44</v>
      </c>
      <c r="T343">
        <v>0</v>
      </c>
      <c r="V343">
        <v>14</v>
      </c>
      <c r="W343">
        <v>70</v>
      </c>
      <c r="X343">
        <v>0</v>
      </c>
    </row>
    <row r="344" spans="1:24" x14ac:dyDescent="0.35">
      <c r="A344" t="s">
        <v>8</v>
      </c>
      <c r="B344" t="s">
        <v>9</v>
      </c>
      <c r="C344" t="str">
        <f t="shared" si="38"/>
        <v>11232</v>
      </c>
      <c r="D344" t="s">
        <v>11</v>
      </c>
      <c r="E344" t="str">
        <f t="shared" si="39"/>
        <v>25</v>
      </c>
      <c r="F344">
        <v>29377</v>
      </c>
      <c r="G344">
        <v>26328</v>
      </c>
      <c r="H344">
        <v>854</v>
      </c>
      <c r="I344" t="str">
        <f t="shared" si="42"/>
        <v>6</v>
      </c>
      <c r="J344" t="str">
        <f t="shared" si="43"/>
        <v>Open Vld</v>
      </c>
      <c r="K344">
        <v>850</v>
      </c>
      <c r="L344">
        <v>1751</v>
      </c>
      <c r="M344">
        <v>2601</v>
      </c>
      <c r="N344">
        <v>1734</v>
      </c>
      <c r="O344">
        <v>2</v>
      </c>
      <c r="P344" t="str">
        <f>("6")</f>
        <v>6</v>
      </c>
      <c r="Q344" t="str">
        <f>("D'HAEYER Carine")</f>
        <v>D'HAEYER Carine</v>
      </c>
      <c r="R344">
        <v>81</v>
      </c>
      <c r="S344" t="s">
        <v>44</v>
      </c>
      <c r="T344">
        <v>0</v>
      </c>
      <c r="V344">
        <v>8</v>
      </c>
      <c r="W344">
        <v>81</v>
      </c>
      <c r="X344">
        <v>0</v>
      </c>
    </row>
    <row r="345" spans="1:24" x14ac:dyDescent="0.35">
      <c r="A345" t="s">
        <v>8</v>
      </c>
      <c r="B345" t="s">
        <v>9</v>
      </c>
      <c r="C345" t="str">
        <f t="shared" ref="C345:C376" si="44">("11232")</f>
        <v>11232</v>
      </c>
      <c r="D345" t="s">
        <v>11</v>
      </c>
      <c r="E345" t="str">
        <f t="shared" ref="E345:E376" si="45">("25")</f>
        <v>25</v>
      </c>
      <c r="F345">
        <v>29377</v>
      </c>
      <c r="G345">
        <v>26328</v>
      </c>
      <c r="H345">
        <v>854</v>
      </c>
      <c r="I345" t="str">
        <f t="shared" si="42"/>
        <v>6</v>
      </c>
      <c r="J345" t="str">
        <f t="shared" si="43"/>
        <v>Open Vld</v>
      </c>
      <c r="K345">
        <v>850</v>
      </c>
      <c r="L345">
        <v>1751</v>
      </c>
      <c r="M345">
        <v>2601</v>
      </c>
      <c r="N345">
        <v>1734</v>
      </c>
      <c r="O345">
        <v>2</v>
      </c>
      <c r="P345" t="str">
        <f>("7")</f>
        <v>7</v>
      </c>
      <c r="Q345" t="str">
        <f>("CEULEMANS Iris")</f>
        <v>CEULEMANS Iris</v>
      </c>
      <c r="R345">
        <v>82</v>
      </c>
      <c r="S345" t="s">
        <v>44</v>
      </c>
      <c r="T345">
        <v>0</v>
      </c>
      <c r="V345">
        <v>7</v>
      </c>
      <c r="W345">
        <v>82</v>
      </c>
      <c r="X345">
        <v>0</v>
      </c>
    </row>
    <row r="346" spans="1:24" x14ac:dyDescent="0.35">
      <c r="A346" t="s">
        <v>8</v>
      </c>
      <c r="B346" t="s">
        <v>9</v>
      </c>
      <c r="C346" t="str">
        <f t="shared" si="44"/>
        <v>11232</v>
      </c>
      <c r="D346" t="s">
        <v>11</v>
      </c>
      <c r="E346" t="str">
        <f t="shared" si="45"/>
        <v>25</v>
      </c>
      <c r="F346">
        <v>29377</v>
      </c>
      <c r="G346">
        <v>26328</v>
      </c>
      <c r="H346">
        <v>854</v>
      </c>
      <c r="I346" t="str">
        <f t="shared" si="42"/>
        <v>6</v>
      </c>
      <c r="J346" t="str">
        <f t="shared" si="43"/>
        <v>Open Vld</v>
      </c>
      <c r="K346">
        <v>850</v>
      </c>
      <c r="L346">
        <v>1751</v>
      </c>
      <c r="M346">
        <v>2601</v>
      </c>
      <c r="N346">
        <v>1734</v>
      </c>
      <c r="O346">
        <v>2</v>
      </c>
      <c r="P346" t="str">
        <f>("8")</f>
        <v>8</v>
      </c>
      <c r="Q346" t="str">
        <f>("AMPE Brigitte")</f>
        <v>AMPE Brigitte</v>
      </c>
      <c r="R346">
        <v>88</v>
      </c>
      <c r="S346" t="s">
        <v>44</v>
      </c>
      <c r="T346">
        <v>0</v>
      </c>
      <c r="V346">
        <v>6</v>
      </c>
      <c r="W346">
        <v>88</v>
      </c>
      <c r="X346">
        <v>0</v>
      </c>
    </row>
    <row r="347" spans="1:24" x14ac:dyDescent="0.35">
      <c r="A347" t="s">
        <v>8</v>
      </c>
      <c r="B347" t="s">
        <v>9</v>
      </c>
      <c r="C347" t="str">
        <f t="shared" si="44"/>
        <v>11232</v>
      </c>
      <c r="D347" t="s">
        <v>11</v>
      </c>
      <c r="E347" t="str">
        <f t="shared" si="45"/>
        <v>25</v>
      </c>
      <c r="F347">
        <v>29377</v>
      </c>
      <c r="G347">
        <v>26328</v>
      </c>
      <c r="H347">
        <v>854</v>
      </c>
      <c r="I347" t="str">
        <f t="shared" si="42"/>
        <v>6</v>
      </c>
      <c r="J347" t="str">
        <f t="shared" si="43"/>
        <v>Open Vld</v>
      </c>
      <c r="K347">
        <v>850</v>
      </c>
      <c r="L347">
        <v>1751</v>
      </c>
      <c r="M347">
        <v>2601</v>
      </c>
      <c r="N347">
        <v>1734</v>
      </c>
      <c r="O347">
        <v>2</v>
      </c>
      <c r="P347" t="str">
        <f>("9")</f>
        <v>9</v>
      </c>
      <c r="Q347" t="str">
        <f>("VAN NIEUWERBURGH Carl")</f>
        <v>VAN NIEUWERBURGH Carl</v>
      </c>
      <c r="R347">
        <v>42</v>
      </c>
      <c r="S347" t="s">
        <v>44</v>
      </c>
      <c r="T347">
        <v>0</v>
      </c>
      <c r="V347">
        <v>21</v>
      </c>
      <c r="W347">
        <v>42</v>
      </c>
      <c r="X347">
        <v>0</v>
      </c>
    </row>
    <row r="348" spans="1:24" x14ac:dyDescent="0.35">
      <c r="A348" t="s">
        <v>8</v>
      </c>
      <c r="B348" t="s">
        <v>9</v>
      </c>
      <c r="C348" t="str">
        <f t="shared" si="44"/>
        <v>11232</v>
      </c>
      <c r="D348" t="s">
        <v>11</v>
      </c>
      <c r="E348" t="str">
        <f t="shared" si="45"/>
        <v>25</v>
      </c>
      <c r="F348">
        <v>29377</v>
      </c>
      <c r="G348">
        <v>26328</v>
      </c>
      <c r="H348">
        <v>854</v>
      </c>
      <c r="I348" t="str">
        <f t="shared" si="42"/>
        <v>6</v>
      </c>
      <c r="J348" t="str">
        <f t="shared" si="43"/>
        <v>Open Vld</v>
      </c>
      <c r="K348">
        <v>850</v>
      </c>
      <c r="L348">
        <v>1751</v>
      </c>
      <c r="M348">
        <v>2601</v>
      </c>
      <c r="N348">
        <v>1734</v>
      </c>
      <c r="O348">
        <v>2</v>
      </c>
      <c r="P348" t="str">
        <f>("10")</f>
        <v>10</v>
      </c>
      <c r="Q348" t="str">
        <f>("VERCAMMEN Sim")</f>
        <v>VERCAMMEN Sim</v>
      </c>
      <c r="R348">
        <v>48</v>
      </c>
      <c r="S348" t="s">
        <v>44</v>
      </c>
      <c r="T348">
        <v>0</v>
      </c>
      <c r="V348">
        <v>19</v>
      </c>
      <c r="W348">
        <v>48</v>
      </c>
      <c r="X348">
        <v>0</v>
      </c>
    </row>
    <row r="349" spans="1:24" x14ac:dyDescent="0.35">
      <c r="A349" t="s">
        <v>8</v>
      </c>
      <c r="B349" t="s">
        <v>9</v>
      </c>
      <c r="C349" t="str">
        <f t="shared" si="44"/>
        <v>11232</v>
      </c>
      <c r="D349" t="s">
        <v>11</v>
      </c>
      <c r="E349" t="str">
        <f t="shared" si="45"/>
        <v>25</v>
      </c>
      <c r="F349">
        <v>29377</v>
      </c>
      <c r="G349">
        <v>26328</v>
      </c>
      <c r="H349">
        <v>854</v>
      </c>
      <c r="I349" t="str">
        <f t="shared" si="42"/>
        <v>6</v>
      </c>
      <c r="J349" t="str">
        <f t="shared" si="43"/>
        <v>Open Vld</v>
      </c>
      <c r="K349">
        <v>850</v>
      </c>
      <c r="L349">
        <v>1751</v>
      </c>
      <c r="M349">
        <v>2601</v>
      </c>
      <c r="N349">
        <v>1734</v>
      </c>
      <c r="O349">
        <v>2</v>
      </c>
      <c r="P349" t="str">
        <f>("11")</f>
        <v>11</v>
      </c>
      <c r="Q349" t="str">
        <f>("DASSEN Neomi")</f>
        <v>DASSEN Neomi</v>
      </c>
      <c r="R349">
        <v>73</v>
      </c>
      <c r="S349" t="s">
        <v>44</v>
      </c>
      <c r="T349">
        <v>0</v>
      </c>
      <c r="V349">
        <v>13</v>
      </c>
      <c r="W349">
        <v>73</v>
      </c>
      <c r="X349">
        <v>0</v>
      </c>
    </row>
    <row r="350" spans="1:24" x14ac:dyDescent="0.35">
      <c r="A350" t="s">
        <v>8</v>
      </c>
      <c r="B350" t="s">
        <v>9</v>
      </c>
      <c r="C350" t="str">
        <f t="shared" si="44"/>
        <v>11232</v>
      </c>
      <c r="D350" t="s">
        <v>11</v>
      </c>
      <c r="E350" t="str">
        <f t="shared" si="45"/>
        <v>25</v>
      </c>
      <c r="F350">
        <v>29377</v>
      </c>
      <c r="G350">
        <v>26328</v>
      </c>
      <c r="H350">
        <v>854</v>
      </c>
      <c r="I350" t="str">
        <f t="shared" si="42"/>
        <v>6</v>
      </c>
      <c r="J350" t="str">
        <f t="shared" si="43"/>
        <v>Open Vld</v>
      </c>
      <c r="K350">
        <v>850</v>
      </c>
      <c r="L350">
        <v>1751</v>
      </c>
      <c r="M350">
        <v>2601</v>
      </c>
      <c r="N350">
        <v>1734</v>
      </c>
      <c r="O350">
        <v>2</v>
      </c>
      <c r="P350" t="str">
        <f>("12")</f>
        <v>12</v>
      </c>
      <c r="Q350" t="str">
        <f>("MALDONADO CAMACHO Myriam")</f>
        <v>MALDONADO CAMACHO Myriam</v>
      </c>
      <c r="R350">
        <v>79</v>
      </c>
      <c r="S350" t="s">
        <v>44</v>
      </c>
      <c r="T350">
        <v>0</v>
      </c>
      <c r="V350">
        <v>9</v>
      </c>
      <c r="W350">
        <v>79</v>
      </c>
      <c r="X350">
        <v>0</v>
      </c>
    </row>
    <row r="351" spans="1:24" x14ac:dyDescent="0.35">
      <c r="A351" t="s">
        <v>8</v>
      </c>
      <c r="B351" t="s">
        <v>9</v>
      </c>
      <c r="C351" t="str">
        <f t="shared" si="44"/>
        <v>11232</v>
      </c>
      <c r="D351" t="s">
        <v>11</v>
      </c>
      <c r="E351" t="str">
        <f t="shared" si="45"/>
        <v>25</v>
      </c>
      <c r="F351">
        <v>29377</v>
      </c>
      <c r="G351">
        <v>26328</v>
      </c>
      <c r="H351">
        <v>854</v>
      </c>
      <c r="I351" t="str">
        <f t="shared" si="42"/>
        <v>6</v>
      </c>
      <c r="J351" t="str">
        <f t="shared" si="43"/>
        <v>Open Vld</v>
      </c>
      <c r="K351">
        <v>850</v>
      </c>
      <c r="L351">
        <v>1751</v>
      </c>
      <c r="M351">
        <v>2601</v>
      </c>
      <c r="N351">
        <v>1734</v>
      </c>
      <c r="O351">
        <v>2</v>
      </c>
      <c r="P351" t="str">
        <f>("13")</f>
        <v>13</v>
      </c>
      <c r="Q351" t="str">
        <f>("VERDEYEN Jeanne")</f>
        <v>VERDEYEN Jeanne</v>
      </c>
      <c r="R351">
        <v>46</v>
      </c>
      <c r="S351" t="s">
        <v>44</v>
      </c>
      <c r="T351">
        <v>0</v>
      </c>
      <c r="V351">
        <v>20</v>
      </c>
      <c r="W351">
        <v>46</v>
      </c>
      <c r="X351">
        <v>0</v>
      </c>
    </row>
    <row r="352" spans="1:24" x14ac:dyDescent="0.35">
      <c r="A352" t="s">
        <v>8</v>
      </c>
      <c r="B352" t="s">
        <v>9</v>
      </c>
      <c r="C352" t="str">
        <f t="shared" si="44"/>
        <v>11232</v>
      </c>
      <c r="D352" t="s">
        <v>11</v>
      </c>
      <c r="E352" t="str">
        <f t="shared" si="45"/>
        <v>25</v>
      </c>
      <c r="F352">
        <v>29377</v>
      </c>
      <c r="G352">
        <v>26328</v>
      </c>
      <c r="H352">
        <v>854</v>
      </c>
      <c r="I352" t="str">
        <f t="shared" si="42"/>
        <v>6</v>
      </c>
      <c r="J352" t="str">
        <f t="shared" si="43"/>
        <v>Open Vld</v>
      </c>
      <c r="K352">
        <v>850</v>
      </c>
      <c r="L352">
        <v>1751</v>
      </c>
      <c r="M352">
        <v>2601</v>
      </c>
      <c r="N352">
        <v>1734</v>
      </c>
      <c r="O352">
        <v>2</v>
      </c>
      <c r="P352" t="str">
        <f>("14")</f>
        <v>14</v>
      </c>
      <c r="Q352" t="str">
        <f>("ROOSENDAAL Mathieu")</f>
        <v>ROOSENDAAL Mathieu</v>
      </c>
      <c r="R352">
        <v>130</v>
      </c>
      <c r="S352" t="s">
        <v>44</v>
      </c>
      <c r="T352">
        <v>0</v>
      </c>
      <c r="V352">
        <v>4</v>
      </c>
      <c r="W352">
        <v>130</v>
      </c>
      <c r="X352">
        <v>0</v>
      </c>
    </row>
    <row r="353" spans="1:24" x14ac:dyDescent="0.35">
      <c r="A353" t="s">
        <v>8</v>
      </c>
      <c r="B353" t="s">
        <v>9</v>
      </c>
      <c r="C353" t="str">
        <f t="shared" si="44"/>
        <v>11232</v>
      </c>
      <c r="D353" t="s">
        <v>11</v>
      </c>
      <c r="E353" t="str">
        <f t="shared" si="45"/>
        <v>25</v>
      </c>
      <c r="F353">
        <v>29377</v>
      </c>
      <c r="G353">
        <v>26328</v>
      </c>
      <c r="H353">
        <v>854</v>
      </c>
      <c r="I353" t="str">
        <f t="shared" si="42"/>
        <v>6</v>
      </c>
      <c r="J353" t="str">
        <f t="shared" si="43"/>
        <v>Open Vld</v>
      </c>
      <c r="K353">
        <v>850</v>
      </c>
      <c r="L353">
        <v>1751</v>
      </c>
      <c r="M353">
        <v>2601</v>
      </c>
      <c r="N353">
        <v>1734</v>
      </c>
      <c r="O353">
        <v>2</v>
      </c>
      <c r="P353" t="str">
        <f>("15")</f>
        <v>15</v>
      </c>
      <c r="Q353" t="str">
        <f>("BORGINON Hendrik")</f>
        <v>BORGINON Hendrik</v>
      </c>
      <c r="R353">
        <v>79</v>
      </c>
      <c r="S353" t="s">
        <v>44</v>
      </c>
      <c r="T353">
        <v>0</v>
      </c>
      <c r="V353">
        <v>10</v>
      </c>
      <c r="W353">
        <v>79</v>
      </c>
      <c r="X353">
        <v>0</v>
      </c>
    </row>
    <row r="354" spans="1:24" x14ac:dyDescent="0.35">
      <c r="A354" t="s">
        <v>8</v>
      </c>
      <c r="B354" t="s">
        <v>9</v>
      </c>
      <c r="C354" t="str">
        <f t="shared" si="44"/>
        <v>11232</v>
      </c>
      <c r="D354" t="s">
        <v>11</v>
      </c>
      <c r="E354" t="str">
        <f t="shared" si="45"/>
        <v>25</v>
      </c>
      <c r="F354">
        <v>29377</v>
      </c>
      <c r="G354">
        <v>26328</v>
      </c>
      <c r="H354">
        <v>854</v>
      </c>
      <c r="I354" t="str">
        <f t="shared" si="42"/>
        <v>6</v>
      </c>
      <c r="J354" t="str">
        <f t="shared" si="43"/>
        <v>Open Vld</v>
      </c>
      <c r="K354">
        <v>850</v>
      </c>
      <c r="L354">
        <v>1751</v>
      </c>
      <c r="M354">
        <v>2601</v>
      </c>
      <c r="N354">
        <v>1734</v>
      </c>
      <c r="O354">
        <v>2</v>
      </c>
      <c r="P354" t="str">
        <f>("16")</f>
        <v>16</v>
      </c>
      <c r="Q354" t="str">
        <f>("PLUY Joris")</f>
        <v>PLUY Joris</v>
      </c>
      <c r="R354">
        <v>39</v>
      </c>
      <c r="S354" t="s">
        <v>44</v>
      </c>
      <c r="T354">
        <v>0</v>
      </c>
      <c r="V354">
        <v>22</v>
      </c>
      <c r="W354">
        <v>39</v>
      </c>
      <c r="X354">
        <v>0</v>
      </c>
    </row>
    <row r="355" spans="1:24" x14ac:dyDescent="0.35">
      <c r="A355" t="s">
        <v>8</v>
      </c>
      <c r="B355" t="s">
        <v>9</v>
      </c>
      <c r="C355" t="str">
        <f t="shared" si="44"/>
        <v>11232</v>
      </c>
      <c r="D355" t="s">
        <v>11</v>
      </c>
      <c r="E355" t="str">
        <f t="shared" si="45"/>
        <v>25</v>
      </c>
      <c r="F355">
        <v>29377</v>
      </c>
      <c r="G355">
        <v>26328</v>
      </c>
      <c r="H355">
        <v>854</v>
      </c>
      <c r="I355" t="str">
        <f t="shared" si="42"/>
        <v>6</v>
      </c>
      <c r="J355" t="str">
        <f t="shared" si="43"/>
        <v>Open Vld</v>
      </c>
      <c r="K355">
        <v>850</v>
      </c>
      <c r="L355">
        <v>1751</v>
      </c>
      <c r="M355">
        <v>2601</v>
      </c>
      <c r="N355">
        <v>1734</v>
      </c>
      <c r="O355">
        <v>2</v>
      </c>
      <c r="P355" t="str">
        <f>("17")</f>
        <v>17</v>
      </c>
      <c r="Q355" t="str">
        <f>("GORREBEECK Francine")</f>
        <v>GORREBEECK Francine</v>
      </c>
      <c r="R355">
        <v>52</v>
      </c>
      <c r="S355" t="s">
        <v>44</v>
      </c>
      <c r="T355">
        <v>0</v>
      </c>
      <c r="V355">
        <v>18</v>
      </c>
      <c r="W355">
        <v>52</v>
      </c>
      <c r="X355">
        <v>0</v>
      </c>
    </row>
    <row r="356" spans="1:24" x14ac:dyDescent="0.35">
      <c r="A356" t="s">
        <v>8</v>
      </c>
      <c r="B356" t="s">
        <v>9</v>
      </c>
      <c r="C356" t="str">
        <f t="shared" si="44"/>
        <v>11232</v>
      </c>
      <c r="D356" t="s">
        <v>11</v>
      </c>
      <c r="E356" t="str">
        <f t="shared" si="45"/>
        <v>25</v>
      </c>
      <c r="F356">
        <v>29377</v>
      </c>
      <c r="G356">
        <v>26328</v>
      </c>
      <c r="H356">
        <v>854</v>
      </c>
      <c r="I356" t="str">
        <f t="shared" si="42"/>
        <v>6</v>
      </c>
      <c r="J356" t="str">
        <f t="shared" si="43"/>
        <v>Open Vld</v>
      </c>
      <c r="K356">
        <v>850</v>
      </c>
      <c r="L356">
        <v>1751</v>
      </c>
      <c r="M356">
        <v>2601</v>
      </c>
      <c r="N356">
        <v>1734</v>
      </c>
      <c r="O356">
        <v>2</v>
      </c>
      <c r="P356" t="str">
        <f>("18")</f>
        <v>18</v>
      </c>
      <c r="Q356" t="str">
        <f>("ROBYN Jan")</f>
        <v>ROBYN Jan</v>
      </c>
      <c r="R356">
        <v>54</v>
      </c>
      <c r="S356" t="s">
        <v>44</v>
      </c>
      <c r="T356">
        <v>0</v>
      </c>
      <c r="V356">
        <v>17</v>
      </c>
      <c r="W356">
        <v>54</v>
      </c>
      <c r="X356">
        <v>0</v>
      </c>
    </row>
    <row r="357" spans="1:24" x14ac:dyDescent="0.35">
      <c r="A357" t="s">
        <v>8</v>
      </c>
      <c r="B357" t="s">
        <v>9</v>
      </c>
      <c r="C357" t="str">
        <f t="shared" si="44"/>
        <v>11232</v>
      </c>
      <c r="D357" t="s">
        <v>11</v>
      </c>
      <c r="E357" t="str">
        <f t="shared" si="45"/>
        <v>25</v>
      </c>
      <c r="F357">
        <v>29377</v>
      </c>
      <c r="G357">
        <v>26328</v>
      </c>
      <c r="H357">
        <v>854</v>
      </c>
      <c r="I357" t="str">
        <f t="shared" si="42"/>
        <v>6</v>
      </c>
      <c r="J357" t="str">
        <f t="shared" si="43"/>
        <v>Open Vld</v>
      </c>
      <c r="K357">
        <v>850</v>
      </c>
      <c r="L357">
        <v>1751</v>
      </c>
      <c r="M357">
        <v>2601</v>
      </c>
      <c r="N357">
        <v>1734</v>
      </c>
      <c r="O357">
        <v>2</v>
      </c>
      <c r="P357" t="str">
        <f>("19")</f>
        <v>19</v>
      </c>
      <c r="Q357" t="str">
        <f>("DE LANDTSHEER Emmanuel")</f>
        <v>DE LANDTSHEER Emmanuel</v>
      </c>
      <c r="R357">
        <v>55</v>
      </c>
      <c r="S357" t="s">
        <v>44</v>
      </c>
      <c r="T357">
        <v>0</v>
      </c>
      <c r="V357">
        <v>16</v>
      </c>
      <c r="W357">
        <v>55</v>
      </c>
      <c r="X357">
        <v>0</v>
      </c>
    </row>
    <row r="358" spans="1:24" x14ac:dyDescent="0.35">
      <c r="A358" t="s">
        <v>8</v>
      </c>
      <c r="B358" t="s">
        <v>9</v>
      </c>
      <c r="C358" t="str">
        <f t="shared" si="44"/>
        <v>11232</v>
      </c>
      <c r="D358" t="s">
        <v>11</v>
      </c>
      <c r="E358" t="str">
        <f t="shared" si="45"/>
        <v>25</v>
      </c>
      <c r="F358">
        <v>29377</v>
      </c>
      <c r="G358">
        <v>26328</v>
      </c>
      <c r="H358">
        <v>854</v>
      </c>
      <c r="I358" t="str">
        <f t="shared" si="42"/>
        <v>6</v>
      </c>
      <c r="J358" t="str">
        <f t="shared" si="43"/>
        <v>Open Vld</v>
      </c>
      <c r="K358">
        <v>850</v>
      </c>
      <c r="L358">
        <v>1751</v>
      </c>
      <c r="M358">
        <v>2601</v>
      </c>
      <c r="N358">
        <v>1734</v>
      </c>
      <c r="O358">
        <v>2</v>
      </c>
      <c r="P358" t="str">
        <f>("20")</f>
        <v>20</v>
      </c>
      <c r="Q358" t="str">
        <f>("PINTO Wendell")</f>
        <v>PINTO Wendell</v>
      </c>
      <c r="R358">
        <v>76</v>
      </c>
      <c r="S358" t="s">
        <v>44</v>
      </c>
      <c r="T358">
        <v>0</v>
      </c>
      <c r="V358">
        <v>12</v>
      </c>
      <c r="W358">
        <v>76</v>
      </c>
      <c r="X358">
        <v>0</v>
      </c>
    </row>
    <row r="359" spans="1:24" x14ac:dyDescent="0.35">
      <c r="A359" t="s">
        <v>8</v>
      </c>
      <c r="B359" t="s">
        <v>9</v>
      </c>
      <c r="C359" t="str">
        <f t="shared" si="44"/>
        <v>11232</v>
      </c>
      <c r="D359" t="s">
        <v>11</v>
      </c>
      <c r="E359" t="str">
        <f t="shared" si="45"/>
        <v>25</v>
      </c>
      <c r="F359">
        <v>29377</v>
      </c>
      <c r="G359">
        <v>26328</v>
      </c>
      <c r="H359">
        <v>854</v>
      </c>
      <c r="I359" t="str">
        <f t="shared" si="42"/>
        <v>6</v>
      </c>
      <c r="J359" t="str">
        <f t="shared" si="43"/>
        <v>Open Vld</v>
      </c>
      <c r="K359">
        <v>850</v>
      </c>
      <c r="L359">
        <v>1751</v>
      </c>
      <c r="M359">
        <v>2601</v>
      </c>
      <c r="N359">
        <v>1734</v>
      </c>
      <c r="O359">
        <v>2</v>
      </c>
      <c r="P359" t="str">
        <f>("21")</f>
        <v>21</v>
      </c>
      <c r="Q359" t="str">
        <f>("EX Gilberte")</f>
        <v>EX Gilberte</v>
      </c>
      <c r="R359">
        <v>69</v>
      </c>
      <c r="S359" t="s">
        <v>44</v>
      </c>
      <c r="T359">
        <v>0</v>
      </c>
      <c r="V359">
        <v>15</v>
      </c>
      <c r="W359">
        <v>69</v>
      </c>
      <c r="X359">
        <v>0</v>
      </c>
    </row>
    <row r="360" spans="1:24" x14ac:dyDescent="0.35">
      <c r="A360" t="s">
        <v>8</v>
      </c>
      <c r="B360" t="s">
        <v>9</v>
      </c>
      <c r="C360" t="str">
        <f t="shared" si="44"/>
        <v>11232</v>
      </c>
      <c r="D360" t="s">
        <v>11</v>
      </c>
      <c r="E360" t="str">
        <f t="shared" si="45"/>
        <v>25</v>
      </c>
      <c r="F360">
        <v>29377</v>
      </c>
      <c r="G360">
        <v>26328</v>
      </c>
      <c r="H360">
        <v>854</v>
      </c>
      <c r="I360" t="str">
        <f t="shared" si="42"/>
        <v>6</v>
      </c>
      <c r="J360" t="str">
        <f t="shared" si="43"/>
        <v>Open Vld</v>
      </c>
      <c r="K360">
        <v>850</v>
      </c>
      <c r="L360">
        <v>1751</v>
      </c>
      <c r="M360">
        <v>2601</v>
      </c>
      <c r="N360">
        <v>1734</v>
      </c>
      <c r="O360">
        <v>2</v>
      </c>
      <c r="P360" t="str">
        <f>("22")</f>
        <v>22</v>
      </c>
      <c r="Q360" t="str">
        <f>("CAMFIELD Peter")</f>
        <v>CAMFIELD Peter</v>
      </c>
      <c r="R360">
        <v>39</v>
      </c>
      <c r="S360" t="s">
        <v>44</v>
      </c>
      <c r="T360">
        <v>0</v>
      </c>
      <c r="V360">
        <v>23</v>
      </c>
      <c r="W360">
        <v>39</v>
      </c>
      <c r="X360">
        <v>0</v>
      </c>
    </row>
    <row r="361" spans="1:24" x14ac:dyDescent="0.35">
      <c r="A361" t="s">
        <v>8</v>
      </c>
      <c r="B361" t="s">
        <v>9</v>
      </c>
      <c r="C361" t="str">
        <f t="shared" si="44"/>
        <v>11232</v>
      </c>
      <c r="D361" t="s">
        <v>11</v>
      </c>
      <c r="E361" t="str">
        <f t="shared" si="45"/>
        <v>25</v>
      </c>
      <c r="F361">
        <v>29377</v>
      </c>
      <c r="G361">
        <v>26328</v>
      </c>
      <c r="H361">
        <v>854</v>
      </c>
      <c r="I361" t="str">
        <f t="shared" si="42"/>
        <v>6</v>
      </c>
      <c r="J361" t="str">
        <f t="shared" si="43"/>
        <v>Open Vld</v>
      </c>
      <c r="K361">
        <v>850</v>
      </c>
      <c r="L361">
        <v>1751</v>
      </c>
      <c r="M361">
        <v>2601</v>
      </c>
      <c r="N361">
        <v>1734</v>
      </c>
      <c r="O361">
        <v>2</v>
      </c>
      <c r="P361" t="str">
        <f>("23")</f>
        <v>23</v>
      </c>
      <c r="Q361" t="str">
        <f>("WATTECAMPS Annick")</f>
        <v>WATTECAMPS Annick</v>
      </c>
      <c r="R361">
        <v>77</v>
      </c>
      <c r="S361" t="s">
        <v>44</v>
      </c>
      <c r="T361">
        <v>0</v>
      </c>
      <c r="V361">
        <v>11</v>
      </c>
      <c r="W361">
        <v>77</v>
      </c>
      <c r="X361">
        <v>0</v>
      </c>
    </row>
    <row r="362" spans="1:24" x14ac:dyDescent="0.35">
      <c r="A362" t="s">
        <v>8</v>
      </c>
      <c r="B362" t="s">
        <v>9</v>
      </c>
      <c r="C362" t="str">
        <f t="shared" si="44"/>
        <v>11232</v>
      </c>
      <c r="D362" t="s">
        <v>11</v>
      </c>
      <c r="E362" t="str">
        <f t="shared" si="45"/>
        <v>25</v>
      </c>
      <c r="F362">
        <v>29377</v>
      </c>
      <c r="G362">
        <v>26328</v>
      </c>
      <c r="H362">
        <v>854</v>
      </c>
      <c r="I362" t="str">
        <f t="shared" si="42"/>
        <v>6</v>
      </c>
      <c r="J362" t="str">
        <f t="shared" si="43"/>
        <v>Open Vld</v>
      </c>
      <c r="K362">
        <v>850</v>
      </c>
      <c r="L362">
        <v>1751</v>
      </c>
      <c r="M362">
        <v>2601</v>
      </c>
      <c r="N362">
        <v>1734</v>
      </c>
      <c r="O362">
        <v>2</v>
      </c>
      <c r="P362" t="str">
        <f>("24")</f>
        <v>24</v>
      </c>
      <c r="Q362" t="str">
        <f>("BORGINON Fons")</f>
        <v>BORGINON Fons</v>
      </c>
      <c r="R362">
        <v>104</v>
      </c>
      <c r="S362" t="s">
        <v>44</v>
      </c>
      <c r="T362">
        <v>0</v>
      </c>
      <c r="V362">
        <v>5</v>
      </c>
      <c r="W362">
        <v>104</v>
      </c>
      <c r="X362">
        <v>0</v>
      </c>
    </row>
    <row r="363" spans="1:24" x14ac:dyDescent="0.35">
      <c r="A363" t="s">
        <v>8</v>
      </c>
      <c r="B363" t="s">
        <v>9</v>
      </c>
      <c r="C363" t="str">
        <f t="shared" si="44"/>
        <v>11232</v>
      </c>
      <c r="D363" t="s">
        <v>11</v>
      </c>
      <c r="E363" t="str">
        <f t="shared" si="45"/>
        <v>25</v>
      </c>
      <c r="F363">
        <v>29377</v>
      </c>
      <c r="G363">
        <v>26328</v>
      </c>
      <c r="H363">
        <v>854</v>
      </c>
      <c r="I363" t="str">
        <f t="shared" si="42"/>
        <v>6</v>
      </c>
      <c r="J363" t="str">
        <f t="shared" si="43"/>
        <v>Open Vld</v>
      </c>
      <c r="K363">
        <v>850</v>
      </c>
      <c r="L363">
        <v>1751</v>
      </c>
      <c r="M363">
        <v>2601</v>
      </c>
      <c r="N363">
        <v>1734</v>
      </c>
      <c r="O363">
        <v>2</v>
      </c>
      <c r="P363" t="str">
        <f>("25")</f>
        <v>25</v>
      </c>
      <c r="Q363" t="str">
        <f>("MARINOWER Claude")</f>
        <v>MARINOWER Claude</v>
      </c>
      <c r="R363">
        <v>328</v>
      </c>
      <c r="S363" t="s">
        <v>44</v>
      </c>
      <c r="T363">
        <v>0</v>
      </c>
      <c r="V363">
        <v>2</v>
      </c>
      <c r="W363">
        <v>328</v>
      </c>
      <c r="X363">
        <v>0</v>
      </c>
    </row>
    <row r="364" spans="1:24" x14ac:dyDescent="0.35">
      <c r="A364" t="s">
        <v>8</v>
      </c>
      <c r="B364" t="s">
        <v>9</v>
      </c>
      <c r="C364" t="str">
        <f t="shared" si="44"/>
        <v>11232</v>
      </c>
      <c r="D364" t="s">
        <v>11</v>
      </c>
      <c r="E364" t="str">
        <f t="shared" si="45"/>
        <v>25</v>
      </c>
      <c r="F364">
        <v>29377</v>
      </c>
      <c r="G364">
        <v>26328</v>
      </c>
      <c r="H364">
        <v>854</v>
      </c>
      <c r="I364" t="str">
        <f t="shared" ref="I364:I388" si="46">("7")</f>
        <v>7</v>
      </c>
      <c r="J364" t="str">
        <f t="shared" ref="J364:J388" si="47">("PVDA")</f>
        <v>PVDA</v>
      </c>
      <c r="K364">
        <v>683</v>
      </c>
      <c r="L364">
        <v>1250</v>
      </c>
      <c r="M364">
        <v>1933</v>
      </c>
      <c r="N364">
        <v>1289</v>
      </c>
      <c r="O364">
        <v>2</v>
      </c>
      <c r="P364" t="str">
        <f>("1")</f>
        <v>1</v>
      </c>
      <c r="Q364" t="str">
        <f>("DANSSAERT David")</f>
        <v>DANSSAERT David</v>
      </c>
      <c r="R364">
        <v>405</v>
      </c>
      <c r="S364">
        <v>861</v>
      </c>
      <c r="T364">
        <v>0</v>
      </c>
      <c r="U364">
        <v>1</v>
      </c>
    </row>
    <row r="365" spans="1:24" x14ac:dyDescent="0.35">
      <c r="A365" t="s">
        <v>8</v>
      </c>
      <c r="B365" t="s">
        <v>9</v>
      </c>
      <c r="C365" t="str">
        <f t="shared" si="44"/>
        <v>11232</v>
      </c>
      <c r="D365" t="s">
        <v>11</v>
      </c>
      <c r="E365" t="str">
        <f t="shared" si="45"/>
        <v>25</v>
      </c>
      <c r="F365">
        <v>29377</v>
      </c>
      <c r="G365">
        <v>26328</v>
      </c>
      <c r="H365">
        <v>854</v>
      </c>
      <c r="I365" t="str">
        <f t="shared" si="46"/>
        <v>7</v>
      </c>
      <c r="J365" t="str">
        <f t="shared" si="47"/>
        <v>PVDA</v>
      </c>
      <c r="K365">
        <v>683</v>
      </c>
      <c r="L365">
        <v>1250</v>
      </c>
      <c r="M365">
        <v>1933</v>
      </c>
      <c r="N365">
        <v>1289</v>
      </c>
      <c r="O365">
        <v>2</v>
      </c>
      <c r="P365" t="str">
        <f>("2")</f>
        <v>2</v>
      </c>
      <c r="Q365" t="str">
        <f>("BLANCKE Sofie")</f>
        <v>BLANCKE Sofie</v>
      </c>
      <c r="R365">
        <v>258</v>
      </c>
      <c r="S365" t="s">
        <v>44</v>
      </c>
      <c r="T365">
        <v>0</v>
      </c>
      <c r="V365">
        <v>1</v>
      </c>
      <c r="W365">
        <v>714</v>
      </c>
      <c r="X365">
        <v>0</v>
      </c>
    </row>
    <row r="366" spans="1:24" x14ac:dyDescent="0.35">
      <c r="A366" t="s">
        <v>8</v>
      </c>
      <c r="B366" t="s">
        <v>9</v>
      </c>
      <c r="C366" t="str">
        <f t="shared" si="44"/>
        <v>11232</v>
      </c>
      <c r="D366" t="s">
        <v>11</v>
      </c>
      <c r="E366" t="str">
        <f t="shared" si="45"/>
        <v>25</v>
      </c>
      <c r="F366">
        <v>29377</v>
      </c>
      <c r="G366">
        <v>26328</v>
      </c>
      <c r="H366">
        <v>854</v>
      </c>
      <c r="I366" t="str">
        <f t="shared" si="46"/>
        <v>7</v>
      </c>
      <c r="J366" t="str">
        <f t="shared" si="47"/>
        <v>PVDA</v>
      </c>
      <c r="K366">
        <v>683</v>
      </c>
      <c r="L366">
        <v>1250</v>
      </c>
      <c r="M366">
        <v>1933</v>
      </c>
      <c r="N366">
        <v>1289</v>
      </c>
      <c r="O366">
        <v>2</v>
      </c>
      <c r="P366" t="str">
        <f>("3")</f>
        <v>3</v>
      </c>
      <c r="Q366" t="str">
        <f>("VAN DE WEYER Luc")</f>
        <v>VAN DE WEYER Luc</v>
      </c>
      <c r="R366">
        <v>135</v>
      </c>
      <c r="S366" t="s">
        <v>44</v>
      </c>
      <c r="T366">
        <v>0</v>
      </c>
      <c r="V366">
        <v>3</v>
      </c>
      <c r="W366">
        <v>135</v>
      </c>
      <c r="X366">
        <v>0</v>
      </c>
    </row>
    <row r="367" spans="1:24" x14ac:dyDescent="0.35">
      <c r="A367" t="s">
        <v>8</v>
      </c>
      <c r="B367" t="s">
        <v>9</v>
      </c>
      <c r="C367" t="str">
        <f t="shared" si="44"/>
        <v>11232</v>
      </c>
      <c r="D367" t="s">
        <v>11</v>
      </c>
      <c r="E367" t="str">
        <f t="shared" si="45"/>
        <v>25</v>
      </c>
      <c r="F367">
        <v>29377</v>
      </c>
      <c r="G367">
        <v>26328</v>
      </c>
      <c r="H367">
        <v>854</v>
      </c>
      <c r="I367" t="str">
        <f t="shared" si="46"/>
        <v>7</v>
      </c>
      <c r="J367" t="str">
        <f t="shared" si="47"/>
        <v>PVDA</v>
      </c>
      <c r="K367">
        <v>683</v>
      </c>
      <c r="L367">
        <v>1250</v>
      </c>
      <c r="M367">
        <v>1933</v>
      </c>
      <c r="N367">
        <v>1289</v>
      </c>
      <c r="O367">
        <v>2</v>
      </c>
      <c r="P367" t="str">
        <f>("4")</f>
        <v>4</v>
      </c>
      <c r="Q367" t="str">
        <f>("DIRKX Yana")</f>
        <v>DIRKX Yana</v>
      </c>
      <c r="R367">
        <v>117</v>
      </c>
      <c r="S367" t="s">
        <v>44</v>
      </c>
      <c r="T367">
        <v>0</v>
      </c>
      <c r="V367">
        <v>5</v>
      </c>
      <c r="W367">
        <v>117</v>
      </c>
      <c r="X367">
        <v>0</v>
      </c>
    </row>
    <row r="368" spans="1:24" x14ac:dyDescent="0.35">
      <c r="A368" t="s">
        <v>8</v>
      </c>
      <c r="B368" t="s">
        <v>9</v>
      </c>
      <c r="C368" t="str">
        <f t="shared" si="44"/>
        <v>11232</v>
      </c>
      <c r="D368" t="s">
        <v>11</v>
      </c>
      <c r="E368" t="str">
        <f t="shared" si="45"/>
        <v>25</v>
      </c>
      <c r="F368">
        <v>29377</v>
      </c>
      <c r="G368">
        <v>26328</v>
      </c>
      <c r="H368">
        <v>854</v>
      </c>
      <c r="I368" t="str">
        <f t="shared" si="46"/>
        <v>7</v>
      </c>
      <c r="J368" t="str">
        <f t="shared" si="47"/>
        <v>PVDA</v>
      </c>
      <c r="K368">
        <v>683</v>
      </c>
      <c r="L368">
        <v>1250</v>
      </c>
      <c r="M368">
        <v>1933</v>
      </c>
      <c r="N368">
        <v>1289</v>
      </c>
      <c r="O368">
        <v>2</v>
      </c>
      <c r="P368" t="str">
        <f>("5")</f>
        <v>5</v>
      </c>
      <c r="Q368" t="str">
        <f>("PESSEMIERS Dahlia")</f>
        <v>PESSEMIERS Dahlia</v>
      </c>
      <c r="R368">
        <v>121</v>
      </c>
      <c r="S368" t="s">
        <v>44</v>
      </c>
      <c r="T368">
        <v>0</v>
      </c>
      <c r="V368">
        <v>4</v>
      </c>
      <c r="W368">
        <v>121</v>
      </c>
      <c r="X368">
        <v>0</v>
      </c>
    </row>
    <row r="369" spans="1:24" x14ac:dyDescent="0.35">
      <c r="A369" t="s">
        <v>8</v>
      </c>
      <c r="B369" t="s">
        <v>9</v>
      </c>
      <c r="C369" t="str">
        <f t="shared" si="44"/>
        <v>11232</v>
      </c>
      <c r="D369" t="s">
        <v>11</v>
      </c>
      <c r="E369" t="str">
        <f t="shared" si="45"/>
        <v>25</v>
      </c>
      <c r="F369">
        <v>29377</v>
      </c>
      <c r="G369">
        <v>26328</v>
      </c>
      <c r="H369">
        <v>854</v>
      </c>
      <c r="I369" t="str">
        <f t="shared" si="46"/>
        <v>7</v>
      </c>
      <c r="J369" t="str">
        <f t="shared" si="47"/>
        <v>PVDA</v>
      </c>
      <c r="K369">
        <v>683</v>
      </c>
      <c r="L369">
        <v>1250</v>
      </c>
      <c r="M369">
        <v>1933</v>
      </c>
      <c r="N369">
        <v>1289</v>
      </c>
      <c r="O369">
        <v>2</v>
      </c>
      <c r="P369" t="str">
        <f>("6")</f>
        <v>6</v>
      </c>
      <c r="Q369" t="str">
        <f>("MOERMAN Rosemary")</f>
        <v>MOERMAN Rosemary</v>
      </c>
      <c r="R369">
        <v>77</v>
      </c>
      <c r="S369" t="s">
        <v>44</v>
      </c>
      <c r="T369">
        <v>0</v>
      </c>
      <c r="V369">
        <v>9</v>
      </c>
      <c r="W369">
        <v>77</v>
      </c>
      <c r="X369">
        <v>0</v>
      </c>
    </row>
    <row r="370" spans="1:24" x14ac:dyDescent="0.35">
      <c r="A370" t="s">
        <v>8</v>
      </c>
      <c r="B370" t="s">
        <v>9</v>
      </c>
      <c r="C370" t="str">
        <f t="shared" si="44"/>
        <v>11232</v>
      </c>
      <c r="D370" t="s">
        <v>11</v>
      </c>
      <c r="E370" t="str">
        <f t="shared" si="45"/>
        <v>25</v>
      </c>
      <c r="F370">
        <v>29377</v>
      </c>
      <c r="G370">
        <v>26328</v>
      </c>
      <c r="H370">
        <v>854</v>
      </c>
      <c r="I370" t="str">
        <f t="shared" si="46"/>
        <v>7</v>
      </c>
      <c r="J370" t="str">
        <f t="shared" si="47"/>
        <v>PVDA</v>
      </c>
      <c r="K370">
        <v>683</v>
      </c>
      <c r="L370">
        <v>1250</v>
      </c>
      <c r="M370">
        <v>1933</v>
      </c>
      <c r="N370">
        <v>1289</v>
      </c>
      <c r="O370">
        <v>2</v>
      </c>
      <c r="P370" t="str">
        <f>("7")</f>
        <v>7</v>
      </c>
      <c r="Q370" t="str">
        <f>("AHAJJI Khalid")</f>
        <v>AHAJJI Khalid</v>
      </c>
      <c r="R370">
        <v>276</v>
      </c>
      <c r="S370">
        <v>276</v>
      </c>
      <c r="T370">
        <v>0</v>
      </c>
      <c r="U370">
        <v>2</v>
      </c>
    </row>
    <row r="371" spans="1:24" x14ac:dyDescent="0.35">
      <c r="A371" t="s">
        <v>8</v>
      </c>
      <c r="B371" t="s">
        <v>9</v>
      </c>
      <c r="C371" t="str">
        <f t="shared" si="44"/>
        <v>11232</v>
      </c>
      <c r="D371" t="s">
        <v>11</v>
      </c>
      <c r="E371" t="str">
        <f t="shared" si="45"/>
        <v>25</v>
      </c>
      <c r="F371">
        <v>29377</v>
      </c>
      <c r="G371">
        <v>26328</v>
      </c>
      <c r="H371">
        <v>854</v>
      </c>
      <c r="I371" t="str">
        <f t="shared" si="46"/>
        <v>7</v>
      </c>
      <c r="J371" t="str">
        <f t="shared" si="47"/>
        <v>PVDA</v>
      </c>
      <c r="K371">
        <v>683</v>
      </c>
      <c r="L371">
        <v>1250</v>
      </c>
      <c r="M371">
        <v>1933</v>
      </c>
      <c r="N371">
        <v>1289</v>
      </c>
      <c r="O371">
        <v>2</v>
      </c>
      <c r="P371" t="str">
        <f>("8")</f>
        <v>8</v>
      </c>
      <c r="Q371" t="str">
        <f>("DEREYMAEKER Sim")</f>
        <v>DEREYMAEKER Sim</v>
      </c>
      <c r="R371">
        <v>86</v>
      </c>
      <c r="S371" t="s">
        <v>44</v>
      </c>
      <c r="T371">
        <v>0</v>
      </c>
      <c r="V371">
        <v>6</v>
      </c>
      <c r="W371">
        <v>86</v>
      </c>
      <c r="X371">
        <v>0</v>
      </c>
    </row>
    <row r="372" spans="1:24" x14ac:dyDescent="0.35">
      <c r="A372" t="s">
        <v>8</v>
      </c>
      <c r="B372" t="s">
        <v>9</v>
      </c>
      <c r="C372" t="str">
        <f t="shared" si="44"/>
        <v>11232</v>
      </c>
      <c r="D372" t="s">
        <v>11</v>
      </c>
      <c r="E372" t="str">
        <f t="shared" si="45"/>
        <v>25</v>
      </c>
      <c r="F372">
        <v>29377</v>
      </c>
      <c r="G372">
        <v>26328</v>
      </c>
      <c r="H372">
        <v>854</v>
      </c>
      <c r="I372" t="str">
        <f t="shared" si="46"/>
        <v>7</v>
      </c>
      <c r="J372" t="str">
        <f t="shared" si="47"/>
        <v>PVDA</v>
      </c>
      <c r="K372">
        <v>683</v>
      </c>
      <c r="L372">
        <v>1250</v>
      </c>
      <c r="M372">
        <v>1933</v>
      </c>
      <c r="N372">
        <v>1289</v>
      </c>
      <c r="O372">
        <v>2</v>
      </c>
      <c r="P372" t="str">
        <f>("9")</f>
        <v>9</v>
      </c>
      <c r="Q372" t="str">
        <f>("VERHEYEN Lies")</f>
        <v>VERHEYEN Lies</v>
      </c>
      <c r="R372">
        <v>67</v>
      </c>
      <c r="S372" t="s">
        <v>44</v>
      </c>
      <c r="T372">
        <v>0</v>
      </c>
      <c r="V372">
        <v>12</v>
      </c>
      <c r="W372">
        <v>67</v>
      </c>
      <c r="X372">
        <v>0</v>
      </c>
    </row>
    <row r="373" spans="1:24" x14ac:dyDescent="0.35">
      <c r="A373" t="s">
        <v>8</v>
      </c>
      <c r="B373" t="s">
        <v>9</v>
      </c>
      <c r="C373" t="str">
        <f t="shared" si="44"/>
        <v>11232</v>
      </c>
      <c r="D373" t="s">
        <v>11</v>
      </c>
      <c r="E373" t="str">
        <f t="shared" si="45"/>
        <v>25</v>
      </c>
      <c r="F373">
        <v>29377</v>
      </c>
      <c r="G373">
        <v>26328</v>
      </c>
      <c r="H373">
        <v>854</v>
      </c>
      <c r="I373" t="str">
        <f t="shared" si="46"/>
        <v>7</v>
      </c>
      <c r="J373" t="str">
        <f t="shared" si="47"/>
        <v>PVDA</v>
      </c>
      <c r="K373">
        <v>683</v>
      </c>
      <c r="L373">
        <v>1250</v>
      </c>
      <c r="M373">
        <v>1933</v>
      </c>
      <c r="N373">
        <v>1289</v>
      </c>
      <c r="O373">
        <v>2</v>
      </c>
      <c r="P373" t="str">
        <f>("10")</f>
        <v>10</v>
      </c>
      <c r="Q373" t="str">
        <f>("CNAEPKENS Ezra")</f>
        <v>CNAEPKENS Ezra</v>
      </c>
      <c r="R373">
        <v>76</v>
      </c>
      <c r="S373" t="s">
        <v>44</v>
      </c>
      <c r="T373">
        <v>0</v>
      </c>
      <c r="V373">
        <v>10</v>
      </c>
      <c r="W373">
        <v>76</v>
      </c>
      <c r="X373">
        <v>0</v>
      </c>
    </row>
    <row r="374" spans="1:24" x14ac:dyDescent="0.35">
      <c r="A374" t="s">
        <v>8</v>
      </c>
      <c r="B374" t="s">
        <v>9</v>
      </c>
      <c r="C374" t="str">
        <f t="shared" si="44"/>
        <v>11232</v>
      </c>
      <c r="D374" t="s">
        <v>11</v>
      </c>
      <c r="E374" t="str">
        <f t="shared" si="45"/>
        <v>25</v>
      </c>
      <c r="F374">
        <v>29377</v>
      </c>
      <c r="G374">
        <v>26328</v>
      </c>
      <c r="H374">
        <v>854</v>
      </c>
      <c r="I374" t="str">
        <f t="shared" si="46"/>
        <v>7</v>
      </c>
      <c r="J374" t="str">
        <f t="shared" si="47"/>
        <v>PVDA</v>
      </c>
      <c r="K374">
        <v>683</v>
      </c>
      <c r="L374">
        <v>1250</v>
      </c>
      <c r="M374">
        <v>1933</v>
      </c>
      <c r="N374">
        <v>1289</v>
      </c>
      <c r="O374">
        <v>2</v>
      </c>
      <c r="P374" t="str">
        <f>("11")</f>
        <v>11</v>
      </c>
      <c r="Q374" t="str">
        <f>("SNOECKX Matthias")</f>
        <v>SNOECKX Matthias</v>
      </c>
      <c r="R374">
        <v>50</v>
      </c>
      <c r="S374" t="s">
        <v>44</v>
      </c>
      <c r="T374">
        <v>0</v>
      </c>
      <c r="V374">
        <v>20</v>
      </c>
      <c r="W374">
        <v>50</v>
      </c>
      <c r="X374">
        <v>0</v>
      </c>
    </row>
    <row r="375" spans="1:24" x14ac:dyDescent="0.35">
      <c r="A375" t="s">
        <v>8</v>
      </c>
      <c r="B375" t="s">
        <v>9</v>
      </c>
      <c r="C375" t="str">
        <f t="shared" si="44"/>
        <v>11232</v>
      </c>
      <c r="D375" t="s">
        <v>11</v>
      </c>
      <c r="E375" t="str">
        <f t="shared" si="45"/>
        <v>25</v>
      </c>
      <c r="F375">
        <v>29377</v>
      </c>
      <c r="G375">
        <v>26328</v>
      </c>
      <c r="H375">
        <v>854</v>
      </c>
      <c r="I375" t="str">
        <f t="shared" si="46"/>
        <v>7</v>
      </c>
      <c r="J375" t="str">
        <f t="shared" si="47"/>
        <v>PVDA</v>
      </c>
      <c r="K375">
        <v>683</v>
      </c>
      <c r="L375">
        <v>1250</v>
      </c>
      <c r="M375">
        <v>1933</v>
      </c>
      <c r="N375">
        <v>1289</v>
      </c>
      <c r="O375">
        <v>2</v>
      </c>
      <c r="P375" t="str">
        <f>("12")</f>
        <v>12</v>
      </c>
      <c r="Q375" t="str">
        <f>("RAMAEKERS Nicky")</f>
        <v>RAMAEKERS Nicky</v>
      </c>
      <c r="R375">
        <v>53</v>
      </c>
      <c r="S375" t="s">
        <v>44</v>
      </c>
      <c r="T375">
        <v>0</v>
      </c>
      <c r="V375">
        <v>18</v>
      </c>
      <c r="W375">
        <v>53</v>
      </c>
      <c r="X375">
        <v>0</v>
      </c>
    </row>
    <row r="376" spans="1:24" x14ac:dyDescent="0.35">
      <c r="A376" t="s">
        <v>8</v>
      </c>
      <c r="B376" t="s">
        <v>9</v>
      </c>
      <c r="C376" t="str">
        <f t="shared" si="44"/>
        <v>11232</v>
      </c>
      <c r="D376" t="s">
        <v>11</v>
      </c>
      <c r="E376" t="str">
        <f t="shared" si="45"/>
        <v>25</v>
      </c>
      <c r="F376">
        <v>29377</v>
      </c>
      <c r="G376">
        <v>26328</v>
      </c>
      <c r="H376">
        <v>854</v>
      </c>
      <c r="I376" t="str">
        <f t="shared" si="46"/>
        <v>7</v>
      </c>
      <c r="J376" t="str">
        <f t="shared" si="47"/>
        <v>PVDA</v>
      </c>
      <c r="K376">
        <v>683</v>
      </c>
      <c r="L376">
        <v>1250</v>
      </c>
      <c r="M376">
        <v>1933</v>
      </c>
      <c r="N376">
        <v>1289</v>
      </c>
      <c r="O376">
        <v>2</v>
      </c>
      <c r="P376" t="str">
        <f>("13")</f>
        <v>13</v>
      </c>
      <c r="Q376" t="str">
        <f>("DEPOVER Jan")</f>
        <v>DEPOVER Jan</v>
      </c>
      <c r="R376">
        <v>83</v>
      </c>
      <c r="S376" t="s">
        <v>44</v>
      </c>
      <c r="T376">
        <v>0</v>
      </c>
      <c r="V376">
        <v>7</v>
      </c>
      <c r="W376">
        <v>83</v>
      </c>
      <c r="X376">
        <v>0</v>
      </c>
    </row>
    <row r="377" spans="1:24" x14ac:dyDescent="0.35">
      <c r="A377" t="s">
        <v>8</v>
      </c>
      <c r="B377" t="s">
        <v>9</v>
      </c>
      <c r="C377" t="str">
        <f t="shared" ref="C377:C388" si="48">("11232")</f>
        <v>11232</v>
      </c>
      <c r="D377" t="s">
        <v>11</v>
      </c>
      <c r="E377" t="str">
        <f t="shared" ref="E377:E388" si="49">("25")</f>
        <v>25</v>
      </c>
      <c r="F377">
        <v>29377</v>
      </c>
      <c r="G377">
        <v>26328</v>
      </c>
      <c r="H377">
        <v>854</v>
      </c>
      <c r="I377" t="str">
        <f t="shared" si="46"/>
        <v>7</v>
      </c>
      <c r="J377" t="str">
        <f t="shared" si="47"/>
        <v>PVDA</v>
      </c>
      <c r="K377">
        <v>683</v>
      </c>
      <c r="L377">
        <v>1250</v>
      </c>
      <c r="M377">
        <v>1933</v>
      </c>
      <c r="N377">
        <v>1289</v>
      </c>
      <c r="O377">
        <v>2</v>
      </c>
      <c r="P377" t="str">
        <f>("14")</f>
        <v>14</v>
      </c>
      <c r="Q377" t="str">
        <f>("DELAGRANGE Mieke")</f>
        <v>DELAGRANGE Mieke</v>
      </c>
      <c r="R377">
        <v>60</v>
      </c>
      <c r="S377" t="s">
        <v>44</v>
      </c>
      <c r="T377">
        <v>0</v>
      </c>
      <c r="V377">
        <v>13</v>
      </c>
      <c r="W377">
        <v>60</v>
      </c>
      <c r="X377">
        <v>0</v>
      </c>
    </row>
    <row r="378" spans="1:24" x14ac:dyDescent="0.35">
      <c r="A378" t="s">
        <v>8</v>
      </c>
      <c r="B378" t="s">
        <v>9</v>
      </c>
      <c r="C378" t="str">
        <f t="shared" si="48"/>
        <v>11232</v>
      </c>
      <c r="D378" t="s">
        <v>11</v>
      </c>
      <c r="E378" t="str">
        <f t="shared" si="49"/>
        <v>25</v>
      </c>
      <c r="F378">
        <v>29377</v>
      </c>
      <c r="G378">
        <v>26328</v>
      </c>
      <c r="H378">
        <v>854</v>
      </c>
      <c r="I378" t="str">
        <f t="shared" si="46"/>
        <v>7</v>
      </c>
      <c r="J378" t="str">
        <f t="shared" si="47"/>
        <v>PVDA</v>
      </c>
      <c r="K378">
        <v>683</v>
      </c>
      <c r="L378">
        <v>1250</v>
      </c>
      <c r="M378">
        <v>1933</v>
      </c>
      <c r="N378">
        <v>1289</v>
      </c>
      <c r="O378">
        <v>2</v>
      </c>
      <c r="P378" t="str">
        <f>("15")</f>
        <v>15</v>
      </c>
      <c r="Q378" t="str">
        <f>("VAN PARYS Bruno")</f>
        <v>VAN PARYS Bruno</v>
      </c>
      <c r="R378">
        <v>49</v>
      </c>
      <c r="S378" t="s">
        <v>44</v>
      </c>
      <c r="T378">
        <v>0</v>
      </c>
      <c r="V378">
        <v>21</v>
      </c>
      <c r="W378">
        <v>49</v>
      </c>
      <c r="X378">
        <v>0</v>
      </c>
    </row>
    <row r="379" spans="1:24" x14ac:dyDescent="0.35">
      <c r="A379" t="s">
        <v>8</v>
      </c>
      <c r="B379" t="s">
        <v>9</v>
      </c>
      <c r="C379" t="str">
        <f t="shared" si="48"/>
        <v>11232</v>
      </c>
      <c r="D379" t="s">
        <v>11</v>
      </c>
      <c r="E379" t="str">
        <f t="shared" si="49"/>
        <v>25</v>
      </c>
      <c r="F379">
        <v>29377</v>
      </c>
      <c r="G379">
        <v>26328</v>
      </c>
      <c r="H379">
        <v>854</v>
      </c>
      <c r="I379" t="str">
        <f t="shared" si="46"/>
        <v>7</v>
      </c>
      <c r="J379" t="str">
        <f t="shared" si="47"/>
        <v>PVDA</v>
      </c>
      <c r="K379">
        <v>683</v>
      </c>
      <c r="L379">
        <v>1250</v>
      </c>
      <c r="M379">
        <v>1933</v>
      </c>
      <c r="N379">
        <v>1289</v>
      </c>
      <c r="O379">
        <v>2</v>
      </c>
      <c r="P379" t="str">
        <f>("16")</f>
        <v>16</v>
      </c>
      <c r="Q379" t="str">
        <f>("SNEYERS Daniella")</f>
        <v>SNEYERS Daniella</v>
      </c>
      <c r="R379">
        <v>53</v>
      </c>
      <c r="S379" t="s">
        <v>44</v>
      </c>
      <c r="T379">
        <v>0</v>
      </c>
      <c r="V379">
        <v>19</v>
      </c>
      <c r="W379">
        <v>53</v>
      </c>
      <c r="X379">
        <v>0</v>
      </c>
    </row>
    <row r="380" spans="1:24" x14ac:dyDescent="0.35">
      <c r="A380" t="s">
        <v>8</v>
      </c>
      <c r="B380" t="s">
        <v>9</v>
      </c>
      <c r="C380" t="str">
        <f t="shared" si="48"/>
        <v>11232</v>
      </c>
      <c r="D380" t="s">
        <v>11</v>
      </c>
      <c r="E380" t="str">
        <f t="shared" si="49"/>
        <v>25</v>
      </c>
      <c r="F380">
        <v>29377</v>
      </c>
      <c r="G380">
        <v>26328</v>
      </c>
      <c r="H380">
        <v>854</v>
      </c>
      <c r="I380" t="str">
        <f t="shared" si="46"/>
        <v>7</v>
      </c>
      <c r="J380" t="str">
        <f t="shared" si="47"/>
        <v>PVDA</v>
      </c>
      <c r="K380">
        <v>683</v>
      </c>
      <c r="L380">
        <v>1250</v>
      </c>
      <c r="M380">
        <v>1933</v>
      </c>
      <c r="N380">
        <v>1289</v>
      </c>
      <c r="O380">
        <v>2</v>
      </c>
      <c r="P380" t="str">
        <f>("17")</f>
        <v>17</v>
      </c>
      <c r="Q380" t="str">
        <f>("ZAHNOUN Abdelkader")</f>
        <v>ZAHNOUN Abdelkader</v>
      </c>
      <c r="R380">
        <v>215</v>
      </c>
      <c r="S380" t="s">
        <v>44</v>
      </c>
      <c r="T380">
        <v>0</v>
      </c>
      <c r="V380">
        <v>2</v>
      </c>
      <c r="W380">
        <v>215</v>
      </c>
      <c r="X380">
        <v>0</v>
      </c>
    </row>
    <row r="381" spans="1:24" x14ac:dyDescent="0.35">
      <c r="A381" t="s">
        <v>8</v>
      </c>
      <c r="B381" t="s">
        <v>9</v>
      </c>
      <c r="C381" t="str">
        <f t="shared" si="48"/>
        <v>11232</v>
      </c>
      <c r="D381" t="s">
        <v>11</v>
      </c>
      <c r="E381" t="str">
        <f t="shared" si="49"/>
        <v>25</v>
      </c>
      <c r="F381">
        <v>29377</v>
      </c>
      <c r="G381">
        <v>26328</v>
      </c>
      <c r="H381">
        <v>854</v>
      </c>
      <c r="I381" t="str">
        <f t="shared" si="46"/>
        <v>7</v>
      </c>
      <c r="J381" t="str">
        <f t="shared" si="47"/>
        <v>PVDA</v>
      </c>
      <c r="K381">
        <v>683</v>
      </c>
      <c r="L381">
        <v>1250</v>
      </c>
      <c r="M381">
        <v>1933</v>
      </c>
      <c r="N381">
        <v>1289</v>
      </c>
      <c r="O381">
        <v>2</v>
      </c>
      <c r="P381" t="str">
        <f>("18")</f>
        <v>18</v>
      </c>
      <c r="Q381" t="str">
        <f>("GABRIËLS Lieve")</f>
        <v>GABRIËLS Lieve</v>
      </c>
      <c r="R381">
        <v>58</v>
      </c>
      <c r="S381" t="s">
        <v>44</v>
      </c>
      <c r="T381">
        <v>0</v>
      </c>
      <c r="V381">
        <v>16</v>
      </c>
      <c r="W381">
        <v>58</v>
      </c>
      <c r="X381">
        <v>0</v>
      </c>
    </row>
    <row r="382" spans="1:24" x14ac:dyDescent="0.35">
      <c r="A382" t="s">
        <v>8</v>
      </c>
      <c r="B382" t="s">
        <v>9</v>
      </c>
      <c r="C382" t="str">
        <f t="shared" si="48"/>
        <v>11232</v>
      </c>
      <c r="D382" t="s">
        <v>11</v>
      </c>
      <c r="E382" t="str">
        <f t="shared" si="49"/>
        <v>25</v>
      </c>
      <c r="F382">
        <v>29377</v>
      </c>
      <c r="G382">
        <v>26328</v>
      </c>
      <c r="H382">
        <v>854</v>
      </c>
      <c r="I382" t="str">
        <f t="shared" si="46"/>
        <v>7</v>
      </c>
      <c r="J382" t="str">
        <f t="shared" si="47"/>
        <v>PVDA</v>
      </c>
      <c r="K382">
        <v>683</v>
      </c>
      <c r="L382">
        <v>1250</v>
      </c>
      <c r="M382">
        <v>1933</v>
      </c>
      <c r="N382">
        <v>1289</v>
      </c>
      <c r="O382">
        <v>2</v>
      </c>
      <c r="P382" t="str">
        <f>("19")</f>
        <v>19</v>
      </c>
      <c r="Q382" t="str">
        <f>("LEVER Hilde")</f>
        <v>LEVER Hilde</v>
      </c>
      <c r="R382">
        <v>68</v>
      </c>
      <c r="S382" t="s">
        <v>44</v>
      </c>
      <c r="T382">
        <v>0</v>
      </c>
      <c r="V382">
        <v>11</v>
      </c>
      <c r="W382">
        <v>68</v>
      </c>
      <c r="X382">
        <v>0</v>
      </c>
    </row>
    <row r="383" spans="1:24" x14ac:dyDescent="0.35">
      <c r="A383" t="s">
        <v>8</v>
      </c>
      <c r="B383" t="s">
        <v>9</v>
      </c>
      <c r="C383" t="str">
        <f t="shared" si="48"/>
        <v>11232</v>
      </c>
      <c r="D383" t="s">
        <v>11</v>
      </c>
      <c r="E383" t="str">
        <f t="shared" si="49"/>
        <v>25</v>
      </c>
      <c r="F383">
        <v>29377</v>
      </c>
      <c r="G383">
        <v>26328</v>
      </c>
      <c r="H383">
        <v>854</v>
      </c>
      <c r="I383" t="str">
        <f t="shared" si="46"/>
        <v>7</v>
      </c>
      <c r="J383" t="str">
        <f t="shared" si="47"/>
        <v>PVDA</v>
      </c>
      <c r="K383">
        <v>683</v>
      </c>
      <c r="L383">
        <v>1250</v>
      </c>
      <c r="M383">
        <v>1933</v>
      </c>
      <c r="N383">
        <v>1289</v>
      </c>
      <c r="O383">
        <v>2</v>
      </c>
      <c r="P383" t="str">
        <f>("20")</f>
        <v>20</v>
      </c>
      <c r="Q383" t="str">
        <f>("HASAERS Jan")</f>
        <v>HASAERS Jan</v>
      </c>
      <c r="R383">
        <v>48</v>
      </c>
      <c r="S383" t="s">
        <v>44</v>
      </c>
      <c r="T383">
        <v>0</v>
      </c>
      <c r="V383">
        <v>22</v>
      </c>
      <c r="W383">
        <v>48</v>
      </c>
      <c r="X383">
        <v>0</v>
      </c>
    </row>
    <row r="384" spans="1:24" x14ac:dyDescent="0.35">
      <c r="A384" t="s">
        <v>8</v>
      </c>
      <c r="B384" t="s">
        <v>9</v>
      </c>
      <c r="C384" t="str">
        <f t="shared" si="48"/>
        <v>11232</v>
      </c>
      <c r="D384" t="s">
        <v>11</v>
      </c>
      <c r="E384" t="str">
        <f t="shared" si="49"/>
        <v>25</v>
      </c>
      <c r="F384">
        <v>29377</v>
      </c>
      <c r="G384">
        <v>26328</v>
      </c>
      <c r="H384">
        <v>854</v>
      </c>
      <c r="I384" t="str">
        <f t="shared" si="46"/>
        <v>7</v>
      </c>
      <c r="J384" t="str">
        <f t="shared" si="47"/>
        <v>PVDA</v>
      </c>
      <c r="K384">
        <v>683</v>
      </c>
      <c r="L384">
        <v>1250</v>
      </c>
      <c r="M384">
        <v>1933</v>
      </c>
      <c r="N384">
        <v>1289</v>
      </c>
      <c r="O384">
        <v>2</v>
      </c>
      <c r="P384" t="str">
        <f>("21")</f>
        <v>21</v>
      </c>
      <c r="Q384" t="str">
        <f>("PAUWELS Kathy")</f>
        <v>PAUWELS Kathy</v>
      </c>
      <c r="R384">
        <v>60</v>
      </c>
      <c r="S384" t="s">
        <v>44</v>
      </c>
      <c r="T384">
        <v>0</v>
      </c>
      <c r="V384">
        <v>14</v>
      </c>
      <c r="W384">
        <v>60</v>
      </c>
      <c r="X384">
        <v>0</v>
      </c>
    </row>
    <row r="385" spans="1:24" x14ac:dyDescent="0.35">
      <c r="A385" t="s">
        <v>8</v>
      </c>
      <c r="B385" t="s">
        <v>9</v>
      </c>
      <c r="C385" t="str">
        <f t="shared" si="48"/>
        <v>11232</v>
      </c>
      <c r="D385" t="s">
        <v>11</v>
      </c>
      <c r="E385" t="str">
        <f t="shared" si="49"/>
        <v>25</v>
      </c>
      <c r="F385">
        <v>29377</v>
      </c>
      <c r="G385">
        <v>26328</v>
      </c>
      <c r="H385">
        <v>854</v>
      </c>
      <c r="I385" t="str">
        <f t="shared" si="46"/>
        <v>7</v>
      </c>
      <c r="J385" t="str">
        <f t="shared" si="47"/>
        <v>PVDA</v>
      </c>
      <c r="K385">
        <v>683</v>
      </c>
      <c r="L385">
        <v>1250</v>
      </c>
      <c r="M385">
        <v>1933</v>
      </c>
      <c r="N385">
        <v>1289</v>
      </c>
      <c r="O385">
        <v>2</v>
      </c>
      <c r="P385" t="str">
        <f>("22")</f>
        <v>22</v>
      </c>
      <c r="Q385" t="str">
        <f>("VAN LOOY Erwin")</f>
        <v>VAN LOOY Erwin</v>
      </c>
      <c r="R385">
        <v>59</v>
      </c>
      <c r="S385" t="s">
        <v>44</v>
      </c>
      <c r="T385">
        <v>0</v>
      </c>
      <c r="V385">
        <v>15</v>
      </c>
      <c r="W385">
        <v>59</v>
      </c>
      <c r="X385">
        <v>0</v>
      </c>
    </row>
    <row r="386" spans="1:24" x14ac:dyDescent="0.35">
      <c r="A386" t="s">
        <v>8</v>
      </c>
      <c r="B386" t="s">
        <v>9</v>
      </c>
      <c r="C386" t="str">
        <f t="shared" si="48"/>
        <v>11232</v>
      </c>
      <c r="D386" t="s">
        <v>11</v>
      </c>
      <c r="E386" t="str">
        <f t="shared" si="49"/>
        <v>25</v>
      </c>
      <c r="F386">
        <v>29377</v>
      </c>
      <c r="G386">
        <v>26328</v>
      </c>
      <c r="H386">
        <v>854</v>
      </c>
      <c r="I386" t="str">
        <f t="shared" si="46"/>
        <v>7</v>
      </c>
      <c r="J386" t="str">
        <f t="shared" si="47"/>
        <v>PVDA</v>
      </c>
      <c r="K386">
        <v>683</v>
      </c>
      <c r="L386">
        <v>1250</v>
      </c>
      <c r="M386">
        <v>1933</v>
      </c>
      <c r="N386">
        <v>1289</v>
      </c>
      <c r="O386">
        <v>2</v>
      </c>
      <c r="P386" t="str">
        <f>("23")</f>
        <v>23</v>
      </c>
      <c r="Q386" t="str">
        <f>("VERSCHUEREN Guido")</f>
        <v>VERSCHUEREN Guido</v>
      </c>
      <c r="R386">
        <v>43</v>
      </c>
      <c r="S386" t="s">
        <v>44</v>
      </c>
      <c r="T386">
        <v>0</v>
      </c>
      <c r="V386">
        <v>23</v>
      </c>
      <c r="W386">
        <v>43</v>
      </c>
      <c r="X386">
        <v>0</v>
      </c>
    </row>
    <row r="387" spans="1:24" x14ac:dyDescent="0.35">
      <c r="A387" t="s">
        <v>8</v>
      </c>
      <c r="B387" t="s">
        <v>9</v>
      </c>
      <c r="C387" t="str">
        <f t="shared" si="48"/>
        <v>11232</v>
      </c>
      <c r="D387" t="s">
        <v>11</v>
      </c>
      <c r="E387" t="str">
        <f t="shared" si="49"/>
        <v>25</v>
      </c>
      <c r="F387">
        <v>29377</v>
      </c>
      <c r="G387">
        <v>26328</v>
      </c>
      <c r="H387">
        <v>854</v>
      </c>
      <c r="I387" t="str">
        <f t="shared" si="46"/>
        <v>7</v>
      </c>
      <c r="J387" t="str">
        <f t="shared" si="47"/>
        <v>PVDA</v>
      </c>
      <c r="K387">
        <v>683</v>
      </c>
      <c r="L387">
        <v>1250</v>
      </c>
      <c r="M387">
        <v>1933</v>
      </c>
      <c r="N387">
        <v>1289</v>
      </c>
      <c r="O387">
        <v>2</v>
      </c>
      <c r="P387" t="str">
        <f>("24")</f>
        <v>24</v>
      </c>
      <c r="Q387" t="str">
        <f>("KOOYMAN Gerda")</f>
        <v>KOOYMAN Gerda</v>
      </c>
      <c r="R387">
        <v>55</v>
      </c>
      <c r="S387" t="s">
        <v>44</v>
      </c>
      <c r="T387">
        <v>0</v>
      </c>
      <c r="V387">
        <v>17</v>
      </c>
      <c r="W387">
        <v>55</v>
      </c>
      <c r="X387">
        <v>0</v>
      </c>
    </row>
    <row r="388" spans="1:24" x14ac:dyDescent="0.35">
      <c r="A388" t="s">
        <v>8</v>
      </c>
      <c r="B388" t="s">
        <v>9</v>
      </c>
      <c r="C388" t="str">
        <f t="shared" si="48"/>
        <v>11232</v>
      </c>
      <c r="D388" t="s">
        <v>11</v>
      </c>
      <c r="E388" t="str">
        <f t="shared" si="49"/>
        <v>25</v>
      </c>
      <c r="F388">
        <v>29377</v>
      </c>
      <c r="G388">
        <v>26328</v>
      </c>
      <c r="H388">
        <v>854</v>
      </c>
      <c r="I388" t="str">
        <f t="shared" si="46"/>
        <v>7</v>
      </c>
      <c r="J388" t="str">
        <f t="shared" si="47"/>
        <v>PVDA</v>
      </c>
      <c r="K388">
        <v>683</v>
      </c>
      <c r="L388">
        <v>1250</v>
      </c>
      <c r="M388">
        <v>1933</v>
      </c>
      <c r="N388">
        <v>1289</v>
      </c>
      <c r="O388">
        <v>2</v>
      </c>
      <c r="P388" t="str">
        <f>("25")</f>
        <v>25</v>
      </c>
      <c r="Q388" t="str">
        <f>("DEVOGHT Tom")</f>
        <v>DEVOGHT Tom</v>
      </c>
      <c r="R388">
        <v>83</v>
      </c>
      <c r="S388" t="s">
        <v>44</v>
      </c>
      <c r="T388">
        <v>0</v>
      </c>
      <c r="V388">
        <v>8</v>
      </c>
      <c r="W388">
        <v>83</v>
      </c>
      <c r="X388">
        <v>0</v>
      </c>
    </row>
    <row r="389" spans="1:24" x14ac:dyDescent="0.35">
      <c r="A389" t="s">
        <v>8</v>
      </c>
      <c r="B389" t="s">
        <v>9</v>
      </c>
      <c r="C389" t="str">
        <f t="shared" ref="C389:C420" si="50">("11223")</f>
        <v>11223</v>
      </c>
      <c r="D389" t="s">
        <v>12</v>
      </c>
      <c r="E389" t="str">
        <f t="shared" ref="E389:E420" si="51">("15")</f>
        <v>15</v>
      </c>
      <c r="F389">
        <v>7559</v>
      </c>
      <c r="G389">
        <v>6952</v>
      </c>
      <c r="H389">
        <v>417</v>
      </c>
      <c r="I389" t="str">
        <f t="shared" ref="I389:I403" si="52">("2")</f>
        <v>2</v>
      </c>
      <c r="J389" t="str">
        <f t="shared" ref="J389:J403" si="53">("N-VA")</f>
        <v>N-VA</v>
      </c>
      <c r="K389">
        <v>661</v>
      </c>
      <c r="L389">
        <v>1688</v>
      </c>
      <c r="M389">
        <v>2349</v>
      </c>
      <c r="N389">
        <v>2014</v>
      </c>
      <c r="O389">
        <v>6</v>
      </c>
      <c r="P389" t="str">
        <f>("1")</f>
        <v>1</v>
      </c>
      <c r="Q389" t="str">
        <f>("GEERAERTS Carl")</f>
        <v>GEERAERTS Carl</v>
      </c>
      <c r="R389">
        <v>848</v>
      </c>
      <c r="S389">
        <v>2014</v>
      </c>
      <c r="T389">
        <v>156</v>
      </c>
      <c r="U389">
        <v>1</v>
      </c>
    </row>
    <row r="390" spans="1:24" x14ac:dyDescent="0.35">
      <c r="A390" t="s">
        <v>8</v>
      </c>
      <c r="B390" t="s">
        <v>9</v>
      </c>
      <c r="C390" t="str">
        <f t="shared" si="50"/>
        <v>11223</v>
      </c>
      <c r="D390" t="s">
        <v>12</v>
      </c>
      <c r="E390" t="str">
        <f t="shared" si="51"/>
        <v>15</v>
      </c>
      <c r="F390">
        <v>7559</v>
      </c>
      <c r="G390">
        <v>6952</v>
      </c>
      <c r="H390">
        <v>417</v>
      </c>
      <c r="I390" t="str">
        <f t="shared" si="52"/>
        <v>2</v>
      </c>
      <c r="J390" t="str">
        <f t="shared" si="53"/>
        <v>N-VA</v>
      </c>
      <c r="K390">
        <v>661</v>
      </c>
      <c r="L390">
        <v>1688</v>
      </c>
      <c r="M390">
        <v>2349</v>
      </c>
      <c r="N390">
        <v>2014</v>
      </c>
      <c r="O390">
        <v>6</v>
      </c>
      <c r="P390" t="str">
        <f>("2")</f>
        <v>2</v>
      </c>
      <c r="Q390" t="str">
        <f>("ADRIAENSSENS Laura")</f>
        <v>ADRIAENSSENS Laura</v>
      </c>
      <c r="R390">
        <v>390</v>
      </c>
      <c r="S390">
        <v>546</v>
      </c>
      <c r="T390">
        <v>0</v>
      </c>
      <c r="U390">
        <v>2</v>
      </c>
    </row>
    <row r="391" spans="1:24" x14ac:dyDescent="0.35">
      <c r="A391" t="s">
        <v>8</v>
      </c>
      <c r="B391" t="s">
        <v>9</v>
      </c>
      <c r="C391" t="str">
        <f t="shared" si="50"/>
        <v>11223</v>
      </c>
      <c r="D391" t="s">
        <v>12</v>
      </c>
      <c r="E391" t="str">
        <f t="shared" si="51"/>
        <v>15</v>
      </c>
      <c r="F391">
        <v>7559</v>
      </c>
      <c r="G391">
        <v>6952</v>
      </c>
      <c r="H391">
        <v>417</v>
      </c>
      <c r="I391" t="str">
        <f t="shared" si="52"/>
        <v>2</v>
      </c>
      <c r="J391" t="str">
        <f t="shared" si="53"/>
        <v>N-VA</v>
      </c>
      <c r="K391">
        <v>661</v>
      </c>
      <c r="L391">
        <v>1688</v>
      </c>
      <c r="M391">
        <v>2349</v>
      </c>
      <c r="N391">
        <v>2014</v>
      </c>
      <c r="O391">
        <v>6</v>
      </c>
      <c r="P391" t="str">
        <f>("3")</f>
        <v>3</v>
      </c>
      <c r="Q391" t="str">
        <f>("SEMPELS Rudi")</f>
        <v>SEMPELS Rudi</v>
      </c>
      <c r="R391">
        <v>318</v>
      </c>
      <c r="S391">
        <v>318</v>
      </c>
      <c r="T391">
        <v>0</v>
      </c>
      <c r="U391">
        <v>3</v>
      </c>
    </row>
    <row r="392" spans="1:24" x14ac:dyDescent="0.35">
      <c r="A392" t="s">
        <v>8</v>
      </c>
      <c r="B392" t="s">
        <v>9</v>
      </c>
      <c r="C392" t="str">
        <f t="shared" si="50"/>
        <v>11223</v>
      </c>
      <c r="D392" t="s">
        <v>12</v>
      </c>
      <c r="E392" t="str">
        <f t="shared" si="51"/>
        <v>15</v>
      </c>
      <c r="F392">
        <v>7559</v>
      </c>
      <c r="G392">
        <v>6952</v>
      </c>
      <c r="H392">
        <v>417</v>
      </c>
      <c r="I392" t="str">
        <f t="shared" si="52"/>
        <v>2</v>
      </c>
      <c r="J392" t="str">
        <f t="shared" si="53"/>
        <v>N-VA</v>
      </c>
      <c r="K392">
        <v>661</v>
      </c>
      <c r="L392">
        <v>1688</v>
      </c>
      <c r="M392">
        <v>2349</v>
      </c>
      <c r="N392">
        <v>2014</v>
      </c>
      <c r="O392">
        <v>6</v>
      </c>
      <c r="P392" t="str">
        <f>("4")</f>
        <v>4</v>
      </c>
      <c r="Q392" t="str">
        <f>("DE LANGHE Pascale")</f>
        <v>DE LANGHE Pascale</v>
      </c>
      <c r="R392">
        <v>129</v>
      </c>
      <c r="S392" t="s">
        <v>44</v>
      </c>
      <c r="T392">
        <v>0</v>
      </c>
      <c r="V392">
        <v>1</v>
      </c>
      <c r="W392">
        <v>1451</v>
      </c>
      <c r="X392">
        <v>0</v>
      </c>
    </row>
    <row r="393" spans="1:24" x14ac:dyDescent="0.35">
      <c r="A393" t="s">
        <v>8</v>
      </c>
      <c r="B393" t="s">
        <v>9</v>
      </c>
      <c r="C393" t="str">
        <f t="shared" si="50"/>
        <v>11223</v>
      </c>
      <c r="D393" t="s">
        <v>12</v>
      </c>
      <c r="E393" t="str">
        <f t="shared" si="51"/>
        <v>15</v>
      </c>
      <c r="F393">
        <v>7559</v>
      </c>
      <c r="G393">
        <v>6952</v>
      </c>
      <c r="H393">
        <v>417</v>
      </c>
      <c r="I393" t="str">
        <f t="shared" si="52"/>
        <v>2</v>
      </c>
      <c r="J393" t="str">
        <f t="shared" si="53"/>
        <v>N-VA</v>
      </c>
      <c r="K393">
        <v>661</v>
      </c>
      <c r="L393">
        <v>1688</v>
      </c>
      <c r="M393">
        <v>2349</v>
      </c>
      <c r="N393">
        <v>2014</v>
      </c>
      <c r="O393">
        <v>6</v>
      </c>
      <c r="P393" t="str">
        <f>("5")</f>
        <v>5</v>
      </c>
      <c r="Q393" t="str">
        <f>("MAES Marc")</f>
        <v>MAES Marc</v>
      </c>
      <c r="R393">
        <v>158</v>
      </c>
      <c r="S393" t="s">
        <v>44</v>
      </c>
      <c r="T393">
        <v>0</v>
      </c>
      <c r="V393">
        <v>2</v>
      </c>
      <c r="W393">
        <v>158</v>
      </c>
      <c r="X393">
        <v>0</v>
      </c>
    </row>
    <row r="394" spans="1:24" x14ac:dyDescent="0.35">
      <c r="A394" t="s">
        <v>8</v>
      </c>
      <c r="B394" t="s">
        <v>9</v>
      </c>
      <c r="C394" t="str">
        <f t="shared" si="50"/>
        <v>11223</v>
      </c>
      <c r="D394" t="s">
        <v>12</v>
      </c>
      <c r="E394" t="str">
        <f t="shared" si="51"/>
        <v>15</v>
      </c>
      <c r="F394">
        <v>7559</v>
      </c>
      <c r="G394">
        <v>6952</v>
      </c>
      <c r="H394">
        <v>417</v>
      </c>
      <c r="I394" t="str">
        <f t="shared" si="52"/>
        <v>2</v>
      </c>
      <c r="J394" t="str">
        <f t="shared" si="53"/>
        <v>N-VA</v>
      </c>
      <c r="K394">
        <v>661</v>
      </c>
      <c r="L394">
        <v>1688</v>
      </c>
      <c r="M394">
        <v>2349</v>
      </c>
      <c r="N394">
        <v>2014</v>
      </c>
      <c r="O394">
        <v>6</v>
      </c>
      <c r="P394" t="str">
        <f>("6")</f>
        <v>6</v>
      </c>
      <c r="Q394" t="str">
        <f>("VAN DE PUTTELAAR Sheila")</f>
        <v>VAN DE PUTTELAAR Sheila</v>
      </c>
      <c r="R394">
        <v>96</v>
      </c>
      <c r="S394" t="s">
        <v>44</v>
      </c>
      <c r="T394">
        <v>0</v>
      </c>
      <c r="V394">
        <v>7</v>
      </c>
      <c r="W394">
        <v>96</v>
      </c>
      <c r="X394">
        <v>0</v>
      </c>
    </row>
    <row r="395" spans="1:24" x14ac:dyDescent="0.35">
      <c r="A395" t="s">
        <v>8</v>
      </c>
      <c r="B395" t="s">
        <v>9</v>
      </c>
      <c r="C395" t="str">
        <f t="shared" si="50"/>
        <v>11223</v>
      </c>
      <c r="D395" t="s">
        <v>12</v>
      </c>
      <c r="E395" t="str">
        <f t="shared" si="51"/>
        <v>15</v>
      </c>
      <c r="F395">
        <v>7559</v>
      </c>
      <c r="G395">
        <v>6952</v>
      </c>
      <c r="H395">
        <v>417</v>
      </c>
      <c r="I395" t="str">
        <f t="shared" si="52"/>
        <v>2</v>
      </c>
      <c r="J395" t="str">
        <f t="shared" si="53"/>
        <v>N-VA</v>
      </c>
      <c r="K395">
        <v>661</v>
      </c>
      <c r="L395">
        <v>1688</v>
      </c>
      <c r="M395">
        <v>2349</v>
      </c>
      <c r="N395">
        <v>2014</v>
      </c>
      <c r="O395">
        <v>6</v>
      </c>
      <c r="P395" t="str">
        <f>("7")</f>
        <v>7</v>
      </c>
      <c r="Q395" t="str">
        <f>("CRYNEN Raf")</f>
        <v>CRYNEN Raf</v>
      </c>
      <c r="R395">
        <v>185</v>
      </c>
      <c r="S395">
        <v>185</v>
      </c>
      <c r="T395">
        <v>0</v>
      </c>
      <c r="U395">
        <v>5</v>
      </c>
    </row>
    <row r="396" spans="1:24" x14ac:dyDescent="0.35">
      <c r="A396" t="s">
        <v>8</v>
      </c>
      <c r="B396" t="s">
        <v>9</v>
      </c>
      <c r="C396" t="str">
        <f t="shared" si="50"/>
        <v>11223</v>
      </c>
      <c r="D396" t="s">
        <v>12</v>
      </c>
      <c r="E396" t="str">
        <f t="shared" si="51"/>
        <v>15</v>
      </c>
      <c r="F396">
        <v>7559</v>
      </c>
      <c r="G396">
        <v>6952</v>
      </c>
      <c r="H396">
        <v>417</v>
      </c>
      <c r="I396" t="str">
        <f t="shared" si="52"/>
        <v>2</v>
      </c>
      <c r="J396" t="str">
        <f t="shared" si="53"/>
        <v>N-VA</v>
      </c>
      <c r="K396">
        <v>661</v>
      </c>
      <c r="L396">
        <v>1688</v>
      </c>
      <c r="M396">
        <v>2349</v>
      </c>
      <c r="N396">
        <v>2014</v>
      </c>
      <c r="O396">
        <v>6</v>
      </c>
      <c r="P396" t="str">
        <f>("8")</f>
        <v>8</v>
      </c>
      <c r="Q396" t="str">
        <f>("KOPP Anne")</f>
        <v>KOPP Anne</v>
      </c>
      <c r="R396">
        <v>84</v>
      </c>
      <c r="S396" t="s">
        <v>44</v>
      </c>
      <c r="T396">
        <v>0</v>
      </c>
      <c r="V396">
        <v>9</v>
      </c>
      <c r="W396">
        <v>84</v>
      </c>
      <c r="X396">
        <v>0</v>
      </c>
    </row>
    <row r="397" spans="1:24" x14ac:dyDescent="0.35">
      <c r="A397" t="s">
        <v>8</v>
      </c>
      <c r="B397" t="s">
        <v>9</v>
      </c>
      <c r="C397" t="str">
        <f t="shared" si="50"/>
        <v>11223</v>
      </c>
      <c r="D397" t="s">
        <v>12</v>
      </c>
      <c r="E397" t="str">
        <f t="shared" si="51"/>
        <v>15</v>
      </c>
      <c r="F397">
        <v>7559</v>
      </c>
      <c r="G397">
        <v>6952</v>
      </c>
      <c r="H397">
        <v>417</v>
      </c>
      <c r="I397" t="str">
        <f t="shared" si="52"/>
        <v>2</v>
      </c>
      <c r="J397" t="str">
        <f t="shared" si="53"/>
        <v>N-VA</v>
      </c>
      <c r="K397">
        <v>661</v>
      </c>
      <c r="L397">
        <v>1688</v>
      </c>
      <c r="M397">
        <v>2349</v>
      </c>
      <c r="N397">
        <v>2014</v>
      </c>
      <c r="O397">
        <v>6</v>
      </c>
      <c r="P397" t="str">
        <f>("9")</f>
        <v>9</v>
      </c>
      <c r="Q397" t="str">
        <f>("VAN LOOCK Guido")</f>
        <v>VAN LOOCK Guido</v>
      </c>
      <c r="R397">
        <v>102</v>
      </c>
      <c r="S397" t="s">
        <v>44</v>
      </c>
      <c r="T397">
        <v>0</v>
      </c>
      <c r="V397">
        <v>5</v>
      </c>
      <c r="W397">
        <v>102</v>
      </c>
      <c r="X397">
        <v>0</v>
      </c>
    </row>
    <row r="398" spans="1:24" x14ac:dyDescent="0.35">
      <c r="A398" t="s">
        <v>8</v>
      </c>
      <c r="B398" t="s">
        <v>9</v>
      </c>
      <c r="C398" t="str">
        <f t="shared" si="50"/>
        <v>11223</v>
      </c>
      <c r="D398" t="s">
        <v>12</v>
      </c>
      <c r="E398" t="str">
        <f t="shared" si="51"/>
        <v>15</v>
      </c>
      <c r="F398">
        <v>7559</v>
      </c>
      <c r="G398">
        <v>6952</v>
      </c>
      <c r="H398">
        <v>417</v>
      </c>
      <c r="I398" t="str">
        <f t="shared" si="52"/>
        <v>2</v>
      </c>
      <c r="J398" t="str">
        <f t="shared" si="53"/>
        <v>N-VA</v>
      </c>
      <c r="K398">
        <v>661</v>
      </c>
      <c r="L398">
        <v>1688</v>
      </c>
      <c r="M398">
        <v>2349</v>
      </c>
      <c r="N398">
        <v>2014</v>
      </c>
      <c r="O398">
        <v>6</v>
      </c>
      <c r="P398" t="str">
        <f>("10")</f>
        <v>10</v>
      </c>
      <c r="Q398" t="str">
        <f>("STARK Carina")</f>
        <v>STARK Carina</v>
      </c>
      <c r="R398">
        <v>203</v>
      </c>
      <c r="S398">
        <v>203</v>
      </c>
      <c r="T398">
        <v>0</v>
      </c>
      <c r="U398">
        <v>4</v>
      </c>
    </row>
    <row r="399" spans="1:24" x14ac:dyDescent="0.35">
      <c r="A399" t="s">
        <v>8</v>
      </c>
      <c r="B399" t="s">
        <v>9</v>
      </c>
      <c r="C399" t="str">
        <f t="shared" si="50"/>
        <v>11223</v>
      </c>
      <c r="D399" t="s">
        <v>12</v>
      </c>
      <c r="E399" t="str">
        <f t="shared" si="51"/>
        <v>15</v>
      </c>
      <c r="F399">
        <v>7559</v>
      </c>
      <c r="G399">
        <v>6952</v>
      </c>
      <c r="H399">
        <v>417</v>
      </c>
      <c r="I399" t="str">
        <f t="shared" si="52"/>
        <v>2</v>
      </c>
      <c r="J399" t="str">
        <f t="shared" si="53"/>
        <v>N-VA</v>
      </c>
      <c r="K399">
        <v>661</v>
      </c>
      <c r="L399">
        <v>1688</v>
      </c>
      <c r="M399">
        <v>2349</v>
      </c>
      <c r="N399">
        <v>2014</v>
      </c>
      <c r="O399">
        <v>6</v>
      </c>
      <c r="P399" t="str">
        <f>("11")</f>
        <v>11</v>
      </c>
      <c r="Q399" t="str">
        <f>("GEERAERTS Knud")</f>
        <v>GEERAERTS Knud</v>
      </c>
      <c r="R399">
        <v>156</v>
      </c>
      <c r="S399" t="s">
        <v>44</v>
      </c>
      <c r="T399">
        <v>0</v>
      </c>
      <c r="V399">
        <v>3</v>
      </c>
      <c r="W399">
        <v>156</v>
      </c>
      <c r="X399">
        <v>0</v>
      </c>
    </row>
    <row r="400" spans="1:24" x14ac:dyDescent="0.35">
      <c r="A400" t="s">
        <v>8</v>
      </c>
      <c r="B400" t="s">
        <v>9</v>
      </c>
      <c r="C400" t="str">
        <f t="shared" si="50"/>
        <v>11223</v>
      </c>
      <c r="D400" t="s">
        <v>12</v>
      </c>
      <c r="E400" t="str">
        <f t="shared" si="51"/>
        <v>15</v>
      </c>
      <c r="F400">
        <v>7559</v>
      </c>
      <c r="G400">
        <v>6952</v>
      </c>
      <c r="H400">
        <v>417</v>
      </c>
      <c r="I400" t="str">
        <f t="shared" si="52"/>
        <v>2</v>
      </c>
      <c r="J400" t="str">
        <f t="shared" si="53"/>
        <v>N-VA</v>
      </c>
      <c r="K400">
        <v>661</v>
      </c>
      <c r="L400">
        <v>1688</v>
      </c>
      <c r="M400">
        <v>2349</v>
      </c>
      <c r="N400">
        <v>2014</v>
      </c>
      <c r="O400">
        <v>6</v>
      </c>
      <c r="P400" t="str">
        <f>("12")</f>
        <v>12</v>
      </c>
      <c r="Q400" t="str">
        <f>("DIERCKX Bertha")</f>
        <v>DIERCKX Bertha</v>
      </c>
      <c r="R400">
        <v>125</v>
      </c>
      <c r="S400" t="s">
        <v>44</v>
      </c>
      <c r="T400">
        <v>0</v>
      </c>
      <c r="V400">
        <v>4</v>
      </c>
      <c r="W400">
        <v>125</v>
      </c>
      <c r="X400">
        <v>0</v>
      </c>
    </row>
    <row r="401" spans="1:24" x14ac:dyDescent="0.35">
      <c r="A401" t="s">
        <v>8</v>
      </c>
      <c r="B401" t="s">
        <v>9</v>
      </c>
      <c r="C401" t="str">
        <f t="shared" si="50"/>
        <v>11223</v>
      </c>
      <c r="D401" t="s">
        <v>12</v>
      </c>
      <c r="E401" t="str">
        <f t="shared" si="51"/>
        <v>15</v>
      </c>
      <c r="F401">
        <v>7559</v>
      </c>
      <c r="G401">
        <v>6952</v>
      </c>
      <c r="H401">
        <v>417</v>
      </c>
      <c r="I401" t="str">
        <f t="shared" si="52"/>
        <v>2</v>
      </c>
      <c r="J401" t="str">
        <f t="shared" si="53"/>
        <v>N-VA</v>
      </c>
      <c r="K401">
        <v>661</v>
      </c>
      <c r="L401">
        <v>1688</v>
      </c>
      <c r="M401">
        <v>2349</v>
      </c>
      <c r="N401">
        <v>2014</v>
      </c>
      <c r="O401">
        <v>6</v>
      </c>
      <c r="P401" t="str">
        <f>("13")</f>
        <v>13</v>
      </c>
      <c r="Q401" t="str">
        <f>("VAN HERCK Gert")</f>
        <v>VAN HERCK Gert</v>
      </c>
      <c r="R401">
        <v>96</v>
      </c>
      <c r="S401" t="s">
        <v>44</v>
      </c>
      <c r="T401">
        <v>0</v>
      </c>
      <c r="V401">
        <v>8</v>
      </c>
      <c r="W401">
        <v>96</v>
      </c>
      <c r="X401">
        <v>0</v>
      </c>
    </row>
    <row r="402" spans="1:24" x14ac:dyDescent="0.35">
      <c r="A402" t="s">
        <v>8</v>
      </c>
      <c r="B402" t="s">
        <v>9</v>
      </c>
      <c r="C402" t="str">
        <f t="shared" si="50"/>
        <v>11223</v>
      </c>
      <c r="D402" t="s">
        <v>12</v>
      </c>
      <c r="E402" t="str">
        <f t="shared" si="51"/>
        <v>15</v>
      </c>
      <c r="F402">
        <v>7559</v>
      </c>
      <c r="G402">
        <v>6952</v>
      </c>
      <c r="H402">
        <v>417</v>
      </c>
      <c r="I402" t="str">
        <f t="shared" si="52"/>
        <v>2</v>
      </c>
      <c r="J402" t="str">
        <f t="shared" si="53"/>
        <v>N-VA</v>
      </c>
      <c r="K402">
        <v>661</v>
      </c>
      <c r="L402">
        <v>1688</v>
      </c>
      <c r="M402">
        <v>2349</v>
      </c>
      <c r="N402">
        <v>2014</v>
      </c>
      <c r="O402">
        <v>6</v>
      </c>
      <c r="P402" t="str">
        <f>("14")</f>
        <v>14</v>
      </c>
      <c r="Q402" t="str">
        <f>("VAN ALSENOY Willem")</f>
        <v>VAN ALSENOY Willem</v>
      </c>
      <c r="R402">
        <v>102</v>
      </c>
      <c r="S402" t="s">
        <v>44</v>
      </c>
      <c r="T402">
        <v>0</v>
      </c>
      <c r="V402">
        <v>6</v>
      </c>
      <c r="W402">
        <v>102</v>
      </c>
      <c r="X402">
        <v>0</v>
      </c>
    </row>
    <row r="403" spans="1:24" x14ac:dyDescent="0.35">
      <c r="A403" t="s">
        <v>8</v>
      </c>
      <c r="B403" t="s">
        <v>9</v>
      </c>
      <c r="C403" t="str">
        <f t="shared" si="50"/>
        <v>11223</v>
      </c>
      <c r="D403" t="s">
        <v>12</v>
      </c>
      <c r="E403" t="str">
        <f t="shared" si="51"/>
        <v>15</v>
      </c>
      <c r="F403">
        <v>7559</v>
      </c>
      <c r="G403">
        <v>6952</v>
      </c>
      <c r="H403">
        <v>417</v>
      </c>
      <c r="I403" t="str">
        <f t="shared" si="52"/>
        <v>2</v>
      </c>
      <c r="J403" t="str">
        <f t="shared" si="53"/>
        <v>N-VA</v>
      </c>
      <c r="K403">
        <v>661</v>
      </c>
      <c r="L403">
        <v>1688</v>
      </c>
      <c r="M403">
        <v>2349</v>
      </c>
      <c r="N403">
        <v>2014</v>
      </c>
      <c r="O403">
        <v>6</v>
      </c>
      <c r="P403" t="str">
        <f>("15")</f>
        <v>15</v>
      </c>
      <c r="Q403" t="str">
        <f>("MEIRSMAN Danielle")</f>
        <v>MEIRSMAN Danielle</v>
      </c>
      <c r="R403">
        <v>178</v>
      </c>
      <c r="S403">
        <v>178</v>
      </c>
      <c r="T403">
        <v>0</v>
      </c>
      <c r="U403">
        <v>6</v>
      </c>
    </row>
    <row r="404" spans="1:24" x14ac:dyDescent="0.35">
      <c r="A404" t="s">
        <v>8</v>
      </c>
      <c r="B404" t="s">
        <v>9</v>
      </c>
      <c r="C404" t="str">
        <f t="shared" si="50"/>
        <v>11223</v>
      </c>
      <c r="D404" t="s">
        <v>12</v>
      </c>
      <c r="E404" t="str">
        <f t="shared" si="51"/>
        <v>15</v>
      </c>
      <c r="F404">
        <v>7559</v>
      </c>
      <c r="G404">
        <v>6952</v>
      </c>
      <c r="H404">
        <v>417</v>
      </c>
      <c r="I404" t="str">
        <f t="shared" ref="I404:I418" si="54">("3")</f>
        <v>3</v>
      </c>
      <c r="J404" t="str">
        <f t="shared" ref="J404:J418" si="55">("CD&amp;V")</f>
        <v>CD&amp;V</v>
      </c>
      <c r="K404">
        <v>82</v>
      </c>
      <c r="L404">
        <v>374</v>
      </c>
      <c r="M404">
        <v>456</v>
      </c>
      <c r="N404">
        <v>228</v>
      </c>
      <c r="O404">
        <v>1</v>
      </c>
      <c r="P404" t="str">
        <f>("1")</f>
        <v>1</v>
      </c>
      <c r="Q404" t="str">
        <f>("SUYKERBUYK Sandra")</f>
        <v>SUYKERBUYK Sandra</v>
      </c>
      <c r="R404">
        <v>136</v>
      </c>
      <c r="S404">
        <v>164</v>
      </c>
      <c r="T404">
        <v>0</v>
      </c>
      <c r="U404">
        <v>1</v>
      </c>
    </row>
    <row r="405" spans="1:24" x14ac:dyDescent="0.35">
      <c r="A405" t="s">
        <v>8</v>
      </c>
      <c r="B405" t="s">
        <v>9</v>
      </c>
      <c r="C405" t="str">
        <f t="shared" si="50"/>
        <v>11223</v>
      </c>
      <c r="D405" t="s">
        <v>12</v>
      </c>
      <c r="E405" t="str">
        <f t="shared" si="51"/>
        <v>15</v>
      </c>
      <c r="F405">
        <v>7559</v>
      </c>
      <c r="G405">
        <v>6952</v>
      </c>
      <c r="H405">
        <v>417</v>
      </c>
      <c r="I405" t="str">
        <f t="shared" si="54"/>
        <v>3</v>
      </c>
      <c r="J405" t="str">
        <f t="shared" si="55"/>
        <v>CD&amp;V</v>
      </c>
      <c r="K405">
        <v>82</v>
      </c>
      <c r="L405">
        <v>374</v>
      </c>
      <c r="M405">
        <v>456</v>
      </c>
      <c r="N405">
        <v>228</v>
      </c>
      <c r="O405">
        <v>1</v>
      </c>
      <c r="P405" t="str">
        <f>("2")</f>
        <v>2</v>
      </c>
      <c r="Q405" t="str">
        <f>("PAARDEKAM Marcel")</f>
        <v>PAARDEKAM Marcel</v>
      </c>
      <c r="R405">
        <v>101</v>
      </c>
      <c r="S405" t="s">
        <v>44</v>
      </c>
      <c r="T405">
        <v>0</v>
      </c>
      <c r="V405">
        <v>1</v>
      </c>
      <c r="W405">
        <v>129</v>
      </c>
      <c r="X405">
        <v>0</v>
      </c>
    </row>
    <row r="406" spans="1:24" x14ac:dyDescent="0.35">
      <c r="A406" t="s">
        <v>8</v>
      </c>
      <c r="B406" t="s">
        <v>9</v>
      </c>
      <c r="C406" t="str">
        <f t="shared" si="50"/>
        <v>11223</v>
      </c>
      <c r="D406" t="s">
        <v>12</v>
      </c>
      <c r="E406" t="str">
        <f t="shared" si="51"/>
        <v>15</v>
      </c>
      <c r="F406">
        <v>7559</v>
      </c>
      <c r="G406">
        <v>6952</v>
      </c>
      <c r="H406">
        <v>417</v>
      </c>
      <c r="I406" t="str">
        <f t="shared" si="54"/>
        <v>3</v>
      </c>
      <c r="J406" t="str">
        <f t="shared" si="55"/>
        <v>CD&amp;V</v>
      </c>
      <c r="K406">
        <v>82</v>
      </c>
      <c r="L406">
        <v>374</v>
      </c>
      <c r="M406">
        <v>456</v>
      </c>
      <c r="N406">
        <v>228</v>
      </c>
      <c r="O406">
        <v>1</v>
      </c>
      <c r="P406" t="str">
        <f>("3")</f>
        <v>3</v>
      </c>
      <c r="Q406" t="str">
        <f>("BONAERS Tineke")</f>
        <v>BONAERS Tineke</v>
      </c>
      <c r="R406">
        <v>43</v>
      </c>
      <c r="S406" t="s">
        <v>44</v>
      </c>
      <c r="T406">
        <v>0</v>
      </c>
      <c r="V406">
        <v>6</v>
      </c>
      <c r="W406">
        <v>43</v>
      </c>
      <c r="X406">
        <v>0</v>
      </c>
    </row>
    <row r="407" spans="1:24" x14ac:dyDescent="0.35">
      <c r="A407" t="s">
        <v>8</v>
      </c>
      <c r="B407" t="s">
        <v>9</v>
      </c>
      <c r="C407" t="str">
        <f t="shared" si="50"/>
        <v>11223</v>
      </c>
      <c r="D407" t="s">
        <v>12</v>
      </c>
      <c r="E407" t="str">
        <f t="shared" si="51"/>
        <v>15</v>
      </c>
      <c r="F407">
        <v>7559</v>
      </c>
      <c r="G407">
        <v>6952</v>
      </c>
      <c r="H407">
        <v>417</v>
      </c>
      <c r="I407" t="str">
        <f t="shared" si="54"/>
        <v>3</v>
      </c>
      <c r="J407" t="str">
        <f t="shared" si="55"/>
        <v>CD&amp;V</v>
      </c>
      <c r="K407">
        <v>82</v>
      </c>
      <c r="L407">
        <v>374</v>
      </c>
      <c r="M407">
        <v>456</v>
      </c>
      <c r="N407">
        <v>228</v>
      </c>
      <c r="O407">
        <v>1</v>
      </c>
      <c r="P407" t="str">
        <f>("4")</f>
        <v>4</v>
      </c>
      <c r="Q407" t="str">
        <f>("VAN ROOSBROECK Nick")</f>
        <v>VAN ROOSBROECK Nick</v>
      </c>
      <c r="R407">
        <v>46</v>
      </c>
      <c r="S407" t="s">
        <v>44</v>
      </c>
      <c r="T407">
        <v>0</v>
      </c>
      <c r="V407">
        <v>4</v>
      </c>
      <c r="W407">
        <v>46</v>
      </c>
      <c r="X407">
        <v>0</v>
      </c>
    </row>
    <row r="408" spans="1:24" x14ac:dyDescent="0.35">
      <c r="A408" t="s">
        <v>8</v>
      </c>
      <c r="B408" t="s">
        <v>9</v>
      </c>
      <c r="C408" t="str">
        <f t="shared" si="50"/>
        <v>11223</v>
      </c>
      <c r="D408" t="s">
        <v>12</v>
      </c>
      <c r="E408" t="str">
        <f t="shared" si="51"/>
        <v>15</v>
      </c>
      <c r="F408">
        <v>7559</v>
      </c>
      <c r="G408">
        <v>6952</v>
      </c>
      <c r="H408">
        <v>417</v>
      </c>
      <c r="I408" t="str">
        <f t="shared" si="54"/>
        <v>3</v>
      </c>
      <c r="J408" t="str">
        <f t="shared" si="55"/>
        <v>CD&amp;V</v>
      </c>
      <c r="K408">
        <v>82</v>
      </c>
      <c r="L408">
        <v>374</v>
      </c>
      <c r="M408">
        <v>456</v>
      </c>
      <c r="N408">
        <v>228</v>
      </c>
      <c r="O408">
        <v>1</v>
      </c>
      <c r="P408" t="str">
        <f>("5")</f>
        <v>5</v>
      </c>
      <c r="Q408" t="str">
        <f>("VAN DORST Sophie")</f>
        <v>VAN DORST Sophie</v>
      </c>
      <c r="R408">
        <v>45</v>
      </c>
      <c r="S408" t="s">
        <v>44</v>
      </c>
      <c r="T408">
        <v>0</v>
      </c>
      <c r="V408">
        <v>5</v>
      </c>
      <c r="W408">
        <v>45</v>
      </c>
      <c r="X408">
        <v>0</v>
      </c>
    </row>
    <row r="409" spans="1:24" x14ac:dyDescent="0.35">
      <c r="A409" t="s">
        <v>8</v>
      </c>
      <c r="B409" t="s">
        <v>9</v>
      </c>
      <c r="C409" t="str">
        <f t="shared" si="50"/>
        <v>11223</v>
      </c>
      <c r="D409" t="s">
        <v>12</v>
      </c>
      <c r="E409" t="str">
        <f t="shared" si="51"/>
        <v>15</v>
      </c>
      <c r="F409">
        <v>7559</v>
      </c>
      <c r="G409">
        <v>6952</v>
      </c>
      <c r="H409">
        <v>417</v>
      </c>
      <c r="I409" t="str">
        <f t="shared" si="54"/>
        <v>3</v>
      </c>
      <c r="J409" t="str">
        <f t="shared" si="55"/>
        <v>CD&amp;V</v>
      </c>
      <c r="K409">
        <v>82</v>
      </c>
      <c r="L409">
        <v>374</v>
      </c>
      <c r="M409">
        <v>456</v>
      </c>
      <c r="N409">
        <v>228</v>
      </c>
      <c r="O409">
        <v>1</v>
      </c>
      <c r="P409" t="str">
        <f>("6")</f>
        <v>6</v>
      </c>
      <c r="Q409" t="str">
        <f>("BOULAHFATI Ismail")</f>
        <v>BOULAHFATI Ismail</v>
      </c>
      <c r="R409">
        <v>42</v>
      </c>
      <c r="S409" t="s">
        <v>44</v>
      </c>
      <c r="T409">
        <v>0</v>
      </c>
      <c r="V409">
        <v>7</v>
      </c>
      <c r="W409">
        <v>42</v>
      </c>
      <c r="X409">
        <v>0</v>
      </c>
    </row>
    <row r="410" spans="1:24" x14ac:dyDescent="0.35">
      <c r="A410" t="s">
        <v>8</v>
      </c>
      <c r="B410" t="s">
        <v>9</v>
      </c>
      <c r="C410" t="str">
        <f t="shared" si="50"/>
        <v>11223</v>
      </c>
      <c r="D410" t="s">
        <v>12</v>
      </c>
      <c r="E410" t="str">
        <f t="shared" si="51"/>
        <v>15</v>
      </c>
      <c r="F410">
        <v>7559</v>
      </c>
      <c r="G410">
        <v>6952</v>
      </c>
      <c r="H410">
        <v>417</v>
      </c>
      <c r="I410" t="str">
        <f t="shared" si="54"/>
        <v>3</v>
      </c>
      <c r="J410" t="str">
        <f t="shared" si="55"/>
        <v>CD&amp;V</v>
      </c>
      <c r="K410">
        <v>82</v>
      </c>
      <c r="L410">
        <v>374</v>
      </c>
      <c r="M410">
        <v>456</v>
      </c>
      <c r="N410">
        <v>228</v>
      </c>
      <c r="O410">
        <v>1</v>
      </c>
      <c r="P410" t="str">
        <f>("7")</f>
        <v>7</v>
      </c>
      <c r="Q410" t="str">
        <f>("JONGENELEN Amber")</f>
        <v>JONGENELEN Amber</v>
      </c>
      <c r="R410">
        <v>38</v>
      </c>
      <c r="S410" t="s">
        <v>44</v>
      </c>
      <c r="T410">
        <v>0</v>
      </c>
      <c r="V410">
        <v>8</v>
      </c>
      <c r="W410">
        <v>38</v>
      </c>
      <c r="X410">
        <v>0</v>
      </c>
    </row>
    <row r="411" spans="1:24" x14ac:dyDescent="0.35">
      <c r="A411" t="s">
        <v>8</v>
      </c>
      <c r="B411" t="s">
        <v>9</v>
      </c>
      <c r="C411" t="str">
        <f t="shared" si="50"/>
        <v>11223</v>
      </c>
      <c r="D411" t="s">
        <v>12</v>
      </c>
      <c r="E411" t="str">
        <f t="shared" si="51"/>
        <v>15</v>
      </c>
      <c r="F411">
        <v>7559</v>
      </c>
      <c r="G411">
        <v>6952</v>
      </c>
      <c r="H411">
        <v>417</v>
      </c>
      <c r="I411" t="str">
        <f t="shared" si="54"/>
        <v>3</v>
      </c>
      <c r="J411" t="str">
        <f t="shared" si="55"/>
        <v>CD&amp;V</v>
      </c>
      <c r="K411">
        <v>82</v>
      </c>
      <c r="L411">
        <v>374</v>
      </c>
      <c r="M411">
        <v>456</v>
      </c>
      <c r="N411">
        <v>228</v>
      </c>
      <c r="O411">
        <v>1</v>
      </c>
      <c r="P411" t="str">
        <f>("8")</f>
        <v>8</v>
      </c>
      <c r="Q411" t="str">
        <f>("NDUWUMWAMI Benis-Cox")</f>
        <v>NDUWUMWAMI Benis-Cox</v>
      </c>
      <c r="R411">
        <v>52</v>
      </c>
      <c r="S411" t="s">
        <v>44</v>
      </c>
      <c r="T411">
        <v>0</v>
      </c>
      <c r="V411">
        <v>3</v>
      </c>
      <c r="W411">
        <v>52</v>
      </c>
      <c r="X411">
        <v>0</v>
      </c>
    </row>
    <row r="412" spans="1:24" x14ac:dyDescent="0.35">
      <c r="A412" t="s">
        <v>8</v>
      </c>
      <c r="B412" t="s">
        <v>9</v>
      </c>
      <c r="C412" t="str">
        <f t="shared" si="50"/>
        <v>11223</v>
      </c>
      <c r="D412" t="s">
        <v>12</v>
      </c>
      <c r="E412" t="str">
        <f t="shared" si="51"/>
        <v>15</v>
      </c>
      <c r="F412">
        <v>7559</v>
      </c>
      <c r="G412">
        <v>6952</v>
      </c>
      <c r="H412">
        <v>417</v>
      </c>
      <c r="I412" t="str">
        <f t="shared" si="54"/>
        <v>3</v>
      </c>
      <c r="J412" t="str">
        <f t="shared" si="55"/>
        <v>CD&amp;V</v>
      </c>
      <c r="K412">
        <v>82</v>
      </c>
      <c r="L412">
        <v>374</v>
      </c>
      <c r="M412">
        <v>456</v>
      </c>
      <c r="N412">
        <v>228</v>
      </c>
      <c r="O412">
        <v>1</v>
      </c>
      <c r="P412" t="str">
        <f>("9")</f>
        <v>9</v>
      </c>
      <c r="Q412" t="str">
        <f>("VAN ROOSBROECK Lore")</f>
        <v>VAN ROOSBROECK Lore</v>
      </c>
      <c r="R412">
        <v>29</v>
      </c>
      <c r="S412" t="s">
        <v>44</v>
      </c>
      <c r="T412">
        <v>0</v>
      </c>
      <c r="V412">
        <v>11</v>
      </c>
      <c r="W412">
        <v>29</v>
      </c>
      <c r="X412">
        <v>0</v>
      </c>
    </row>
    <row r="413" spans="1:24" x14ac:dyDescent="0.35">
      <c r="A413" t="s">
        <v>8</v>
      </c>
      <c r="B413" t="s">
        <v>9</v>
      </c>
      <c r="C413" t="str">
        <f t="shared" si="50"/>
        <v>11223</v>
      </c>
      <c r="D413" t="s">
        <v>12</v>
      </c>
      <c r="E413" t="str">
        <f t="shared" si="51"/>
        <v>15</v>
      </c>
      <c r="F413">
        <v>7559</v>
      </c>
      <c r="G413">
        <v>6952</v>
      </c>
      <c r="H413">
        <v>417</v>
      </c>
      <c r="I413" t="str">
        <f t="shared" si="54"/>
        <v>3</v>
      </c>
      <c r="J413" t="str">
        <f t="shared" si="55"/>
        <v>CD&amp;V</v>
      </c>
      <c r="K413">
        <v>82</v>
      </c>
      <c r="L413">
        <v>374</v>
      </c>
      <c r="M413">
        <v>456</v>
      </c>
      <c r="N413">
        <v>228</v>
      </c>
      <c r="O413">
        <v>1</v>
      </c>
      <c r="P413" t="str">
        <f>("10")</f>
        <v>10</v>
      </c>
      <c r="Q413" t="str">
        <f>("VAN THILLO Glenn")</f>
        <v>VAN THILLO Glenn</v>
      </c>
      <c r="R413">
        <v>30</v>
      </c>
      <c r="S413" t="s">
        <v>44</v>
      </c>
      <c r="T413">
        <v>0</v>
      </c>
      <c r="V413">
        <v>9</v>
      </c>
      <c r="W413">
        <v>30</v>
      </c>
      <c r="X413">
        <v>0</v>
      </c>
    </row>
    <row r="414" spans="1:24" x14ac:dyDescent="0.35">
      <c r="A414" t="s">
        <v>8</v>
      </c>
      <c r="B414" t="s">
        <v>9</v>
      </c>
      <c r="C414" t="str">
        <f t="shared" si="50"/>
        <v>11223</v>
      </c>
      <c r="D414" t="s">
        <v>12</v>
      </c>
      <c r="E414" t="str">
        <f t="shared" si="51"/>
        <v>15</v>
      </c>
      <c r="F414">
        <v>7559</v>
      </c>
      <c r="G414">
        <v>6952</v>
      </c>
      <c r="H414">
        <v>417</v>
      </c>
      <c r="I414" t="str">
        <f t="shared" si="54"/>
        <v>3</v>
      </c>
      <c r="J414" t="str">
        <f t="shared" si="55"/>
        <v>CD&amp;V</v>
      </c>
      <c r="K414">
        <v>82</v>
      </c>
      <c r="L414">
        <v>374</v>
      </c>
      <c r="M414">
        <v>456</v>
      </c>
      <c r="N414">
        <v>228</v>
      </c>
      <c r="O414">
        <v>1</v>
      </c>
      <c r="P414" t="str">
        <f>("11")</f>
        <v>11</v>
      </c>
      <c r="Q414" t="str">
        <f>("DE BEUKELAER Lisette")</f>
        <v>DE BEUKELAER Lisette</v>
      </c>
      <c r="R414">
        <v>25</v>
      </c>
      <c r="S414" t="s">
        <v>44</v>
      </c>
      <c r="T414">
        <v>0</v>
      </c>
      <c r="V414">
        <v>13</v>
      </c>
      <c r="W414">
        <v>25</v>
      </c>
      <c r="X414">
        <v>0</v>
      </c>
    </row>
    <row r="415" spans="1:24" x14ac:dyDescent="0.35">
      <c r="A415" t="s">
        <v>8</v>
      </c>
      <c r="B415" t="s">
        <v>9</v>
      </c>
      <c r="C415" t="str">
        <f t="shared" si="50"/>
        <v>11223</v>
      </c>
      <c r="D415" t="s">
        <v>12</v>
      </c>
      <c r="E415" t="str">
        <f t="shared" si="51"/>
        <v>15</v>
      </c>
      <c r="F415">
        <v>7559</v>
      </c>
      <c r="G415">
        <v>6952</v>
      </c>
      <c r="H415">
        <v>417</v>
      </c>
      <c r="I415" t="str">
        <f t="shared" si="54"/>
        <v>3</v>
      </c>
      <c r="J415" t="str">
        <f t="shared" si="55"/>
        <v>CD&amp;V</v>
      </c>
      <c r="K415">
        <v>82</v>
      </c>
      <c r="L415">
        <v>374</v>
      </c>
      <c r="M415">
        <v>456</v>
      </c>
      <c r="N415">
        <v>228</v>
      </c>
      <c r="O415">
        <v>1</v>
      </c>
      <c r="P415" t="str">
        <f>("12")</f>
        <v>12</v>
      </c>
      <c r="Q415" t="str">
        <f>("VAN WEERELD Steff")</f>
        <v>VAN WEERELD Steff</v>
      </c>
      <c r="R415">
        <v>18</v>
      </c>
      <c r="S415" t="s">
        <v>44</v>
      </c>
      <c r="T415">
        <v>0</v>
      </c>
      <c r="V415">
        <v>14</v>
      </c>
      <c r="W415">
        <v>18</v>
      </c>
      <c r="X415">
        <v>0</v>
      </c>
    </row>
    <row r="416" spans="1:24" x14ac:dyDescent="0.35">
      <c r="A416" t="s">
        <v>8</v>
      </c>
      <c r="B416" t="s">
        <v>9</v>
      </c>
      <c r="C416" t="str">
        <f t="shared" si="50"/>
        <v>11223</v>
      </c>
      <c r="D416" t="s">
        <v>12</v>
      </c>
      <c r="E416" t="str">
        <f t="shared" si="51"/>
        <v>15</v>
      </c>
      <c r="F416">
        <v>7559</v>
      </c>
      <c r="G416">
        <v>6952</v>
      </c>
      <c r="H416">
        <v>417</v>
      </c>
      <c r="I416" t="str">
        <f t="shared" si="54"/>
        <v>3</v>
      </c>
      <c r="J416" t="str">
        <f t="shared" si="55"/>
        <v>CD&amp;V</v>
      </c>
      <c r="K416">
        <v>82</v>
      </c>
      <c r="L416">
        <v>374</v>
      </c>
      <c r="M416">
        <v>456</v>
      </c>
      <c r="N416">
        <v>228</v>
      </c>
      <c r="O416">
        <v>1</v>
      </c>
      <c r="P416" t="str">
        <f>("13")</f>
        <v>13</v>
      </c>
      <c r="Q416" t="str">
        <f>("BASTIAENSEN Yannick")</f>
        <v>BASTIAENSEN Yannick</v>
      </c>
      <c r="R416">
        <v>30</v>
      </c>
      <c r="S416" t="s">
        <v>44</v>
      </c>
      <c r="T416">
        <v>0</v>
      </c>
      <c r="V416">
        <v>10</v>
      </c>
      <c r="W416">
        <v>30</v>
      </c>
      <c r="X416">
        <v>0</v>
      </c>
    </row>
    <row r="417" spans="1:24" x14ac:dyDescent="0.35">
      <c r="A417" t="s">
        <v>8</v>
      </c>
      <c r="B417" t="s">
        <v>9</v>
      </c>
      <c r="C417" t="str">
        <f t="shared" si="50"/>
        <v>11223</v>
      </c>
      <c r="D417" t="s">
        <v>12</v>
      </c>
      <c r="E417" t="str">
        <f t="shared" si="51"/>
        <v>15</v>
      </c>
      <c r="F417">
        <v>7559</v>
      </c>
      <c r="G417">
        <v>6952</v>
      </c>
      <c r="H417">
        <v>417</v>
      </c>
      <c r="I417" t="str">
        <f t="shared" si="54"/>
        <v>3</v>
      </c>
      <c r="J417" t="str">
        <f t="shared" si="55"/>
        <v>CD&amp;V</v>
      </c>
      <c r="K417">
        <v>82</v>
      </c>
      <c r="L417">
        <v>374</v>
      </c>
      <c r="M417">
        <v>456</v>
      </c>
      <c r="N417">
        <v>228</v>
      </c>
      <c r="O417">
        <v>1</v>
      </c>
      <c r="P417" t="str">
        <f>("14")</f>
        <v>14</v>
      </c>
      <c r="Q417" t="str">
        <f>("VAN GESTEL Femke")</f>
        <v>VAN GESTEL Femke</v>
      </c>
      <c r="R417">
        <v>28</v>
      </c>
      <c r="S417" t="s">
        <v>44</v>
      </c>
      <c r="T417">
        <v>0</v>
      </c>
      <c r="V417">
        <v>12</v>
      </c>
      <c r="W417">
        <v>28</v>
      </c>
      <c r="X417">
        <v>0</v>
      </c>
    </row>
    <row r="418" spans="1:24" x14ac:dyDescent="0.35">
      <c r="A418" t="s">
        <v>8</v>
      </c>
      <c r="B418" t="s">
        <v>9</v>
      </c>
      <c r="C418" t="str">
        <f t="shared" si="50"/>
        <v>11223</v>
      </c>
      <c r="D418" t="s">
        <v>12</v>
      </c>
      <c r="E418" t="str">
        <f t="shared" si="51"/>
        <v>15</v>
      </c>
      <c r="F418">
        <v>7559</v>
      </c>
      <c r="G418">
        <v>6952</v>
      </c>
      <c r="H418">
        <v>417</v>
      </c>
      <c r="I418" t="str">
        <f t="shared" si="54"/>
        <v>3</v>
      </c>
      <c r="J418" t="str">
        <f t="shared" si="55"/>
        <v>CD&amp;V</v>
      </c>
      <c r="K418">
        <v>82</v>
      </c>
      <c r="L418">
        <v>374</v>
      </c>
      <c r="M418">
        <v>456</v>
      </c>
      <c r="N418">
        <v>228</v>
      </c>
      <c r="O418">
        <v>1</v>
      </c>
      <c r="P418" t="str">
        <f>("15")</f>
        <v>15</v>
      </c>
      <c r="Q418" t="str">
        <f>("RUL Romain")</f>
        <v>RUL Romain</v>
      </c>
      <c r="R418">
        <v>57</v>
      </c>
      <c r="S418" t="s">
        <v>44</v>
      </c>
      <c r="T418">
        <v>0</v>
      </c>
      <c r="V418">
        <v>2</v>
      </c>
      <c r="W418">
        <v>57</v>
      </c>
      <c r="X418">
        <v>0</v>
      </c>
    </row>
    <row r="419" spans="1:24" x14ac:dyDescent="0.35">
      <c r="A419" t="s">
        <v>8</v>
      </c>
      <c r="B419" t="s">
        <v>9</v>
      </c>
      <c r="C419" t="str">
        <f t="shared" si="50"/>
        <v>11223</v>
      </c>
      <c r="D419" t="s">
        <v>12</v>
      </c>
      <c r="E419" t="str">
        <f t="shared" si="51"/>
        <v>15</v>
      </c>
      <c r="F419">
        <v>7559</v>
      </c>
      <c r="G419">
        <v>6952</v>
      </c>
      <c r="H419">
        <v>417</v>
      </c>
      <c r="I419" t="str">
        <f t="shared" ref="I419:I433" si="56">("5")</f>
        <v>5</v>
      </c>
      <c r="J419" t="str">
        <f t="shared" ref="J419:J433" si="57">("VLAAMS BELANG")</f>
        <v>VLAAMS BELANG</v>
      </c>
      <c r="K419">
        <v>413</v>
      </c>
      <c r="L419">
        <v>1024</v>
      </c>
      <c r="M419">
        <v>1437</v>
      </c>
      <c r="N419">
        <v>1150</v>
      </c>
      <c r="O419">
        <v>4</v>
      </c>
      <c r="P419" t="str">
        <f>("1")</f>
        <v>1</v>
      </c>
      <c r="Q419" t="str">
        <f>("VAN BROECKHOVEN Steve")</f>
        <v>VAN BROECKHOVEN Steve</v>
      </c>
      <c r="R419">
        <v>532</v>
      </c>
      <c r="S419">
        <v>1083</v>
      </c>
      <c r="T419">
        <v>0</v>
      </c>
      <c r="U419">
        <v>1</v>
      </c>
    </row>
    <row r="420" spans="1:24" x14ac:dyDescent="0.35">
      <c r="A420" t="s">
        <v>8</v>
      </c>
      <c r="B420" t="s">
        <v>9</v>
      </c>
      <c r="C420" t="str">
        <f t="shared" si="50"/>
        <v>11223</v>
      </c>
      <c r="D420" t="s">
        <v>12</v>
      </c>
      <c r="E420" t="str">
        <f t="shared" si="51"/>
        <v>15</v>
      </c>
      <c r="F420">
        <v>7559</v>
      </c>
      <c r="G420">
        <v>6952</v>
      </c>
      <c r="H420">
        <v>417</v>
      </c>
      <c r="I420" t="str">
        <f t="shared" si="56"/>
        <v>5</v>
      </c>
      <c r="J420" t="str">
        <f t="shared" si="57"/>
        <v>VLAAMS BELANG</v>
      </c>
      <c r="K420">
        <v>413</v>
      </c>
      <c r="L420">
        <v>1024</v>
      </c>
      <c r="M420">
        <v>1437</v>
      </c>
      <c r="N420">
        <v>1150</v>
      </c>
      <c r="O420">
        <v>4</v>
      </c>
      <c r="P420" t="str">
        <f>("2")</f>
        <v>2</v>
      </c>
      <c r="Q420" t="str">
        <f>("CLABOST Veronique")</f>
        <v>CLABOST Veronique</v>
      </c>
      <c r="R420">
        <v>116</v>
      </c>
      <c r="S420">
        <v>116</v>
      </c>
      <c r="T420">
        <v>0</v>
      </c>
      <c r="U420">
        <v>4</v>
      </c>
    </row>
    <row r="421" spans="1:24" x14ac:dyDescent="0.35">
      <c r="A421" t="s">
        <v>8</v>
      </c>
      <c r="B421" t="s">
        <v>9</v>
      </c>
      <c r="C421" t="str">
        <f t="shared" ref="C421:C452" si="58">("11223")</f>
        <v>11223</v>
      </c>
      <c r="D421" t="s">
        <v>12</v>
      </c>
      <c r="E421" t="str">
        <f t="shared" ref="E421:E452" si="59">("15")</f>
        <v>15</v>
      </c>
      <c r="F421">
        <v>7559</v>
      </c>
      <c r="G421">
        <v>6952</v>
      </c>
      <c r="H421">
        <v>417</v>
      </c>
      <c r="I421" t="str">
        <f t="shared" si="56"/>
        <v>5</v>
      </c>
      <c r="J421" t="str">
        <f t="shared" si="57"/>
        <v>VLAAMS BELANG</v>
      </c>
      <c r="K421">
        <v>413</v>
      </c>
      <c r="L421">
        <v>1024</v>
      </c>
      <c r="M421">
        <v>1437</v>
      </c>
      <c r="N421">
        <v>1150</v>
      </c>
      <c r="O421">
        <v>4</v>
      </c>
      <c r="P421" t="str">
        <f>("3")</f>
        <v>3</v>
      </c>
      <c r="Q421" t="str">
        <f>("SILLIS Walter")</f>
        <v>SILLIS Walter</v>
      </c>
      <c r="R421">
        <v>49</v>
      </c>
      <c r="S421" t="s">
        <v>44</v>
      </c>
      <c r="T421">
        <v>0</v>
      </c>
      <c r="V421">
        <v>1</v>
      </c>
      <c r="W421">
        <v>600</v>
      </c>
      <c r="X421">
        <v>0</v>
      </c>
    </row>
    <row r="422" spans="1:24" x14ac:dyDescent="0.35">
      <c r="A422" t="s">
        <v>8</v>
      </c>
      <c r="B422" t="s">
        <v>9</v>
      </c>
      <c r="C422" t="str">
        <f t="shared" si="58"/>
        <v>11223</v>
      </c>
      <c r="D422" t="s">
        <v>12</v>
      </c>
      <c r="E422" t="str">
        <f t="shared" si="59"/>
        <v>15</v>
      </c>
      <c r="F422">
        <v>7559</v>
      </c>
      <c r="G422">
        <v>6952</v>
      </c>
      <c r="H422">
        <v>417</v>
      </c>
      <c r="I422" t="str">
        <f t="shared" si="56"/>
        <v>5</v>
      </c>
      <c r="J422" t="str">
        <f t="shared" si="57"/>
        <v>VLAAMS BELANG</v>
      </c>
      <c r="K422">
        <v>413</v>
      </c>
      <c r="L422">
        <v>1024</v>
      </c>
      <c r="M422">
        <v>1437</v>
      </c>
      <c r="N422">
        <v>1150</v>
      </c>
      <c r="O422">
        <v>4</v>
      </c>
      <c r="P422" t="str">
        <f>("4")</f>
        <v>4</v>
      </c>
      <c r="Q422" t="str">
        <f>("VEKEMANS Jenny")</f>
        <v>VEKEMANS Jenny</v>
      </c>
      <c r="R422">
        <v>56</v>
      </c>
      <c r="S422" t="s">
        <v>44</v>
      </c>
      <c r="T422">
        <v>0</v>
      </c>
      <c r="V422">
        <v>3</v>
      </c>
      <c r="W422">
        <v>56</v>
      </c>
      <c r="X422">
        <v>0</v>
      </c>
    </row>
    <row r="423" spans="1:24" x14ac:dyDescent="0.35">
      <c r="A423" t="s">
        <v>8</v>
      </c>
      <c r="B423" t="s">
        <v>9</v>
      </c>
      <c r="C423" t="str">
        <f t="shared" si="58"/>
        <v>11223</v>
      </c>
      <c r="D423" t="s">
        <v>12</v>
      </c>
      <c r="E423" t="str">
        <f t="shared" si="59"/>
        <v>15</v>
      </c>
      <c r="F423">
        <v>7559</v>
      </c>
      <c r="G423">
        <v>6952</v>
      </c>
      <c r="H423">
        <v>417</v>
      </c>
      <c r="I423" t="str">
        <f t="shared" si="56"/>
        <v>5</v>
      </c>
      <c r="J423" t="str">
        <f t="shared" si="57"/>
        <v>VLAAMS BELANG</v>
      </c>
      <c r="K423">
        <v>413</v>
      </c>
      <c r="L423">
        <v>1024</v>
      </c>
      <c r="M423">
        <v>1437</v>
      </c>
      <c r="N423">
        <v>1150</v>
      </c>
      <c r="O423">
        <v>4</v>
      </c>
      <c r="P423" t="str">
        <f>("5")</f>
        <v>5</v>
      </c>
      <c r="Q423" t="str">
        <f>("LUIJCKX Martine")</f>
        <v>LUIJCKX Martine</v>
      </c>
      <c r="R423">
        <v>42</v>
      </c>
      <c r="S423" t="s">
        <v>44</v>
      </c>
      <c r="T423">
        <v>0</v>
      </c>
      <c r="V423">
        <v>6</v>
      </c>
      <c r="W423">
        <v>42</v>
      </c>
      <c r="X423">
        <v>0</v>
      </c>
    </row>
    <row r="424" spans="1:24" x14ac:dyDescent="0.35">
      <c r="A424" t="s">
        <v>8</v>
      </c>
      <c r="B424" t="s">
        <v>9</v>
      </c>
      <c r="C424" t="str">
        <f t="shared" si="58"/>
        <v>11223</v>
      </c>
      <c r="D424" t="s">
        <v>12</v>
      </c>
      <c r="E424" t="str">
        <f t="shared" si="59"/>
        <v>15</v>
      </c>
      <c r="F424">
        <v>7559</v>
      </c>
      <c r="G424">
        <v>6952</v>
      </c>
      <c r="H424">
        <v>417</v>
      </c>
      <c r="I424" t="str">
        <f t="shared" si="56"/>
        <v>5</v>
      </c>
      <c r="J424" t="str">
        <f t="shared" si="57"/>
        <v>VLAAMS BELANG</v>
      </c>
      <c r="K424">
        <v>413</v>
      </c>
      <c r="L424">
        <v>1024</v>
      </c>
      <c r="M424">
        <v>1437</v>
      </c>
      <c r="N424">
        <v>1150</v>
      </c>
      <c r="O424">
        <v>4</v>
      </c>
      <c r="P424" t="str">
        <f>("6")</f>
        <v>6</v>
      </c>
      <c r="Q424" t="str">
        <f>("SCHIJVENS Swa")</f>
        <v>SCHIJVENS Swa</v>
      </c>
      <c r="R424">
        <v>59</v>
      </c>
      <c r="S424" t="s">
        <v>44</v>
      </c>
      <c r="T424">
        <v>0</v>
      </c>
      <c r="V424">
        <v>2</v>
      </c>
      <c r="W424">
        <v>59</v>
      </c>
      <c r="X424">
        <v>0</v>
      </c>
    </row>
    <row r="425" spans="1:24" x14ac:dyDescent="0.35">
      <c r="A425" t="s">
        <v>8</v>
      </c>
      <c r="B425" t="s">
        <v>9</v>
      </c>
      <c r="C425" t="str">
        <f t="shared" si="58"/>
        <v>11223</v>
      </c>
      <c r="D425" t="s">
        <v>12</v>
      </c>
      <c r="E425" t="str">
        <f t="shared" si="59"/>
        <v>15</v>
      </c>
      <c r="F425">
        <v>7559</v>
      </c>
      <c r="G425">
        <v>6952</v>
      </c>
      <c r="H425">
        <v>417</v>
      </c>
      <c r="I425" t="str">
        <f t="shared" si="56"/>
        <v>5</v>
      </c>
      <c r="J425" t="str">
        <f t="shared" si="57"/>
        <v>VLAAMS BELANG</v>
      </c>
      <c r="K425">
        <v>413</v>
      </c>
      <c r="L425">
        <v>1024</v>
      </c>
      <c r="M425">
        <v>1437</v>
      </c>
      <c r="N425">
        <v>1150</v>
      </c>
      <c r="O425">
        <v>4</v>
      </c>
      <c r="P425" t="str">
        <f>("7")</f>
        <v>7</v>
      </c>
      <c r="Q425" t="str">
        <f>("DE MEYER Sonia")</f>
        <v>DE MEYER Sonia</v>
      </c>
      <c r="R425">
        <v>50</v>
      </c>
      <c r="S425" t="s">
        <v>44</v>
      </c>
      <c r="T425">
        <v>0</v>
      </c>
      <c r="V425">
        <v>4</v>
      </c>
      <c r="W425">
        <v>50</v>
      </c>
      <c r="X425">
        <v>0</v>
      </c>
    </row>
    <row r="426" spans="1:24" x14ac:dyDescent="0.35">
      <c r="A426" t="s">
        <v>8</v>
      </c>
      <c r="B426" t="s">
        <v>9</v>
      </c>
      <c r="C426" t="str">
        <f t="shared" si="58"/>
        <v>11223</v>
      </c>
      <c r="D426" t="s">
        <v>12</v>
      </c>
      <c r="E426" t="str">
        <f t="shared" si="59"/>
        <v>15</v>
      </c>
      <c r="F426">
        <v>7559</v>
      </c>
      <c r="G426">
        <v>6952</v>
      </c>
      <c r="H426">
        <v>417</v>
      </c>
      <c r="I426" t="str">
        <f t="shared" si="56"/>
        <v>5</v>
      </c>
      <c r="J426" t="str">
        <f t="shared" si="57"/>
        <v>VLAAMS BELANG</v>
      </c>
      <c r="K426">
        <v>413</v>
      </c>
      <c r="L426">
        <v>1024</v>
      </c>
      <c r="M426">
        <v>1437</v>
      </c>
      <c r="N426">
        <v>1150</v>
      </c>
      <c r="O426">
        <v>4</v>
      </c>
      <c r="P426" t="str">
        <f>("8")</f>
        <v>8</v>
      </c>
      <c r="Q426" t="str">
        <f>("ANDRIES Xavier")</f>
        <v>ANDRIES Xavier</v>
      </c>
      <c r="R426">
        <v>42</v>
      </c>
      <c r="S426" t="s">
        <v>44</v>
      </c>
      <c r="T426">
        <v>0</v>
      </c>
      <c r="V426">
        <v>7</v>
      </c>
      <c r="W426">
        <v>42</v>
      </c>
      <c r="X426">
        <v>0</v>
      </c>
    </row>
    <row r="427" spans="1:24" x14ac:dyDescent="0.35">
      <c r="A427" t="s">
        <v>8</v>
      </c>
      <c r="B427" t="s">
        <v>9</v>
      </c>
      <c r="C427" t="str">
        <f t="shared" si="58"/>
        <v>11223</v>
      </c>
      <c r="D427" t="s">
        <v>12</v>
      </c>
      <c r="E427" t="str">
        <f t="shared" si="59"/>
        <v>15</v>
      </c>
      <c r="F427">
        <v>7559</v>
      </c>
      <c r="G427">
        <v>6952</v>
      </c>
      <c r="H427">
        <v>417</v>
      </c>
      <c r="I427" t="str">
        <f t="shared" si="56"/>
        <v>5</v>
      </c>
      <c r="J427" t="str">
        <f t="shared" si="57"/>
        <v>VLAAMS BELANG</v>
      </c>
      <c r="K427">
        <v>413</v>
      </c>
      <c r="L427">
        <v>1024</v>
      </c>
      <c r="M427">
        <v>1437</v>
      </c>
      <c r="N427">
        <v>1150</v>
      </c>
      <c r="O427">
        <v>4</v>
      </c>
      <c r="P427" t="str">
        <f>("9")</f>
        <v>9</v>
      </c>
      <c r="Q427" t="str">
        <f>("TIMMERMANS Sally")</f>
        <v>TIMMERMANS Sally</v>
      </c>
      <c r="R427">
        <v>45</v>
      </c>
      <c r="S427" t="s">
        <v>44</v>
      </c>
      <c r="T427">
        <v>0</v>
      </c>
      <c r="V427">
        <v>5</v>
      </c>
      <c r="W427">
        <v>45</v>
      </c>
      <c r="X427">
        <v>0</v>
      </c>
    </row>
    <row r="428" spans="1:24" x14ac:dyDescent="0.35">
      <c r="A428" t="s">
        <v>8</v>
      </c>
      <c r="B428" t="s">
        <v>9</v>
      </c>
      <c r="C428" t="str">
        <f t="shared" si="58"/>
        <v>11223</v>
      </c>
      <c r="D428" t="s">
        <v>12</v>
      </c>
      <c r="E428" t="str">
        <f t="shared" si="59"/>
        <v>15</v>
      </c>
      <c r="F428">
        <v>7559</v>
      </c>
      <c r="G428">
        <v>6952</v>
      </c>
      <c r="H428">
        <v>417</v>
      </c>
      <c r="I428" t="str">
        <f t="shared" si="56"/>
        <v>5</v>
      </c>
      <c r="J428" t="str">
        <f t="shared" si="57"/>
        <v>VLAAMS BELANG</v>
      </c>
      <c r="K428">
        <v>413</v>
      </c>
      <c r="L428">
        <v>1024</v>
      </c>
      <c r="M428">
        <v>1437</v>
      </c>
      <c r="N428">
        <v>1150</v>
      </c>
      <c r="O428">
        <v>4</v>
      </c>
      <c r="P428" t="str">
        <f>("10")</f>
        <v>10</v>
      </c>
      <c r="Q428" t="str">
        <f>("KETELS Danny")</f>
        <v>KETELS Danny</v>
      </c>
      <c r="R428">
        <v>39</v>
      </c>
      <c r="S428" t="s">
        <v>44</v>
      </c>
      <c r="T428">
        <v>0</v>
      </c>
      <c r="V428">
        <v>9</v>
      </c>
      <c r="W428">
        <v>39</v>
      </c>
      <c r="X428">
        <v>0</v>
      </c>
    </row>
    <row r="429" spans="1:24" x14ac:dyDescent="0.35">
      <c r="A429" t="s">
        <v>8</v>
      </c>
      <c r="B429" t="s">
        <v>9</v>
      </c>
      <c r="C429" t="str">
        <f t="shared" si="58"/>
        <v>11223</v>
      </c>
      <c r="D429" t="s">
        <v>12</v>
      </c>
      <c r="E429" t="str">
        <f t="shared" si="59"/>
        <v>15</v>
      </c>
      <c r="F429">
        <v>7559</v>
      </c>
      <c r="G429">
        <v>6952</v>
      </c>
      <c r="H429">
        <v>417</v>
      </c>
      <c r="I429" t="str">
        <f t="shared" si="56"/>
        <v>5</v>
      </c>
      <c r="J429" t="str">
        <f t="shared" si="57"/>
        <v>VLAAMS BELANG</v>
      </c>
      <c r="K429">
        <v>413</v>
      </c>
      <c r="L429">
        <v>1024</v>
      </c>
      <c r="M429">
        <v>1437</v>
      </c>
      <c r="N429">
        <v>1150</v>
      </c>
      <c r="O429">
        <v>4</v>
      </c>
      <c r="P429" t="str">
        <f>("11")</f>
        <v>11</v>
      </c>
      <c r="Q429" t="str">
        <f>("ROUSSEAU Gerda")</f>
        <v>ROUSSEAU Gerda</v>
      </c>
      <c r="R429">
        <v>24</v>
      </c>
      <c r="S429" t="s">
        <v>44</v>
      </c>
      <c r="T429">
        <v>0</v>
      </c>
      <c r="V429">
        <v>11</v>
      </c>
      <c r="W429">
        <v>24</v>
      </c>
      <c r="X429">
        <v>0</v>
      </c>
    </row>
    <row r="430" spans="1:24" x14ac:dyDescent="0.35">
      <c r="A430" t="s">
        <v>8</v>
      </c>
      <c r="B430" t="s">
        <v>9</v>
      </c>
      <c r="C430" t="str">
        <f t="shared" si="58"/>
        <v>11223</v>
      </c>
      <c r="D430" t="s">
        <v>12</v>
      </c>
      <c r="E430" t="str">
        <f t="shared" si="59"/>
        <v>15</v>
      </c>
      <c r="F430">
        <v>7559</v>
      </c>
      <c r="G430">
        <v>6952</v>
      </c>
      <c r="H430">
        <v>417</v>
      </c>
      <c r="I430" t="str">
        <f t="shared" si="56"/>
        <v>5</v>
      </c>
      <c r="J430" t="str">
        <f t="shared" si="57"/>
        <v>VLAAMS BELANG</v>
      </c>
      <c r="K430">
        <v>413</v>
      </c>
      <c r="L430">
        <v>1024</v>
      </c>
      <c r="M430">
        <v>1437</v>
      </c>
      <c r="N430">
        <v>1150</v>
      </c>
      <c r="O430">
        <v>4</v>
      </c>
      <c r="P430" t="str">
        <f>("12")</f>
        <v>12</v>
      </c>
      <c r="Q430" t="str">
        <f>("VAN BROECKHOVEN Ludo")</f>
        <v>VAN BROECKHOVEN Ludo</v>
      </c>
      <c r="R430">
        <v>37</v>
      </c>
      <c r="S430" t="s">
        <v>44</v>
      </c>
      <c r="T430">
        <v>0</v>
      </c>
      <c r="V430">
        <v>10</v>
      </c>
      <c r="W430">
        <v>37</v>
      </c>
      <c r="X430">
        <v>0</v>
      </c>
    </row>
    <row r="431" spans="1:24" x14ac:dyDescent="0.35">
      <c r="A431" t="s">
        <v>8</v>
      </c>
      <c r="B431" t="s">
        <v>9</v>
      </c>
      <c r="C431" t="str">
        <f t="shared" si="58"/>
        <v>11223</v>
      </c>
      <c r="D431" t="s">
        <v>12</v>
      </c>
      <c r="E431" t="str">
        <f t="shared" si="59"/>
        <v>15</v>
      </c>
      <c r="F431">
        <v>7559</v>
      </c>
      <c r="G431">
        <v>6952</v>
      </c>
      <c r="H431">
        <v>417</v>
      </c>
      <c r="I431" t="str">
        <f t="shared" si="56"/>
        <v>5</v>
      </c>
      <c r="J431" t="str">
        <f t="shared" si="57"/>
        <v>VLAAMS BELANG</v>
      </c>
      <c r="K431">
        <v>413</v>
      </c>
      <c r="L431">
        <v>1024</v>
      </c>
      <c r="M431">
        <v>1437</v>
      </c>
      <c r="N431">
        <v>1150</v>
      </c>
      <c r="O431">
        <v>4</v>
      </c>
      <c r="P431" t="str">
        <f>("13")</f>
        <v>13</v>
      </c>
      <c r="Q431" t="str">
        <f>("DE WINTER Robin")</f>
        <v>DE WINTER Robin</v>
      </c>
      <c r="R431">
        <v>145</v>
      </c>
      <c r="S431">
        <v>145</v>
      </c>
      <c r="T431">
        <v>0</v>
      </c>
      <c r="U431">
        <v>2</v>
      </c>
    </row>
    <row r="432" spans="1:24" x14ac:dyDescent="0.35">
      <c r="A432" t="s">
        <v>8</v>
      </c>
      <c r="B432" t="s">
        <v>9</v>
      </c>
      <c r="C432" t="str">
        <f t="shared" si="58"/>
        <v>11223</v>
      </c>
      <c r="D432" t="s">
        <v>12</v>
      </c>
      <c r="E432" t="str">
        <f t="shared" si="59"/>
        <v>15</v>
      </c>
      <c r="F432">
        <v>7559</v>
      </c>
      <c r="G432">
        <v>6952</v>
      </c>
      <c r="H432">
        <v>417</v>
      </c>
      <c r="I432" t="str">
        <f t="shared" si="56"/>
        <v>5</v>
      </c>
      <c r="J432" t="str">
        <f t="shared" si="57"/>
        <v>VLAAMS BELANG</v>
      </c>
      <c r="K432">
        <v>413</v>
      </c>
      <c r="L432">
        <v>1024</v>
      </c>
      <c r="M432">
        <v>1437</v>
      </c>
      <c r="N432">
        <v>1150</v>
      </c>
      <c r="O432">
        <v>4</v>
      </c>
      <c r="P432" t="str">
        <f>("14")</f>
        <v>14</v>
      </c>
      <c r="Q432" t="str">
        <f>("PAUWELS Emma")</f>
        <v>PAUWELS Emma</v>
      </c>
      <c r="R432">
        <v>40</v>
      </c>
      <c r="S432" t="s">
        <v>44</v>
      </c>
      <c r="T432">
        <v>0</v>
      </c>
      <c r="V432">
        <v>8</v>
      </c>
      <c r="W432">
        <v>40</v>
      </c>
      <c r="X432">
        <v>0</v>
      </c>
    </row>
    <row r="433" spans="1:24" x14ac:dyDescent="0.35">
      <c r="A433" t="s">
        <v>8</v>
      </c>
      <c r="B433" t="s">
        <v>9</v>
      </c>
      <c r="C433" t="str">
        <f t="shared" si="58"/>
        <v>11223</v>
      </c>
      <c r="D433" t="s">
        <v>12</v>
      </c>
      <c r="E433" t="str">
        <f t="shared" si="59"/>
        <v>15</v>
      </c>
      <c r="F433">
        <v>7559</v>
      </c>
      <c r="G433">
        <v>6952</v>
      </c>
      <c r="H433">
        <v>417</v>
      </c>
      <c r="I433" t="str">
        <f t="shared" si="56"/>
        <v>5</v>
      </c>
      <c r="J433" t="str">
        <f t="shared" si="57"/>
        <v>VLAAMS BELANG</v>
      </c>
      <c r="K433">
        <v>413</v>
      </c>
      <c r="L433">
        <v>1024</v>
      </c>
      <c r="M433">
        <v>1437</v>
      </c>
      <c r="N433">
        <v>1150</v>
      </c>
      <c r="O433">
        <v>4</v>
      </c>
      <c r="P433" t="str">
        <f>("15")</f>
        <v>15</v>
      </c>
      <c r="Q433" t="str">
        <f>("VAN UFFELEN An")</f>
        <v>VAN UFFELEN An</v>
      </c>
      <c r="R433">
        <v>119</v>
      </c>
      <c r="S433">
        <v>119</v>
      </c>
      <c r="T433">
        <v>0</v>
      </c>
      <c r="U433">
        <v>3</v>
      </c>
    </row>
    <row r="434" spans="1:24" x14ac:dyDescent="0.35">
      <c r="A434" t="s">
        <v>8</v>
      </c>
      <c r="B434" t="s">
        <v>9</v>
      </c>
      <c r="C434" t="str">
        <f t="shared" si="58"/>
        <v>11223</v>
      </c>
      <c r="D434" t="s">
        <v>12</v>
      </c>
      <c r="E434" t="str">
        <f t="shared" si="59"/>
        <v>15</v>
      </c>
      <c r="F434">
        <v>7559</v>
      </c>
      <c r="G434">
        <v>6952</v>
      </c>
      <c r="H434">
        <v>417</v>
      </c>
      <c r="I434" t="str">
        <f t="shared" ref="I434:I442" si="60">("6")</f>
        <v>6</v>
      </c>
      <c r="J434" t="str">
        <f t="shared" ref="J434:J442" si="61">("Open Vld")</f>
        <v>Open Vld</v>
      </c>
      <c r="K434">
        <v>52</v>
      </c>
      <c r="L434">
        <v>185</v>
      </c>
      <c r="M434">
        <v>237</v>
      </c>
      <c r="O434">
        <v>0</v>
      </c>
      <c r="P434" t="str">
        <f>("1")</f>
        <v>1</v>
      </c>
      <c r="Q434" t="str">
        <f>("DAEMS Dirk")</f>
        <v>DAEMS Dirk</v>
      </c>
      <c r="R434">
        <v>108</v>
      </c>
      <c r="S434" t="s">
        <v>44</v>
      </c>
    </row>
    <row r="435" spans="1:24" x14ac:dyDescent="0.35">
      <c r="A435" t="s">
        <v>8</v>
      </c>
      <c r="B435" t="s">
        <v>9</v>
      </c>
      <c r="C435" t="str">
        <f t="shared" si="58"/>
        <v>11223</v>
      </c>
      <c r="D435" t="s">
        <v>12</v>
      </c>
      <c r="E435" t="str">
        <f t="shared" si="59"/>
        <v>15</v>
      </c>
      <c r="F435">
        <v>7559</v>
      </c>
      <c r="G435">
        <v>6952</v>
      </c>
      <c r="H435">
        <v>417</v>
      </c>
      <c r="I435" t="str">
        <f t="shared" si="60"/>
        <v>6</v>
      </c>
      <c r="J435" t="str">
        <f t="shared" si="61"/>
        <v>Open Vld</v>
      </c>
      <c r="K435">
        <v>52</v>
      </c>
      <c r="L435">
        <v>185</v>
      </c>
      <c r="M435">
        <v>237</v>
      </c>
      <c r="O435">
        <v>0</v>
      </c>
      <c r="P435" t="str">
        <f>("2")</f>
        <v>2</v>
      </c>
      <c r="Q435" t="str">
        <f>("LANTREIBECQ Cindy")</f>
        <v>LANTREIBECQ Cindy</v>
      </c>
      <c r="R435">
        <v>25</v>
      </c>
      <c r="S435" t="s">
        <v>44</v>
      </c>
    </row>
    <row r="436" spans="1:24" x14ac:dyDescent="0.35">
      <c r="A436" t="s">
        <v>8</v>
      </c>
      <c r="B436" t="s">
        <v>9</v>
      </c>
      <c r="C436" t="str">
        <f t="shared" si="58"/>
        <v>11223</v>
      </c>
      <c r="D436" t="s">
        <v>12</v>
      </c>
      <c r="E436" t="str">
        <f t="shared" si="59"/>
        <v>15</v>
      </c>
      <c r="F436">
        <v>7559</v>
      </c>
      <c r="G436">
        <v>6952</v>
      </c>
      <c r="H436">
        <v>417</v>
      </c>
      <c r="I436" t="str">
        <f t="shared" si="60"/>
        <v>6</v>
      </c>
      <c r="J436" t="str">
        <f t="shared" si="61"/>
        <v>Open Vld</v>
      </c>
      <c r="K436">
        <v>52</v>
      </c>
      <c r="L436">
        <v>185</v>
      </c>
      <c r="M436">
        <v>237</v>
      </c>
      <c r="O436">
        <v>0</v>
      </c>
      <c r="P436" t="str">
        <f>("3")</f>
        <v>3</v>
      </c>
      <c r="Q436" t="str">
        <f>("INDEGANCK Karel")</f>
        <v>INDEGANCK Karel</v>
      </c>
      <c r="R436">
        <v>19</v>
      </c>
      <c r="S436" t="s">
        <v>44</v>
      </c>
    </row>
    <row r="437" spans="1:24" x14ac:dyDescent="0.35">
      <c r="A437" t="s">
        <v>8</v>
      </c>
      <c r="B437" t="s">
        <v>9</v>
      </c>
      <c r="C437" t="str">
        <f t="shared" si="58"/>
        <v>11223</v>
      </c>
      <c r="D437" t="s">
        <v>12</v>
      </c>
      <c r="E437" t="str">
        <f t="shared" si="59"/>
        <v>15</v>
      </c>
      <c r="F437">
        <v>7559</v>
      </c>
      <c r="G437">
        <v>6952</v>
      </c>
      <c r="H437">
        <v>417</v>
      </c>
      <c r="I437" t="str">
        <f t="shared" si="60"/>
        <v>6</v>
      </c>
      <c r="J437" t="str">
        <f t="shared" si="61"/>
        <v>Open Vld</v>
      </c>
      <c r="K437">
        <v>52</v>
      </c>
      <c r="L437">
        <v>185</v>
      </c>
      <c r="M437">
        <v>237</v>
      </c>
      <c r="O437">
        <v>0</v>
      </c>
      <c r="P437" t="str">
        <f>("4")</f>
        <v>4</v>
      </c>
      <c r="Q437" t="str">
        <f>("DRIESSENS Nancy")</f>
        <v>DRIESSENS Nancy</v>
      </c>
      <c r="R437">
        <v>27</v>
      </c>
      <c r="S437" t="s">
        <v>44</v>
      </c>
    </row>
    <row r="438" spans="1:24" x14ac:dyDescent="0.35">
      <c r="A438" t="s">
        <v>8</v>
      </c>
      <c r="B438" t="s">
        <v>9</v>
      </c>
      <c r="C438" t="str">
        <f t="shared" si="58"/>
        <v>11223</v>
      </c>
      <c r="D438" t="s">
        <v>12</v>
      </c>
      <c r="E438" t="str">
        <f t="shared" si="59"/>
        <v>15</v>
      </c>
      <c r="F438">
        <v>7559</v>
      </c>
      <c r="G438">
        <v>6952</v>
      </c>
      <c r="H438">
        <v>417</v>
      </c>
      <c r="I438" t="str">
        <f t="shared" si="60"/>
        <v>6</v>
      </c>
      <c r="J438" t="str">
        <f t="shared" si="61"/>
        <v>Open Vld</v>
      </c>
      <c r="K438">
        <v>52</v>
      </c>
      <c r="L438">
        <v>185</v>
      </c>
      <c r="M438">
        <v>237</v>
      </c>
      <c r="O438">
        <v>0</v>
      </c>
      <c r="P438" t="str">
        <f>("5")</f>
        <v>5</v>
      </c>
      <c r="Q438" t="str">
        <f>("BUYTAERT Glenn")</f>
        <v>BUYTAERT Glenn</v>
      </c>
      <c r="R438">
        <v>23</v>
      </c>
      <c r="S438" t="s">
        <v>44</v>
      </c>
    </row>
    <row r="439" spans="1:24" x14ac:dyDescent="0.35">
      <c r="A439" t="s">
        <v>8</v>
      </c>
      <c r="B439" t="s">
        <v>9</v>
      </c>
      <c r="C439" t="str">
        <f t="shared" si="58"/>
        <v>11223</v>
      </c>
      <c r="D439" t="s">
        <v>12</v>
      </c>
      <c r="E439" t="str">
        <f t="shared" si="59"/>
        <v>15</v>
      </c>
      <c r="F439">
        <v>7559</v>
      </c>
      <c r="G439">
        <v>6952</v>
      </c>
      <c r="H439">
        <v>417</v>
      </c>
      <c r="I439" t="str">
        <f t="shared" si="60"/>
        <v>6</v>
      </c>
      <c r="J439" t="str">
        <f t="shared" si="61"/>
        <v>Open Vld</v>
      </c>
      <c r="K439">
        <v>52</v>
      </c>
      <c r="L439">
        <v>185</v>
      </c>
      <c r="M439">
        <v>237</v>
      </c>
      <c r="O439">
        <v>0</v>
      </c>
      <c r="P439" t="str">
        <f>("6")</f>
        <v>6</v>
      </c>
      <c r="Q439" t="str">
        <f>("SCHUER Martine")</f>
        <v>SCHUER Martine</v>
      </c>
      <c r="R439">
        <v>32</v>
      </c>
      <c r="S439" t="s">
        <v>44</v>
      </c>
    </row>
    <row r="440" spans="1:24" x14ac:dyDescent="0.35">
      <c r="A440" t="s">
        <v>8</v>
      </c>
      <c r="B440" t="s">
        <v>9</v>
      </c>
      <c r="C440" t="str">
        <f t="shared" si="58"/>
        <v>11223</v>
      </c>
      <c r="D440" t="s">
        <v>12</v>
      </c>
      <c r="E440" t="str">
        <f t="shared" si="59"/>
        <v>15</v>
      </c>
      <c r="F440">
        <v>7559</v>
      </c>
      <c r="G440">
        <v>6952</v>
      </c>
      <c r="H440">
        <v>417</v>
      </c>
      <c r="I440" t="str">
        <f t="shared" si="60"/>
        <v>6</v>
      </c>
      <c r="J440" t="str">
        <f t="shared" si="61"/>
        <v>Open Vld</v>
      </c>
      <c r="K440">
        <v>52</v>
      </c>
      <c r="L440">
        <v>185</v>
      </c>
      <c r="M440">
        <v>237</v>
      </c>
      <c r="O440">
        <v>0</v>
      </c>
      <c r="P440" t="str">
        <f>("7")</f>
        <v>7</v>
      </c>
      <c r="Q440" t="str">
        <f>("KARIZA Nathalie")</f>
        <v>KARIZA Nathalie</v>
      </c>
      <c r="R440">
        <v>26</v>
      </c>
      <c r="S440" t="s">
        <v>44</v>
      </c>
    </row>
    <row r="441" spans="1:24" x14ac:dyDescent="0.35">
      <c r="A441" t="s">
        <v>8</v>
      </c>
      <c r="B441" t="s">
        <v>9</v>
      </c>
      <c r="C441" t="str">
        <f t="shared" si="58"/>
        <v>11223</v>
      </c>
      <c r="D441" t="s">
        <v>12</v>
      </c>
      <c r="E441" t="str">
        <f t="shared" si="59"/>
        <v>15</v>
      </c>
      <c r="F441">
        <v>7559</v>
      </c>
      <c r="G441">
        <v>6952</v>
      </c>
      <c r="H441">
        <v>417</v>
      </c>
      <c r="I441" t="str">
        <f t="shared" si="60"/>
        <v>6</v>
      </c>
      <c r="J441" t="str">
        <f t="shared" si="61"/>
        <v>Open Vld</v>
      </c>
      <c r="K441">
        <v>52</v>
      </c>
      <c r="L441">
        <v>185</v>
      </c>
      <c r="M441">
        <v>237</v>
      </c>
      <c r="O441">
        <v>0</v>
      </c>
      <c r="P441" t="str">
        <f>("8")</f>
        <v>8</v>
      </c>
      <c r="Q441" t="str">
        <f>("PELEMAN Freya")</f>
        <v>PELEMAN Freya</v>
      </c>
      <c r="R441">
        <v>24</v>
      </c>
      <c r="S441" t="s">
        <v>44</v>
      </c>
    </row>
    <row r="442" spans="1:24" x14ac:dyDescent="0.35">
      <c r="A442" t="s">
        <v>8</v>
      </c>
      <c r="B442" t="s">
        <v>9</v>
      </c>
      <c r="C442" t="str">
        <f t="shared" si="58"/>
        <v>11223</v>
      </c>
      <c r="D442" t="s">
        <v>12</v>
      </c>
      <c r="E442" t="str">
        <f t="shared" si="59"/>
        <v>15</v>
      </c>
      <c r="F442">
        <v>7559</v>
      </c>
      <c r="G442">
        <v>6952</v>
      </c>
      <c r="H442">
        <v>417</v>
      </c>
      <c r="I442" t="str">
        <f t="shared" si="60"/>
        <v>6</v>
      </c>
      <c r="J442" t="str">
        <f t="shared" si="61"/>
        <v>Open Vld</v>
      </c>
      <c r="K442">
        <v>52</v>
      </c>
      <c r="L442">
        <v>185</v>
      </c>
      <c r="M442">
        <v>237</v>
      </c>
      <c r="O442">
        <v>0</v>
      </c>
      <c r="P442" t="str">
        <f>("9")</f>
        <v>9</v>
      </c>
      <c r="Q442" t="str">
        <f>("MERVEILLE Raf")</f>
        <v>MERVEILLE Raf</v>
      </c>
      <c r="R442">
        <v>73</v>
      </c>
      <c r="S442" t="s">
        <v>44</v>
      </c>
    </row>
    <row r="443" spans="1:24" x14ac:dyDescent="0.35">
      <c r="A443" t="s">
        <v>8</v>
      </c>
      <c r="B443" t="s">
        <v>9</v>
      </c>
      <c r="C443" t="str">
        <f t="shared" si="58"/>
        <v>11223</v>
      </c>
      <c r="D443" t="s">
        <v>12</v>
      </c>
      <c r="E443" t="str">
        <f t="shared" si="59"/>
        <v>15</v>
      </c>
      <c r="F443">
        <v>7559</v>
      </c>
      <c r="G443">
        <v>6952</v>
      </c>
      <c r="H443">
        <v>417</v>
      </c>
      <c r="I443" t="str">
        <f>("7")</f>
        <v>7</v>
      </c>
      <c r="J443" t="str">
        <f>("PVDA")</f>
        <v>PVDA</v>
      </c>
      <c r="K443">
        <v>83</v>
      </c>
      <c r="L443">
        <v>180</v>
      </c>
      <c r="M443">
        <v>263</v>
      </c>
      <c r="O443">
        <v>0</v>
      </c>
      <c r="P443" t="str">
        <f>("1")</f>
        <v>1</v>
      </c>
      <c r="Q443" t="str">
        <f>("BOMANS Dirk")</f>
        <v>BOMANS Dirk</v>
      </c>
      <c r="R443">
        <v>133</v>
      </c>
      <c r="S443" t="s">
        <v>44</v>
      </c>
    </row>
    <row r="444" spans="1:24" x14ac:dyDescent="0.35">
      <c r="A444" t="s">
        <v>8</v>
      </c>
      <c r="B444" t="s">
        <v>9</v>
      </c>
      <c r="C444" t="str">
        <f t="shared" si="58"/>
        <v>11223</v>
      </c>
      <c r="D444" t="s">
        <v>12</v>
      </c>
      <c r="E444" t="str">
        <f t="shared" si="59"/>
        <v>15</v>
      </c>
      <c r="F444">
        <v>7559</v>
      </c>
      <c r="G444">
        <v>6952</v>
      </c>
      <c r="H444">
        <v>417</v>
      </c>
      <c r="I444" t="str">
        <f>("7")</f>
        <v>7</v>
      </c>
      <c r="J444" t="str">
        <f>("PVDA")</f>
        <v>PVDA</v>
      </c>
      <c r="K444">
        <v>83</v>
      </c>
      <c r="L444">
        <v>180</v>
      </c>
      <c r="M444">
        <v>263</v>
      </c>
      <c r="O444">
        <v>0</v>
      </c>
      <c r="P444" t="str">
        <f>("2")</f>
        <v>2</v>
      </c>
      <c r="Q444" t="str">
        <f>("DEVOGHT Marcella")</f>
        <v>DEVOGHT Marcella</v>
      </c>
      <c r="R444">
        <v>68</v>
      </c>
      <c r="S444" t="s">
        <v>44</v>
      </c>
    </row>
    <row r="445" spans="1:24" x14ac:dyDescent="0.35">
      <c r="A445" t="s">
        <v>8</v>
      </c>
      <c r="B445" t="s">
        <v>9</v>
      </c>
      <c r="C445" t="str">
        <f t="shared" si="58"/>
        <v>11223</v>
      </c>
      <c r="D445" t="s">
        <v>12</v>
      </c>
      <c r="E445" t="str">
        <f t="shared" si="59"/>
        <v>15</v>
      </c>
      <c r="F445">
        <v>7559</v>
      </c>
      <c r="G445">
        <v>6952</v>
      </c>
      <c r="H445">
        <v>417</v>
      </c>
      <c r="I445" t="str">
        <f t="shared" ref="I445:I459" si="62">("8")</f>
        <v>8</v>
      </c>
      <c r="J445" t="str">
        <f t="shared" ref="J445:J459" si="63">("PRO2040")</f>
        <v>PRO2040</v>
      </c>
      <c r="K445">
        <v>405</v>
      </c>
      <c r="L445">
        <v>1388</v>
      </c>
      <c r="M445">
        <v>1793</v>
      </c>
      <c r="N445">
        <v>1435</v>
      </c>
      <c r="O445">
        <v>4</v>
      </c>
      <c r="P445" t="str">
        <f>("1")</f>
        <v>1</v>
      </c>
      <c r="Q445" t="str">
        <f>("VLIEGEN Zander")</f>
        <v>VLIEGEN Zander</v>
      </c>
      <c r="R445">
        <v>739</v>
      </c>
      <c r="S445">
        <v>1279</v>
      </c>
      <c r="T445">
        <v>0</v>
      </c>
      <c r="U445">
        <v>1</v>
      </c>
    </row>
    <row r="446" spans="1:24" x14ac:dyDescent="0.35">
      <c r="A446" t="s">
        <v>8</v>
      </c>
      <c r="B446" t="s">
        <v>9</v>
      </c>
      <c r="C446" t="str">
        <f t="shared" si="58"/>
        <v>11223</v>
      </c>
      <c r="D446" t="s">
        <v>12</v>
      </c>
      <c r="E446" t="str">
        <f t="shared" si="59"/>
        <v>15</v>
      </c>
      <c r="F446">
        <v>7559</v>
      </c>
      <c r="G446">
        <v>6952</v>
      </c>
      <c r="H446">
        <v>417</v>
      </c>
      <c r="I446" t="str">
        <f t="shared" si="62"/>
        <v>8</v>
      </c>
      <c r="J446" t="str">
        <f t="shared" si="63"/>
        <v>PRO2040</v>
      </c>
      <c r="K446">
        <v>405</v>
      </c>
      <c r="L446">
        <v>1388</v>
      </c>
      <c r="M446">
        <v>1793</v>
      </c>
      <c r="N446">
        <v>1435</v>
      </c>
      <c r="O446">
        <v>4</v>
      </c>
      <c r="P446" t="str">
        <f>("2")</f>
        <v>2</v>
      </c>
      <c r="Q446" t="str">
        <f>("AERTSSEN Nathalie")</f>
        <v>AERTSSEN Nathalie</v>
      </c>
      <c r="R446">
        <v>310</v>
      </c>
      <c r="S446">
        <v>310</v>
      </c>
      <c r="T446">
        <v>0</v>
      </c>
      <c r="U446">
        <v>2</v>
      </c>
    </row>
    <row r="447" spans="1:24" x14ac:dyDescent="0.35">
      <c r="A447" t="s">
        <v>8</v>
      </c>
      <c r="B447" t="s">
        <v>9</v>
      </c>
      <c r="C447" t="str">
        <f t="shared" si="58"/>
        <v>11223</v>
      </c>
      <c r="D447" t="s">
        <v>12</v>
      </c>
      <c r="E447" t="str">
        <f t="shared" si="59"/>
        <v>15</v>
      </c>
      <c r="F447">
        <v>7559</v>
      </c>
      <c r="G447">
        <v>6952</v>
      </c>
      <c r="H447">
        <v>417</v>
      </c>
      <c r="I447" t="str">
        <f t="shared" si="62"/>
        <v>8</v>
      </c>
      <c r="J447" t="str">
        <f t="shared" si="63"/>
        <v>PRO2040</v>
      </c>
      <c r="K447">
        <v>405</v>
      </c>
      <c r="L447">
        <v>1388</v>
      </c>
      <c r="M447">
        <v>1793</v>
      </c>
      <c r="N447">
        <v>1435</v>
      </c>
      <c r="O447">
        <v>4</v>
      </c>
      <c r="P447" t="str">
        <f>("3")</f>
        <v>3</v>
      </c>
      <c r="Q447" t="str">
        <f>("GORIS Bart")</f>
        <v>GORIS Bart</v>
      </c>
      <c r="R447">
        <v>127</v>
      </c>
      <c r="S447" t="s">
        <v>44</v>
      </c>
      <c r="T447">
        <v>0</v>
      </c>
      <c r="V447">
        <v>1</v>
      </c>
      <c r="W447">
        <v>667</v>
      </c>
      <c r="X447">
        <v>0</v>
      </c>
    </row>
    <row r="448" spans="1:24" x14ac:dyDescent="0.35">
      <c r="A448" t="s">
        <v>8</v>
      </c>
      <c r="B448" t="s">
        <v>9</v>
      </c>
      <c r="C448" t="str">
        <f t="shared" si="58"/>
        <v>11223</v>
      </c>
      <c r="D448" t="s">
        <v>12</v>
      </c>
      <c r="E448" t="str">
        <f t="shared" si="59"/>
        <v>15</v>
      </c>
      <c r="F448">
        <v>7559</v>
      </c>
      <c r="G448">
        <v>6952</v>
      </c>
      <c r="H448">
        <v>417</v>
      </c>
      <c r="I448" t="str">
        <f t="shared" si="62"/>
        <v>8</v>
      </c>
      <c r="J448" t="str">
        <f t="shared" si="63"/>
        <v>PRO2040</v>
      </c>
      <c r="K448">
        <v>405</v>
      </c>
      <c r="L448">
        <v>1388</v>
      </c>
      <c r="M448">
        <v>1793</v>
      </c>
      <c r="N448">
        <v>1435</v>
      </c>
      <c r="O448">
        <v>4</v>
      </c>
      <c r="P448" t="str">
        <f>("4")</f>
        <v>4</v>
      </c>
      <c r="Q448" t="str">
        <f>("SMETS Lisse")</f>
        <v>SMETS Lisse</v>
      </c>
      <c r="R448">
        <v>171</v>
      </c>
      <c r="S448" t="s">
        <v>44</v>
      </c>
      <c r="T448">
        <v>0</v>
      </c>
      <c r="V448">
        <v>3</v>
      </c>
      <c r="W448">
        <v>171</v>
      </c>
      <c r="X448">
        <v>0</v>
      </c>
    </row>
    <row r="449" spans="1:24" x14ac:dyDescent="0.35">
      <c r="A449" t="s">
        <v>8</v>
      </c>
      <c r="B449" t="s">
        <v>9</v>
      </c>
      <c r="C449" t="str">
        <f t="shared" si="58"/>
        <v>11223</v>
      </c>
      <c r="D449" t="s">
        <v>12</v>
      </c>
      <c r="E449" t="str">
        <f t="shared" si="59"/>
        <v>15</v>
      </c>
      <c r="F449">
        <v>7559</v>
      </c>
      <c r="G449">
        <v>6952</v>
      </c>
      <c r="H449">
        <v>417</v>
      </c>
      <c r="I449" t="str">
        <f t="shared" si="62"/>
        <v>8</v>
      </c>
      <c r="J449" t="str">
        <f t="shared" si="63"/>
        <v>PRO2040</v>
      </c>
      <c r="K449">
        <v>405</v>
      </c>
      <c r="L449">
        <v>1388</v>
      </c>
      <c r="M449">
        <v>1793</v>
      </c>
      <c r="N449">
        <v>1435</v>
      </c>
      <c r="O449">
        <v>4</v>
      </c>
      <c r="P449" t="str">
        <f>("5")</f>
        <v>5</v>
      </c>
      <c r="Q449" t="str">
        <f>("KERSTEN Annick")</f>
        <v>KERSTEN Annick</v>
      </c>
      <c r="R449">
        <v>138</v>
      </c>
      <c r="S449" t="s">
        <v>44</v>
      </c>
      <c r="T449">
        <v>0</v>
      </c>
      <c r="V449">
        <v>4</v>
      </c>
      <c r="W449">
        <v>138</v>
      </c>
      <c r="X449">
        <v>0</v>
      </c>
    </row>
    <row r="450" spans="1:24" x14ac:dyDescent="0.35">
      <c r="A450" t="s">
        <v>8</v>
      </c>
      <c r="B450" t="s">
        <v>9</v>
      </c>
      <c r="C450" t="str">
        <f t="shared" si="58"/>
        <v>11223</v>
      </c>
      <c r="D450" t="s">
        <v>12</v>
      </c>
      <c r="E450" t="str">
        <f t="shared" si="59"/>
        <v>15</v>
      </c>
      <c r="F450">
        <v>7559</v>
      </c>
      <c r="G450">
        <v>6952</v>
      </c>
      <c r="H450">
        <v>417</v>
      </c>
      <c r="I450" t="str">
        <f t="shared" si="62"/>
        <v>8</v>
      </c>
      <c r="J450" t="str">
        <f t="shared" si="63"/>
        <v>PRO2040</v>
      </c>
      <c r="K450">
        <v>405</v>
      </c>
      <c r="L450">
        <v>1388</v>
      </c>
      <c r="M450">
        <v>1793</v>
      </c>
      <c r="N450">
        <v>1435</v>
      </c>
      <c r="O450">
        <v>4</v>
      </c>
      <c r="P450" t="str">
        <f>("6")</f>
        <v>6</v>
      </c>
      <c r="Q450" t="str">
        <f>("PUTTEVILS Joeri")</f>
        <v>PUTTEVILS Joeri</v>
      </c>
      <c r="R450">
        <v>65</v>
      </c>
      <c r="S450" t="s">
        <v>44</v>
      </c>
      <c r="T450">
        <v>0</v>
      </c>
      <c r="V450">
        <v>10</v>
      </c>
      <c r="W450">
        <v>65</v>
      </c>
      <c r="X450">
        <v>0</v>
      </c>
    </row>
    <row r="451" spans="1:24" x14ac:dyDescent="0.35">
      <c r="A451" t="s">
        <v>8</v>
      </c>
      <c r="B451" t="s">
        <v>9</v>
      </c>
      <c r="C451" t="str">
        <f t="shared" si="58"/>
        <v>11223</v>
      </c>
      <c r="D451" t="s">
        <v>12</v>
      </c>
      <c r="E451" t="str">
        <f t="shared" si="59"/>
        <v>15</v>
      </c>
      <c r="F451">
        <v>7559</v>
      </c>
      <c r="G451">
        <v>6952</v>
      </c>
      <c r="H451">
        <v>417</v>
      </c>
      <c r="I451" t="str">
        <f t="shared" si="62"/>
        <v>8</v>
      </c>
      <c r="J451" t="str">
        <f t="shared" si="63"/>
        <v>PRO2040</v>
      </c>
      <c r="K451">
        <v>405</v>
      </c>
      <c r="L451">
        <v>1388</v>
      </c>
      <c r="M451">
        <v>1793</v>
      </c>
      <c r="N451">
        <v>1435</v>
      </c>
      <c r="O451">
        <v>4</v>
      </c>
      <c r="P451" t="str">
        <f>("7")</f>
        <v>7</v>
      </c>
      <c r="Q451" t="str">
        <f>("FRANSEN Bob")</f>
        <v>FRANSEN Bob</v>
      </c>
      <c r="R451">
        <v>72</v>
      </c>
      <c r="S451" t="s">
        <v>44</v>
      </c>
      <c r="T451">
        <v>0</v>
      </c>
      <c r="V451">
        <v>9</v>
      </c>
      <c r="W451">
        <v>72</v>
      </c>
      <c r="X451">
        <v>0</v>
      </c>
    </row>
    <row r="452" spans="1:24" x14ac:dyDescent="0.35">
      <c r="A452" t="s">
        <v>8</v>
      </c>
      <c r="B452" t="s">
        <v>9</v>
      </c>
      <c r="C452" t="str">
        <f t="shared" si="58"/>
        <v>11223</v>
      </c>
      <c r="D452" t="s">
        <v>12</v>
      </c>
      <c r="E452" t="str">
        <f t="shared" si="59"/>
        <v>15</v>
      </c>
      <c r="F452">
        <v>7559</v>
      </c>
      <c r="G452">
        <v>6952</v>
      </c>
      <c r="H452">
        <v>417</v>
      </c>
      <c r="I452" t="str">
        <f t="shared" si="62"/>
        <v>8</v>
      </c>
      <c r="J452" t="str">
        <f t="shared" si="63"/>
        <v>PRO2040</v>
      </c>
      <c r="K452">
        <v>405</v>
      </c>
      <c r="L452">
        <v>1388</v>
      </c>
      <c r="M452">
        <v>1793</v>
      </c>
      <c r="N452">
        <v>1435</v>
      </c>
      <c r="O452">
        <v>4</v>
      </c>
      <c r="P452" t="str">
        <f>("8")</f>
        <v>8</v>
      </c>
      <c r="Q452" t="str">
        <f>("VAN WIJCK Petra")</f>
        <v>VAN WIJCK Petra</v>
      </c>
      <c r="R452">
        <v>209</v>
      </c>
      <c r="S452">
        <v>209</v>
      </c>
      <c r="T452">
        <v>0</v>
      </c>
      <c r="U452">
        <v>3</v>
      </c>
    </row>
    <row r="453" spans="1:24" x14ac:dyDescent="0.35">
      <c r="A453" t="s">
        <v>8</v>
      </c>
      <c r="B453" t="s">
        <v>9</v>
      </c>
      <c r="C453" t="str">
        <f t="shared" ref="C453:C459" si="64">("11223")</f>
        <v>11223</v>
      </c>
      <c r="D453" t="s">
        <v>12</v>
      </c>
      <c r="E453" t="str">
        <f t="shared" ref="E453:E459" si="65">("15")</f>
        <v>15</v>
      </c>
      <c r="F453">
        <v>7559</v>
      </c>
      <c r="G453">
        <v>6952</v>
      </c>
      <c r="H453">
        <v>417</v>
      </c>
      <c r="I453" t="str">
        <f t="shared" si="62"/>
        <v>8</v>
      </c>
      <c r="J453" t="str">
        <f t="shared" si="63"/>
        <v>PRO2040</v>
      </c>
      <c r="K453">
        <v>405</v>
      </c>
      <c r="L453">
        <v>1388</v>
      </c>
      <c r="M453">
        <v>1793</v>
      </c>
      <c r="N453">
        <v>1435</v>
      </c>
      <c r="O453">
        <v>4</v>
      </c>
      <c r="P453" t="str">
        <f>("9")</f>
        <v>9</v>
      </c>
      <c r="Q453" t="str">
        <f>("VANHEMELRIJCK Dirk")</f>
        <v>VANHEMELRIJCK Dirk</v>
      </c>
      <c r="R453">
        <v>42</v>
      </c>
      <c r="S453" t="s">
        <v>44</v>
      </c>
      <c r="T453">
        <v>0</v>
      </c>
      <c r="V453">
        <v>11</v>
      </c>
      <c r="W453">
        <v>42</v>
      </c>
      <c r="X453">
        <v>0</v>
      </c>
    </row>
    <row r="454" spans="1:24" x14ac:dyDescent="0.35">
      <c r="A454" t="s">
        <v>8</v>
      </c>
      <c r="B454" t="s">
        <v>9</v>
      </c>
      <c r="C454" t="str">
        <f t="shared" si="64"/>
        <v>11223</v>
      </c>
      <c r="D454" t="s">
        <v>12</v>
      </c>
      <c r="E454" t="str">
        <f t="shared" si="65"/>
        <v>15</v>
      </c>
      <c r="F454">
        <v>7559</v>
      </c>
      <c r="G454">
        <v>6952</v>
      </c>
      <c r="H454">
        <v>417</v>
      </c>
      <c r="I454" t="str">
        <f t="shared" si="62"/>
        <v>8</v>
      </c>
      <c r="J454" t="str">
        <f t="shared" si="63"/>
        <v>PRO2040</v>
      </c>
      <c r="K454">
        <v>405</v>
      </c>
      <c r="L454">
        <v>1388</v>
      </c>
      <c r="M454">
        <v>1793</v>
      </c>
      <c r="N454">
        <v>1435</v>
      </c>
      <c r="O454">
        <v>4</v>
      </c>
      <c r="P454" t="str">
        <f>("10")</f>
        <v>10</v>
      </c>
      <c r="Q454" t="str">
        <f>("VAN GEMERT Nathalie")</f>
        <v>VAN GEMERT Nathalie</v>
      </c>
      <c r="R454">
        <v>114</v>
      </c>
      <c r="S454" t="s">
        <v>44</v>
      </c>
      <c r="T454">
        <v>0</v>
      </c>
      <c r="V454">
        <v>5</v>
      </c>
      <c r="W454">
        <v>114</v>
      </c>
      <c r="X454">
        <v>0</v>
      </c>
    </row>
    <row r="455" spans="1:24" x14ac:dyDescent="0.35">
      <c r="A455" t="s">
        <v>8</v>
      </c>
      <c r="B455" t="s">
        <v>9</v>
      </c>
      <c r="C455" t="str">
        <f t="shared" si="64"/>
        <v>11223</v>
      </c>
      <c r="D455" t="s">
        <v>12</v>
      </c>
      <c r="E455" t="str">
        <f t="shared" si="65"/>
        <v>15</v>
      </c>
      <c r="F455">
        <v>7559</v>
      </c>
      <c r="G455">
        <v>6952</v>
      </c>
      <c r="H455">
        <v>417</v>
      </c>
      <c r="I455" t="str">
        <f t="shared" si="62"/>
        <v>8</v>
      </c>
      <c r="J455" t="str">
        <f t="shared" si="63"/>
        <v>PRO2040</v>
      </c>
      <c r="K455">
        <v>405</v>
      </c>
      <c r="L455">
        <v>1388</v>
      </c>
      <c r="M455">
        <v>1793</v>
      </c>
      <c r="N455">
        <v>1435</v>
      </c>
      <c r="O455">
        <v>4</v>
      </c>
      <c r="P455" t="str">
        <f>("11")</f>
        <v>11</v>
      </c>
      <c r="Q455" t="str">
        <f>("WILLEMS Jitte")</f>
        <v>WILLEMS Jitte</v>
      </c>
      <c r="R455">
        <v>82</v>
      </c>
      <c r="S455" t="s">
        <v>44</v>
      </c>
      <c r="T455">
        <v>0</v>
      </c>
      <c r="V455">
        <v>8</v>
      </c>
      <c r="W455">
        <v>82</v>
      </c>
      <c r="X455">
        <v>0</v>
      </c>
    </row>
    <row r="456" spans="1:24" x14ac:dyDescent="0.35">
      <c r="A456" t="s">
        <v>8</v>
      </c>
      <c r="B456" t="s">
        <v>9</v>
      </c>
      <c r="C456" t="str">
        <f t="shared" si="64"/>
        <v>11223</v>
      </c>
      <c r="D456" t="s">
        <v>12</v>
      </c>
      <c r="E456" t="str">
        <f t="shared" si="65"/>
        <v>15</v>
      </c>
      <c r="F456">
        <v>7559</v>
      </c>
      <c r="G456">
        <v>6952</v>
      </c>
      <c r="H456">
        <v>417</v>
      </c>
      <c r="I456" t="str">
        <f t="shared" si="62"/>
        <v>8</v>
      </c>
      <c r="J456" t="str">
        <f t="shared" si="63"/>
        <v>PRO2040</v>
      </c>
      <c r="K456">
        <v>405</v>
      </c>
      <c r="L456">
        <v>1388</v>
      </c>
      <c r="M456">
        <v>1793</v>
      </c>
      <c r="N456">
        <v>1435</v>
      </c>
      <c r="O456">
        <v>4</v>
      </c>
      <c r="P456" t="str">
        <f>("12")</f>
        <v>12</v>
      </c>
      <c r="Q456" t="str">
        <f>("SLEYMER Stef")</f>
        <v>SLEYMER Stef</v>
      </c>
      <c r="R456">
        <v>114</v>
      </c>
      <c r="S456" t="s">
        <v>44</v>
      </c>
      <c r="T456">
        <v>0</v>
      </c>
      <c r="V456">
        <v>6</v>
      </c>
      <c r="W456">
        <v>114</v>
      </c>
      <c r="X456">
        <v>0</v>
      </c>
    </row>
    <row r="457" spans="1:24" x14ac:dyDescent="0.35">
      <c r="A457" t="s">
        <v>8</v>
      </c>
      <c r="B457" t="s">
        <v>9</v>
      </c>
      <c r="C457" t="str">
        <f t="shared" si="64"/>
        <v>11223</v>
      </c>
      <c r="D457" t="s">
        <v>12</v>
      </c>
      <c r="E457" t="str">
        <f t="shared" si="65"/>
        <v>15</v>
      </c>
      <c r="F457">
        <v>7559</v>
      </c>
      <c r="G457">
        <v>6952</v>
      </c>
      <c r="H457">
        <v>417</v>
      </c>
      <c r="I457" t="str">
        <f t="shared" si="62"/>
        <v>8</v>
      </c>
      <c r="J457" t="str">
        <f t="shared" si="63"/>
        <v>PRO2040</v>
      </c>
      <c r="K457">
        <v>405</v>
      </c>
      <c r="L457">
        <v>1388</v>
      </c>
      <c r="M457">
        <v>1793</v>
      </c>
      <c r="N457">
        <v>1435</v>
      </c>
      <c r="O457">
        <v>4</v>
      </c>
      <c r="P457" t="str">
        <f>("13")</f>
        <v>13</v>
      </c>
      <c r="Q457" t="str">
        <f>("HERMANS Astrid")</f>
        <v>HERMANS Astrid</v>
      </c>
      <c r="R457">
        <v>99</v>
      </c>
      <c r="S457" t="s">
        <v>44</v>
      </c>
      <c r="T457">
        <v>0</v>
      </c>
      <c r="V457">
        <v>7</v>
      </c>
      <c r="W457">
        <v>99</v>
      </c>
      <c r="X457">
        <v>0</v>
      </c>
    </row>
    <row r="458" spans="1:24" x14ac:dyDescent="0.35">
      <c r="A458" t="s">
        <v>8</v>
      </c>
      <c r="B458" t="s">
        <v>9</v>
      </c>
      <c r="C458" t="str">
        <f t="shared" si="64"/>
        <v>11223</v>
      </c>
      <c r="D458" t="s">
        <v>12</v>
      </c>
      <c r="E458" t="str">
        <f t="shared" si="65"/>
        <v>15</v>
      </c>
      <c r="F458">
        <v>7559</v>
      </c>
      <c r="G458">
        <v>6952</v>
      </c>
      <c r="H458">
        <v>417</v>
      </c>
      <c r="I458" t="str">
        <f t="shared" si="62"/>
        <v>8</v>
      </c>
      <c r="J458" t="str">
        <f t="shared" si="63"/>
        <v>PRO2040</v>
      </c>
      <c r="K458">
        <v>405</v>
      </c>
      <c r="L458">
        <v>1388</v>
      </c>
      <c r="M458">
        <v>1793</v>
      </c>
      <c r="N458">
        <v>1435</v>
      </c>
      <c r="O458">
        <v>4</v>
      </c>
      <c r="P458" t="str">
        <f>("14")</f>
        <v>14</v>
      </c>
      <c r="Q458" t="str">
        <f>("GABRIËLS Maarten")</f>
        <v>GABRIËLS Maarten</v>
      </c>
      <c r="R458">
        <v>179</v>
      </c>
      <c r="S458" t="s">
        <v>44</v>
      </c>
      <c r="T458">
        <v>0</v>
      </c>
      <c r="V458">
        <v>2</v>
      </c>
      <c r="W458">
        <v>179</v>
      </c>
      <c r="X458">
        <v>0</v>
      </c>
    </row>
    <row r="459" spans="1:24" x14ac:dyDescent="0.35">
      <c r="A459" t="s">
        <v>8</v>
      </c>
      <c r="B459" t="s">
        <v>9</v>
      </c>
      <c r="C459" t="str">
        <f t="shared" si="64"/>
        <v>11223</v>
      </c>
      <c r="D459" t="s">
        <v>12</v>
      </c>
      <c r="E459" t="str">
        <f t="shared" si="65"/>
        <v>15</v>
      </c>
      <c r="F459">
        <v>7559</v>
      </c>
      <c r="G459">
        <v>6952</v>
      </c>
      <c r="H459">
        <v>417</v>
      </c>
      <c r="I459" t="str">
        <f t="shared" si="62"/>
        <v>8</v>
      </c>
      <c r="J459" t="str">
        <f t="shared" si="63"/>
        <v>PRO2040</v>
      </c>
      <c r="K459">
        <v>405</v>
      </c>
      <c r="L459">
        <v>1388</v>
      </c>
      <c r="M459">
        <v>1793</v>
      </c>
      <c r="N459">
        <v>1435</v>
      </c>
      <c r="O459">
        <v>4</v>
      </c>
      <c r="P459" t="str">
        <f>("15")</f>
        <v>15</v>
      </c>
      <c r="Q459" t="str">
        <f>("HENDRICKX Karel")</f>
        <v>HENDRICKX Karel</v>
      </c>
      <c r="R459">
        <v>199</v>
      </c>
      <c r="S459">
        <v>199</v>
      </c>
      <c r="T459">
        <v>0</v>
      </c>
      <c r="U459">
        <v>4</v>
      </c>
    </row>
    <row r="460" spans="1:24" x14ac:dyDescent="0.35">
      <c r="A460" t="s">
        <v>8</v>
      </c>
      <c r="B460" t="s">
        <v>9</v>
      </c>
      <c r="C460" t="str">
        <f t="shared" ref="C460:C491" si="66">("11242")</f>
        <v>11242</v>
      </c>
      <c r="D460" t="s">
        <v>13</v>
      </c>
      <c r="E460" t="str">
        <f t="shared" ref="E460:E491" si="67">("25")</f>
        <v>25</v>
      </c>
      <c r="F460">
        <v>26591</v>
      </c>
      <c r="G460">
        <v>23853</v>
      </c>
      <c r="H460">
        <v>983</v>
      </c>
      <c r="I460" t="str">
        <f t="shared" ref="I460:I484" si="68">("1")</f>
        <v>1</v>
      </c>
      <c r="J460" t="str">
        <f t="shared" ref="J460:J484" si="69">("sp.a")</f>
        <v>sp.a</v>
      </c>
      <c r="K460">
        <v>817</v>
      </c>
      <c r="L460">
        <v>2250</v>
      </c>
      <c r="M460">
        <v>3067</v>
      </c>
      <c r="N460">
        <v>2301</v>
      </c>
      <c r="O460">
        <v>3</v>
      </c>
      <c r="P460" t="str">
        <f>("1")</f>
        <v>1</v>
      </c>
      <c r="Q460" t="str">
        <f>("VAN HOUTVEN Stephanie")</f>
        <v>VAN HOUTVEN Stephanie</v>
      </c>
      <c r="R460">
        <v>1099</v>
      </c>
      <c r="S460">
        <v>1916</v>
      </c>
      <c r="T460">
        <v>0</v>
      </c>
      <c r="U460">
        <v>1</v>
      </c>
    </row>
    <row r="461" spans="1:24" x14ac:dyDescent="0.35">
      <c r="A461" t="s">
        <v>8</v>
      </c>
      <c r="B461" t="s">
        <v>9</v>
      </c>
      <c r="C461" t="str">
        <f t="shared" si="66"/>
        <v>11242</v>
      </c>
      <c r="D461" t="s">
        <v>13</v>
      </c>
      <c r="E461" t="str">
        <f t="shared" si="67"/>
        <v>25</v>
      </c>
      <c r="F461">
        <v>26591</v>
      </c>
      <c r="G461">
        <v>23853</v>
      </c>
      <c r="H461">
        <v>983</v>
      </c>
      <c r="I461" t="str">
        <f t="shared" si="68"/>
        <v>1</v>
      </c>
      <c r="J461" t="str">
        <f t="shared" si="69"/>
        <v>sp.a</v>
      </c>
      <c r="K461">
        <v>817</v>
      </c>
      <c r="L461">
        <v>2250</v>
      </c>
      <c r="M461">
        <v>3067</v>
      </c>
      <c r="N461">
        <v>2301</v>
      </c>
      <c r="O461">
        <v>3</v>
      </c>
      <c r="P461" t="str">
        <f>("2")</f>
        <v>2</v>
      </c>
      <c r="Q461" t="str">
        <f>("HEMDANE Farid")</f>
        <v>HEMDANE Farid</v>
      </c>
      <c r="R461">
        <v>387</v>
      </c>
      <c r="S461">
        <v>387</v>
      </c>
      <c r="T461">
        <v>0</v>
      </c>
      <c r="U461">
        <v>2</v>
      </c>
    </row>
    <row r="462" spans="1:24" x14ac:dyDescent="0.35">
      <c r="A462" t="s">
        <v>8</v>
      </c>
      <c r="B462" t="s">
        <v>9</v>
      </c>
      <c r="C462" t="str">
        <f t="shared" si="66"/>
        <v>11242</v>
      </c>
      <c r="D462" t="s">
        <v>13</v>
      </c>
      <c r="E462" t="str">
        <f t="shared" si="67"/>
        <v>25</v>
      </c>
      <c r="F462">
        <v>26591</v>
      </c>
      <c r="G462">
        <v>23853</v>
      </c>
      <c r="H462">
        <v>983</v>
      </c>
      <c r="I462" t="str">
        <f t="shared" si="68"/>
        <v>1</v>
      </c>
      <c r="J462" t="str">
        <f t="shared" si="69"/>
        <v>sp.a</v>
      </c>
      <c r="K462">
        <v>817</v>
      </c>
      <c r="L462">
        <v>2250</v>
      </c>
      <c r="M462">
        <v>3067</v>
      </c>
      <c r="N462">
        <v>2301</v>
      </c>
      <c r="O462">
        <v>3</v>
      </c>
      <c r="P462" t="str">
        <f>("3")</f>
        <v>3</v>
      </c>
      <c r="Q462" t="str">
        <f>("CISSÉ Aïssatou")</f>
        <v>CISSÉ Aïssatou</v>
      </c>
      <c r="R462">
        <v>196</v>
      </c>
      <c r="S462" t="s">
        <v>44</v>
      </c>
      <c r="T462">
        <v>0</v>
      </c>
      <c r="V462">
        <v>1</v>
      </c>
      <c r="W462">
        <v>1013</v>
      </c>
      <c r="X462">
        <v>0</v>
      </c>
    </row>
    <row r="463" spans="1:24" x14ac:dyDescent="0.35">
      <c r="A463" t="s">
        <v>8</v>
      </c>
      <c r="B463" t="s">
        <v>9</v>
      </c>
      <c r="C463" t="str">
        <f t="shared" si="66"/>
        <v>11242</v>
      </c>
      <c r="D463" t="s">
        <v>13</v>
      </c>
      <c r="E463" t="str">
        <f t="shared" si="67"/>
        <v>25</v>
      </c>
      <c r="F463">
        <v>26591</v>
      </c>
      <c r="G463">
        <v>23853</v>
      </c>
      <c r="H463">
        <v>983</v>
      </c>
      <c r="I463" t="str">
        <f t="shared" si="68"/>
        <v>1</v>
      </c>
      <c r="J463" t="str">
        <f t="shared" si="69"/>
        <v>sp.a</v>
      </c>
      <c r="K463">
        <v>817</v>
      </c>
      <c r="L463">
        <v>2250</v>
      </c>
      <c r="M463">
        <v>3067</v>
      </c>
      <c r="N463">
        <v>2301</v>
      </c>
      <c r="O463">
        <v>3</v>
      </c>
      <c r="P463" t="str">
        <f>("4")</f>
        <v>4</v>
      </c>
      <c r="Q463" t="str">
        <f>("VAN ROEY Koen")</f>
        <v>VAN ROEY Koen</v>
      </c>
      <c r="R463">
        <v>176</v>
      </c>
      <c r="S463" t="s">
        <v>44</v>
      </c>
      <c r="T463">
        <v>0</v>
      </c>
      <c r="V463">
        <v>3</v>
      </c>
      <c r="W463">
        <v>176</v>
      </c>
      <c r="X463">
        <v>0</v>
      </c>
    </row>
    <row r="464" spans="1:24" x14ac:dyDescent="0.35">
      <c r="A464" t="s">
        <v>8</v>
      </c>
      <c r="B464" t="s">
        <v>9</v>
      </c>
      <c r="C464" t="str">
        <f t="shared" si="66"/>
        <v>11242</v>
      </c>
      <c r="D464" t="s">
        <v>13</v>
      </c>
      <c r="E464" t="str">
        <f t="shared" si="67"/>
        <v>25</v>
      </c>
      <c r="F464">
        <v>26591</v>
      </c>
      <c r="G464">
        <v>23853</v>
      </c>
      <c r="H464">
        <v>983</v>
      </c>
      <c r="I464" t="str">
        <f t="shared" si="68"/>
        <v>1</v>
      </c>
      <c r="J464" t="str">
        <f t="shared" si="69"/>
        <v>sp.a</v>
      </c>
      <c r="K464">
        <v>817</v>
      </c>
      <c r="L464">
        <v>2250</v>
      </c>
      <c r="M464">
        <v>3067</v>
      </c>
      <c r="N464">
        <v>2301</v>
      </c>
      <c r="O464">
        <v>3</v>
      </c>
      <c r="P464" t="str">
        <f>("5")</f>
        <v>5</v>
      </c>
      <c r="Q464" t="str">
        <f>("ZOUGAGH Mohamed")</f>
        <v>ZOUGAGH Mohamed</v>
      </c>
      <c r="R464">
        <v>364</v>
      </c>
      <c r="S464">
        <v>364</v>
      </c>
      <c r="T464">
        <v>0</v>
      </c>
      <c r="U464">
        <v>3</v>
      </c>
    </row>
    <row r="465" spans="1:24" x14ac:dyDescent="0.35">
      <c r="A465" t="s">
        <v>8</v>
      </c>
      <c r="B465" t="s">
        <v>9</v>
      </c>
      <c r="C465" t="str">
        <f t="shared" si="66"/>
        <v>11242</v>
      </c>
      <c r="D465" t="s">
        <v>13</v>
      </c>
      <c r="E465" t="str">
        <f t="shared" si="67"/>
        <v>25</v>
      </c>
      <c r="F465">
        <v>26591</v>
      </c>
      <c r="G465">
        <v>23853</v>
      </c>
      <c r="H465">
        <v>983</v>
      </c>
      <c r="I465" t="str">
        <f t="shared" si="68"/>
        <v>1</v>
      </c>
      <c r="J465" t="str">
        <f t="shared" si="69"/>
        <v>sp.a</v>
      </c>
      <c r="K465">
        <v>817</v>
      </c>
      <c r="L465">
        <v>2250</v>
      </c>
      <c r="M465">
        <v>3067</v>
      </c>
      <c r="N465">
        <v>2301</v>
      </c>
      <c r="O465">
        <v>3</v>
      </c>
      <c r="P465" t="str">
        <f>("6")</f>
        <v>6</v>
      </c>
      <c r="Q465" t="str">
        <f>("BEMPUNGA Eugénie")</f>
        <v>BEMPUNGA Eugénie</v>
      </c>
      <c r="R465">
        <v>116</v>
      </c>
      <c r="S465" t="s">
        <v>44</v>
      </c>
      <c r="T465">
        <v>0</v>
      </c>
      <c r="V465">
        <v>8</v>
      </c>
      <c r="W465">
        <v>116</v>
      </c>
      <c r="X465">
        <v>0</v>
      </c>
    </row>
    <row r="466" spans="1:24" x14ac:dyDescent="0.35">
      <c r="A466" t="s">
        <v>8</v>
      </c>
      <c r="B466" t="s">
        <v>9</v>
      </c>
      <c r="C466" t="str">
        <f t="shared" si="66"/>
        <v>11242</v>
      </c>
      <c r="D466" t="s">
        <v>13</v>
      </c>
      <c r="E466" t="str">
        <f t="shared" si="67"/>
        <v>25</v>
      </c>
      <c r="F466">
        <v>26591</v>
      </c>
      <c r="G466">
        <v>23853</v>
      </c>
      <c r="H466">
        <v>983</v>
      </c>
      <c r="I466" t="str">
        <f t="shared" si="68"/>
        <v>1</v>
      </c>
      <c r="J466" t="str">
        <f t="shared" si="69"/>
        <v>sp.a</v>
      </c>
      <c r="K466">
        <v>817</v>
      </c>
      <c r="L466">
        <v>2250</v>
      </c>
      <c r="M466">
        <v>3067</v>
      </c>
      <c r="N466">
        <v>2301</v>
      </c>
      <c r="O466">
        <v>3</v>
      </c>
      <c r="P466" t="str">
        <f>("7")</f>
        <v>7</v>
      </c>
      <c r="Q466" t="str">
        <f>("SEGERS Ben")</f>
        <v>SEGERS Ben</v>
      </c>
      <c r="R466">
        <v>181</v>
      </c>
      <c r="S466" t="s">
        <v>44</v>
      </c>
      <c r="T466">
        <v>0</v>
      </c>
      <c r="V466">
        <v>2</v>
      </c>
      <c r="W466">
        <v>181</v>
      </c>
      <c r="X466">
        <v>0</v>
      </c>
    </row>
    <row r="467" spans="1:24" x14ac:dyDescent="0.35">
      <c r="A467" t="s">
        <v>8</v>
      </c>
      <c r="B467" t="s">
        <v>9</v>
      </c>
      <c r="C467" t="str">
        <f t="shared" si="66"/>
        <v>11242</v>
      </c>
      <c r="D467" t="s">
        <v>13</v>
      </c>
      <c r="E467" t="str">
        <f t="shared" si="67"/>
        <v>25</v>
      </c>
      <c r="F467">
        <v>26591</v>
      </c>
      <c r="G467">
        <v>23853</v>
      </c>
      <c r="H467">
        <v>983</v>
      </c>
      <c r="I467" t="str">
        <f t="shared" si="68"/>
        <v>1</v>
      </c>
      <c r="J467" t="str">
        <f t="shared" si="69"/>
        <v>sp.a</v>
      </c>
      <c r="K467">
        <v>817</v>
      </c>
      <c r="L467">
        <v>2250</v>
      </c>
      <c r="M467">
        <v>3067</v>
      </c>
      <c r="N467">
        <v>2301</v>
      </c>
      <c r="O467">
        <v>3</v>
      </c>
      <c r="P467" t="str">
        <f>("8")</f>
        <v>8</v>
      </c>
      <c r="Q467" t="str">
        <f>("FASSIN Isabelle")</f>
        <v>FASSIN Isabelle</v>
      </c>
      <c r="R467">
        <v>98</v>
      </c>
      <c r="S467" t="s">
        <v>44</v>
      </c>
      <c r="T467">
        <v>0</v>
      </c>
      <c r="V467">
        <v>12</v>
      </c>
      <c r="W467">
        <v>98</v>
      </c>
      <c r="X467">
        <v>0</v>
      </c>
    </row>
    <row r="468" spans="1:24" x14ac:dyDescent="0.35">
      <c r="A468" t="s">
        <v>8</v>
      </c>
      <c r="B468" t="s">
        <v>9</v>
      </c>
      <c r="C468" t="str">
        <f t="shared" si="66"/>
        <v>11242</v>
      </c>
      <c r="D468" t="s">
        <v>13</v>
      </c>
      <c r="E468" t="str">
        <f t="shared" si="67"/>
        <v>25</v>
      </c>
      <c r="F468">
        <v>26591</v>
      </c>
      <c r="G468">
        <v>23853</v>
      </c>
      <c r="H468">
        <v>983</v>
      </c>
      <c r="I468" t="str">
        <f t="shared" si="68"/>
        <v>1</v>
      </c>
      <c r="J468" t="str">
        <f t="shared" si="69"/>
        <v>sp.a</v>
      </c>
      <c r="K468">
        <v>817</v>
      </c>
      <c r="L468">
        <v>2250</v>
      </c>
      <c r="M468">
        <v>3067</v>
      </c>
      <c r="N468">
        <v>2301</v>
      </c>
      <c r="O468">
        <v>3</v>
      </c>
      <c r="P468" t="str">
        <f>("9")</f>
        <v>9</v>
      </c>
      <c r="Q468" t="str">
        <f>("CEUPPENS Steven")</f>
        <v>CEUPPENS Steven</v>
      </c>
      <c r="R468">
        <v>93</v>
      </c>
      <c r="S468" t="s">
        <v>44</v>
      </c>
      <c r="T468">
        <v>0</v>
      </c>
      <c r="V468">
        <v>14</v>
      </c>
      <c r="W468">
        <v>93</v>
      </c>
      <c r="X468">
        <v>0</v>
      </c>
    </row>
    <row r="469" spans="1:24" x14ac:dyDescent="0.35">
      <c r="A469" t="s">
        <v>8</v>
      </c>
      <c r="B469" t="s">
        <v>9</v>
      </c>
      <c r="C469" t="str">
        <f t="shared" si="66"/>
        <v>11242</v>
      </c>
      <c r="D469" t="s">
        <v>13</v>
      </c>
      <c r="E469" t="str">
        <f t="shared" si="67"/>
        <v>25</v>
      </c>
      <c r="F469">
        <v>26591</v>
      </c>
      <c r="G469">
        <v>23853</v>
      </c>
      <c r="H469">
        <v>983</v>
      </c>
      <c r="I469" t="str">
        <f t="shared" si="68"/>
        <v>1</v>
      </c>
      <c r="J469" t="str">
        <f t="shared" si="69"/>
        <v>sp.a</v>
      </c>
      <c r="K469">
        <v>817</v>
      </c>
      <c r="L469">
        <v>2250</v>
      </c>
      <c r="M469">
        <v>3067</v>
      </c>
      <c r="N469">
        <v>2301</v>
      </c>
      <c r="O469">
        <v>3</v>
      </c>
      <c r="P469" t="str">
        <f>("10")</f>
        <v>10</v>
      </c>
      <c r="Q469" t="str">
        <f>("JANSEN Linda")</f>
        <v>JANSEN Linda</v>
      </c>
      <c r="R469">
        <v>120</v>
      </c>
      <c r="S469" t="s">
        <v>44</v>
      </c>
      <c r="T469">
        <v>0</v>
      </c>
      <c r="V469">
        <v>7</v>
      </c>
      <c r="W469">
        <v>120</v>
      </c>
      <c r="X469">
        <v>0</v>
      </c>
    </row>
    <row r="470" spans="1:24" x14ac:dyDescent="0.35">
      <c r="A470" t="s">
        <v>8</v>
      </c>
      <c r="B470" t="s">
        <v>9</v>
      </c>
      <c r="C470" t="str">
        <f t="shared" si="66"/>
        <v>11242</v>
      </c>
      <c r="D470" t="s">
        <v>13</v>
      </c>
      <c r="E470" t="str">
        <f t="shared" si="67"/>
        <v>25</v>
      </c>
      <c r="F470">
        <v>26591</v>
      </c>
      <c r="G470">
        <v>23853</v>
      </c>
      <c r="H470">
        <v>983</v>
      </c>
      <c r="I470" t="str">
        <f t="shared" si="68"/>
        <v>1</v>
      </c>
      <c r="J470" t="str">
        <f t="shared" si="69"/>
        <v>sp.a</v>
      </c>
      <c r="K470">
        <v>817</v>
      </c>
      <c r="L470">
        <v>2250</v>
      </c>
      <c r="M470">
        <v>3067</v>
      </c>
      <c r="N470">
        <v>2301</v>
      </c>
      <c r="O470">
        <v>3</v>
      </c>
      <c r="P470" t="str">
        <f>("11")</f>
        <v>11</v>
      </c>
      <c r="Q470" t="str">
        <f>("KANDAVA Marceline")</f>
        <v>KANDAVA Marceline</v>
      </c>
      <c r="R470">
        <v>87</v>
      </c>
      <c r="S470" t="s">
        <v>44</v>
      </c>
      <c r="T470">
        <v>0</v>
      </c>
      <c r="V470">
        <v>17</v>
      </c>
      <c r="W470">
        <v>87</v>
      </c>
      <c r="X470">
        <v>0</v>
      </c>
    </row>
    <row r="471" spans="1:24" x14ac:dyDescent="0.35">
      <c r="A471" t="s">
        <v>8</v>
      </c>
      <c r="B471" t="s">
        <v>9</v>
      </c>
      <c r="C471" t="str">
        <f t="shared" si="66"/>
        <v>11242</v>
      </c>
      <c r="D471" t="s">
        <v>13</v>
      </c>
      <c r="E471" t="str">
        <f t="shared" si="67"/>
        <v>25</v>
      </c>
      <c r="F471">
        <v>26591</v>
      </c>
      <c r="G471">
        <v>23853</v>
      </c>
      <c r="H471">
        <v>983</v>
      </c>
      <c r="I471" t="str">
        <f t="shared" si="68"/>
        <v>1</v>
      </c>
      <c r="J471" t="str">
        <f t="shared" si="69"/>
        <v>sp.a</v>
      </c>
      <c r="K471">
        <v>817</v>
      </c>
      <c r="L471">
        <v>2250</v>
      </c>
      <c r="M471">
        <v>3067</v>
      </c>
      <c r="N471">
        <v>2301</v>
      </c>
      <c r="O471">
        <v>3</v>
      </c>
      <c r="P471" t="str">
        <f>("12")</f>
        <v>12</v>
      </c>
      <c r="Q471" t="str">
        <f>("JACOBS Danny")</f>
        <v>JACOBS Danny</v>
      </c>
      <c r="R471">
        <v>79</v>
      </c>
      <c r="S471" t="s">
        <v>44</v>
      </c>
      <c r="T471">
        <v>0</v>
      </c>
      <c r="V471">
        <v>19</v>
      </c>
      <c r="W471">
        <v>79</v>
      </c>
      <c r="X471">
        <v>0</v>
      </c>
    </row>
    <row r="472" spans="1:24" x14ac:dyDescent="0.35">
      <c r="A472" t="s">
        <v>8</v>
      </c>
      <c r="B472" t="s">
        <v>9</v>
      </c>
      <c r="C472" t="str">
        <f t="shared" si="66"/>
        <v>11242</v>
      </c>
      <c r="D472" t="s">
        <v>13</v>
      </c>
      <c r="E472" t="str">
        <f t="shared" si="67"/>
        <v>25</v>
      </c>
      <c r="F472">
        <v>26591</v>
      </c>
      <c r="G472">
        <v>23853</v>
      </c>
      <c r="H472">
        <v>983</v>
      </c>
      <c r="I472" t="str">
        <f t="shared" si="68"/>
        <v>1</v>
      </c>
      <c r="J472" t="str">
        <f t="shared" si="69"/>
        <v>sp.a</v>
      </c>
      <c r="K472">
        <v>817</v>
      </c>
      <c r="L472">
        <v>2250</v>
      </c>
      <c r="M472">
        <v>3067</v>
      </c>
      <c r="N472">
        <v>2301</v>
      </c>
      <c r="O472">
        <v>3</v>
      </c>
      <c r="P472" t="str">
        <f>("13")</f>
        <v>13</v>
      </c>
      <c r="Q472" t="str">
        <f>("TCHATALBASHIAN Emma")</f>
        <v>TCHATALBASHIAN Emma</v>
      </c>
      <c r="R472">
        <v>85</v>
      </c>
      <c r="S472" t="s">
        <v>44</v>
      </c>
      <c r="T472">
        <v>0</v>
      </c>
      <c r="V472">
        <v>18</v>
      </c>
      <c r="W472">
        <v>85</v>
      </c>
      <c r="X472">
        <v>0</v>
      </c>
    </row>
    <row r="473" spans="1:24" x14ac:dyDescent="0.35">
      <c r="A473" t="s">
        <v>8</v>
      </c>
      <c r="B473" t="s">
        <v>9</v>
      </c>
      <c r="C473" t="str">
        <f t="shared" si="66"/>
        <v>11242</v>
      </c>
      <c r="D473" t="s">
        <v>13</v>
      </c>
      <c r="E473" t="str">
        <f t="shared" si="67"/>
        <v>25</v>
      </c>
      <c r="F473">
        <v>26591</v>
      </c>
      <c r="G473">
        <v>23853</v>
      </c>
      <c r="H473">
        <v>983</v>
      </c>
      <c r="I473" t="str">
        <f t="shared" si="68"/>
        <v>1</v>
      </c>
      <c r="J473" t="str">
        <f t="shared" si="69"/>
        <v>sp.a</v>
      </c>
      <c r="K473">
        <v>817</v>
      </c>
      <c r="L473">
        <v>2250</v>
      </c>
      <c r="M473">
        <v>3067</v>
      </c>
      <c r="N473">
        <v>2301</v>
      </c>
      <c r="O473">
        <v>3</v>
      </c>
      <c r="P473" t="str">
        <f>("14")</f>
        <v>14</v>
      </c>
      <c r="Q473" t="str">
        <f>("BARRY Aminata")</f>
        <v>BARRY Aminata</v>
      </c>
      <c r="R473">
        <v>137</v>
      </c>
      <c r="S473" t="s">
        <v>44</v>
      </c>
      <c r="T473">
        <v>0</v>
      </c>
      <c r="V473">
        <v>5</v>
      </c>
      <c r="W473">
        <v>137</v>
      </c>
      <c r="X473">
        <v>0</v>
      </c>
    </row>
    <row r="474" spans="1:24" x14ac:dyDescent="0.35">
      <c r="A474" t="s">
        <v>8</v>
      </c>
      <c r="B474" t="s">
        <v>9</v>
      </c>
      <c r="C474" t="str">
        <f t="shared" si="66"/>
        <v>11242</v>
      </c>
      <c r="D474" t="s">
        <v>13</v>
      </c>
      <c r="E474" t="str">
        <f t="shared" si="67"/>
        <v>25</v>
      </c>
      <c r="F474">
        <v>26591</v>
      </c>
      <c r="G474">
        <v>23853</v>
      </c>
      <c r="H474">
        <v>983</v>
      </c>
      <c r="I474" t="str">
        <f t="shared" si="68"/>
        <v>1</v>
      </c>
      <c r="J474" t="str">
        <f t="shared" si="69"/>
        <v>sp.a</v>
      </c>
      <c r="K474">
        <v>817</v>
      </c>
      <c r="L474">
        <v>2250</v>
      </c>
      <c r="M474">
        <v>3067</v>
      </c>
      <c r="N474">
        <v>2301</v>
      </c>
      <c r="O474">
        <v>3</v>
      </c>
      <c r="P474" t="str">
        <f>("15")</f>
        <v>15</v>
      </c>
      <c r="Q474" t="str">
        <f>("VAN HOUT Jean")</f>
        <v>VAN HOUT Jean</v>
      </c>
      <c r="R474">
        <v>124</v>
      </c>
      <c r="S474" t="s">
        <v>44</v>
      </c>
      <c r="T474">
        <v>0</v>
      </c>
      <c r="V474">
        <v>6</v>
      </c>
      <c r="W474">
        <v>124</v>
      </c>
      <c r="X474">
        <v>0</v>
      </c>
    </row>
    <row r="475" spans="1:24" x14ac:dyDescent="0.35">
      <c r="A475" t="s">
        <v>8</v>
      </c>
      <c r="B475" t="s">
        <v>9</v>
      </c>
      <c r="C475" t="str">
        <f t="shared" si="66"/>
        <v>11242</v>
      </c>
      <c r="D475" t="s">
        <v>13</v>
      </c>
      <c r="E475" t="str">
        <f t="shared" si="67"/>
        <v>25</v>
      </c>
      <c r="F475">
        <v>26591</v>
      </c>
      <c r="G475">
        <v>23853</v>
      </c>
      <c r="H475">
        <v>983</v>
      </c>
      <c r="I475" t="str">
        <f t="shared" si="68"/>
        <v>1</v>
      </c>
      <c r="J475" t="str">
        <f t="shared" si="69"/>
        <v>sp.a</v>
      </c>
      <c r="K475">
        <v>817</v>
      </c>
      <c r="L475">
        <v>2250</v>
      </c>
      <c r="M475">
        <v>3067</v>
      </c>
      <c r="N475">
        <v>2301</v>
      </c>
      <c r="O475">
        <v>3</v>
      </c>
      <c r="P475" t="str">
        <f>("16")</f>
        <v>16</v>
      </c>
      <c r="Q475" t="str">
        <f>("DE BEUCKELEER Herman")</f>
        <v>DE BEUCKELEER Herman</v>
      </c>
      <c r="R475">
        <v>90</v>
      </c>
      <c r="S475" t="s">
        <v>44</v>
      </c>
      <c r="T475">
        <v>0</v>
      </c>
      <c r="V475">
        <v>15</v>
      </c>
      <c r="W475">
        <v>90</v>
      </c>
      <c r="X475">
        <v>0</v>
      </c>
    </row>
    <row r="476" spans="1:24" x14ac:dyDescent="0.35">
      <c r="A476" t="s">
        <v>8</v>
      </c>
      <c r="B476" t="s">
        <v>9</v>
      </c>
      <c r="C476" t="str">
        <f t="shared" si="66"/>
        <v>11242</v>
      </c>
      <c r="D476" t="s">
        <v>13</v>
      </c>
      <c r="E476" t="str">
        <f t="shared" si="67"/>
        <v>25</v>
      </c>
      <c r="F476">
        <v>26591</v>
      </c>
      <c r="G476">
        <v>23853</v>
      </c>
      <c r="H476">
        <v>983</v>
      </c>
      <c r="I476" t="str">
        <f t="shared" si="68"/>
        <v>1</v>
      </c>
      <c r="J476" t="str">
        <f t="shared" si="69"/>
        <v>sp.a</v>
      </c>
      <c r="K476">
        <v>817</v>
      </c>
      <c r="L476">
        <v>2250</v>
      </c>
      <c r="M476">
        <v>3067</v>
      </c>
      <c r="N476">
        <v>2301</v>
      </c>
      <c r="O476">
        <v>3</v>
      </c>
      <c r="P476" t="str">
        <f>("17")</f>
        <v>17</v>
      </c>
      <c r="Q476" t="str">
        <f>("VERWIMP Kim")</f>
        <v>VERWIMP Kim</v>
      </c>
      <c r="R476">
        <v>90</v>
      </c>
      <c r="S476" t="s">
        <v>44</v>
      </c>
      <c r="T476">
        <v>0</v>
      </c>
      <c r="V476">
        <v>16</v>
      </c>
      <c r="W476">
        <v>90</v>
      </c>
      <c r="X476">
        <v>0</v>
      </c>
    </row>
    <row r="477" spans="1:24" x14ac:dyDescent="0.35">
      <c r="A477" t="s">
        <v>8</v>
      </c>
      <c r="B477" t="s">
        <v>9</v>
      </c>
      <c r="C477" t="str">
        <f t="shared" si="66"/>
        <v>11242</v>
      </c>
      <c r="D477" t="s">
        <v>13</v>
      </c>
      <c r="E477" t="str">
        <f t="shared" si="67"/>
        <v>25</v>
      </c>
      <c r="F477">
        <v>26591</v>
      </c>
      <c r="G477">
        <v>23853</v>
      </c>
      <c r="H477">
        <v>983</v>
      </c>
      <c r="I477" t="str">
        <f t="shared" si="68"/>
        <v>1</v>
      </c>
      <c r="J477" t="str">
        <f t="shared" si="69"/>
        <v>sp.a</v>
      </c>
      <c r="K477">
        <v>817</v>
      </c>
      <c r="L477">
        <v>2250</v>
      </c>
      <c r="M477">
        <v>3067</v>
      </c>
      <c r="N477">
        <v>2301</v>
      </c>
      <c r="O477">
        <v>3</v>
      </c>
      <c r="P477" t="str">
        <f>("18")</f>
        <v>18</v>
      </c>
      <c r="Q477" t="str">
        <f>("VAN DER SCHUEREN Caro")</f>
        <v>VAN DER SCHUEREN Caro</v>
      </c>
      <c r="R477">
        <v>94</v>
      </c>
      <c r="S477" t="s">
        <v>44</v>
      </c>
      <c r="T477">
        <v>0</v>
      </c>
      <c r="V477">
        <v>13</v>
      </c>
      <c r="W477">
        <v>94</v>
      </c>
      <c r="X477">
        <v>0</v>
      </c>
    </row>
    <row r="478" spans="1:24" x14ac:dyDescent="0.35">
      <c r="A478" t="s">
        <v>8</v>
      </c>
      <c r="B478" t="s">
        <v>9</v>
      </c>
      <c r="C478" t="str">
        <f t="shared" si="66"/>
        <v>11242</v>
      </c>
      <c r="D478" t="s">
        <v>13</v>
      </c>
      <c r="E478" t="str">
        <f t="shared" si="67"/>
        <v>25</v>
      </c>
      <c r="F478">
        <v>26591</v>
      </c>
      <c r="G478">
        <v>23853</v>
      </c>
      <c r="H478">
        <v>983</v>
      </c>
      <c r="I478" t="str">
        <f t="shared" si="68"/>
        <v>1</v>
      </c>
      <c r="J478" t="str">
        <f t="shared" si="69"/>
        <v>sp.a</v>
      </c>
      <c r="K478">
        <v>817</v>
      </c>
      <c r="L478">
        <v>2250</v>
      </c>
      <c r="M478">
        <v>3067</v>
      </c>
      <c r="N478">
        <v>2301</v>
      </c>
      <c r="O478">
        <v>3</v>
      </c>
      <c r="P478" t="str">
        <f>("19")</f>
        <v>19</v>
      </c>
      <c r="Q478" t="str">
        <f>("VAN DEN AUDENAERDE Raymond")</f>
        <v>VAN DEN AUDENAERDE Raymond</v>
      </c>
      <c r="R478">
        <v>62</v>
      </c>
      <c r="S478" t="s">
        <v>44</v>
      </c>
      <c r="T478">
        <v>0</v>
      </c>
      <c r="V478">
        <v>22</v>
      </c>
      <c r="W478">
        <v>62</v>
      </c>
      <c r="X478">
        <v>0</v>
      </c>
    </row>
    <row r="479" spans="1:24" x14ac:dyDescent="0.35">
      <c r="A479" t="s">
        <v>8</v>
      </c>
      <c r="B479" t="s">
        <v>9</v>
      </c>
      <c r="C479" t="str">
        <f t="shared" si="66"/>
        <v>11242</v>
      </c>
      <c r="D479" t="s">
        <v>13</v>
      </c>
      <c r="E479" t="str">
        <f t="shared" si="67"/>
        <v>25</v>
      </c>
      <c r="F479">
        <v>26591</v>
      </c>
      <c r="G479">
        <v>23853</v>
      </c>
      <c r="H479">
        <v>983</v>
      </c>
      <c r="I479" t="str">
        <f t="shared" si="68"/>
        <v>1</v>
      </c>
      <c r="J479" t="str">
        <f t="shared" si="69"/>
        <v>sp.a</v>
      </c>
      <c r="K479">
        <v>817</v>
      </c>
      <c r="L479">
        <v>2250</v>
      </c>
      <c r="M479">
        <v>3067</v>
      </c>
      <c r="N479">
        <v>2301</v>
      </c>
      <c r="O479">
        <v>3</v>
      </c>
      <c r="P479" t="str">
        <f>("20")</f>
        <v>20</v>
      </c>
      <c r="Q479" t="str">
        <f>("VERBRUGGEN Hélène")</f>
        <v>VERBRUGGEN Hélène</v>
      </c>
      <c r="R479">
        <v>76</v>
      </c>
      <c r="S479" t="s">
        <v>44</v>
      </c>
      <c r="T479">
        <v>0</v>
      </c>
      <c r="V479">
        <v>21</v>
      </c>
      <c r="W479">
        <v>76</v>
      </c>
      <c r="X479">
        <v>0</v>
      </c>
    </row>
    <row r="480" spans="1:24" x14ac:dyDescent="0.35">
      <c r="A480" t="s">
        <v>8</v>
      </c>
      <c r="B480" t="s">
        <v>9</v>
      </c>
      <c r="C480" t="str">
        <f t="shared" si="66"/>
        <v>11242</v>
      </c>
      <c r="D480" t="s">
        <v>13</v>
      </c>
      <c r="E480" t="str">
        <f t="shared" si="67"/>
        <v>25</v>
      </c>
      <c r="F480">
        <v>26591</v>
      </c>
      <c r="G480">
        <v>23853</v>
      </c>
      <c r="H480">
        <v>983</v>
      </c>
      <c r="I480" t="str">
        <f t="shared" si="68"/>
        <v>1</v>
      </c>
      <c r="J480" t="str">
        <f t="shared" si="69"/>
        <v>sp.a</v>
      </c>
      <c r="K480">
        <v>817</v>
      </c>
      <c r="L480">
        <v>2250</v>
      </c>
      <c r="M480">
        <v>3067</v>
      </c>
      <c r="N480">
        <v>2301</v>
      </c>
      <c r="O480">
        <v>3</v>
      </c>
      <c r="P480" t="str">
        <f>("21")</f>
        <v>21</v>
      </c>
      <c r="Q480" t="str">
        <f>("ACHEAMPONG Kwame")</f>
        <v>ACHEAMPONG Kwame</v>
      </c>
      <c r="R480">
        <v>112</v>
      </c>
      <c r="S480" t="s">
        <v>44</v>
      </c>
      <c r="T480">
        <v>0</v>
      </c>
      <c r="V480">
        <v>10</v>
      </c>
      <c r="W480">
        <v>112</v>
      </c>
      <c r="X480">
        <v>0</v>
      </c>
    </row>
    <row r="481" spans="1:24" x14ac:dyDescent="0.35">
      <c r="A481" t="s">
        <v>8</v>
      </c>
      <c r="B481" t="s">
        <v>9</v>
      </c>
      <c r="C481" t="str">
        <f t="shared" si="66"/>
        <v>11242</v>
      </c>
      <c r="D481" t="s">
        <v>13</v>
      </c>
      <c r="E481" t="str">
        <f t="shared" si="67"/>
        <v>25</v>
      </c>
      <c r="F481">
        <v>26591</v>
      </c>
      <c r="G481">
        <v>23853</v>
      </c>
      <c r="H481">
        <v>983</v>
      </c>
      <c r="I481" t="str">
        <f t="shared" si="68"/>
        <v>1</v>
      </c>
      <c r="J481" t="str">
        <f t="shared" si="69"/>
        <v>sp.a</v>
      </c>
      <c r="K481">
        <v>817</v>
      </c>
      <c r="L481">
        <v>2250</v>
      </c>
      <c r="M481">
        <v>3067</v>
      </c>
      <c r="N481">
        <v>2301</v>
      </c>
      <c r="O481">
        <v>3</v>
      </c>
      <c r="P481" t="str">
        <f>("22")</f>
        <v>22</v>
      </c>
      <c r="Q481" t="str">
        <f>("NIJSKENS Myriam")</f>
        <v>NIJSKENS Myriam</v>
      </c>
      <c r="R481">
        <v>108</v>
      </c>
      <c r="S481" t="s">
        <v>44</v>
      </c>
      <c r="T481">
        <v>0</v>
      </c>
      <c r="V481">
        <v>11</v>
      </c>
      <c r="W481">
        <v>108</v>
      </c>
      <c r="X481">
        <v>0</v>
      </c>
    </row>
    <row r="482" spans="1:24" x14ac:dyDescent="0.35">
      <c r="A482" t="s">
        <v>8</v>
      </c>
      <c r="B482" t="s">
        <v>9</v>
      </c>
      <c r="C482" t="str">
        <f t="shared" si="66"/>
        <v>11242</v>
      </c>
      <c r="D482" t="s">
        <v>13</v>
      </c>
      <c r="E482" t="str">
        <f t="shared" si="67"/>
        <v>25</v>
      </c>
      <c r="F482">
        <v>26591</v>
      </c>
      <c r="G482">
        <v>23853</v>
      </c>
      <c r="H482">
        <v>983</v>
      </c>
      <c r="I482" t="str">
        <f t="shared" si="68"/>
        <v>1</v>
      </c>
      <c r="J482" t="str">
        <f t="shared" si="69"/>
        <v>sp.a</v>
      </c>
      <c r="K482">
        <v>817</v>
      </c>
      <c r="L482">
        <v>2250</v>
      </c>
      <c r="M482">
        <v>3067</v>
      </c>
      <c r="N482">
        <v>2301</v>
      </c>
      <c r="O482">
        <v>3</v>
      </c>
      <c r="P482" t="str">
        <f>("23")</f>
        <v>23</v>
      </c>
      <c r="Q482" t="str">
        <f>("MONCADA Marcelo")</f>
        <v>MONCADA Marcelo</v>
      </c>
      <c r="R482">
        <v>77</v>
      </c>
      <c r="S482" t="s">
        <v>44</v>
      </c>
      <c r="T482">
        <v>0</v>
      </c>
      <c r="V482">
        <v>20</v>
      </c>
      <c r="W482">
        <v>77</v>
      </c>
      <c r="X482">
        <v>0</v>
      </c>
    </row>
    <row r="483" spans="1:24" x14ac:dyDescent="0.35">
      <c r="A483" t="s">
        <v>8</v>
      </c>
      <c r="B483" t="s">
        <v>9</v>
      </c>
      <c r="C483" t="str">
        <f t="shared" si="66"/>
        <v>11242</v>
      </c>
      <c r="D483" t="s">
        <v>13</v>
      </c>
      <c r="E483" t="str">
        <f t="shared" si="67"/>
        <v>25</v>
      </c>
      <c r="F483">
        <v>26591</v>
      </c>
      <c r="G483">
        <v>23853</v>
      </c>
      <c r="H483">
        <v>983</v>
      </c>
      <c r="I483" t="str">
        <f t="shared" si="68"/>
        <v>1</v>
      </c>
      <c r="J483" t="str">
        <f t="shared" si="69"/>
        <v>sp.a</v>
      </c>
      <c r="K483">
        <v>817</v>
      </c>
      <c r="L483">
        <v>2250</v>
      </c>
      <c r="M483">
        <v>3067</v>
      </c>
      <c r="N483">
        <v>2301</v>
      </c>
      <c r="O483">
        <v>3</v>
      </c>
      <c r="P483" t="str">
        <f>("24")</f>
        <v>24</v>
      </c>
      <c r="Q483" t="str">
        <f>("VERBEIREN Annemie")</f>
        <v>VERBEIREN Annemie</v>
      </c>
      <c r="R483">
        <v>115</v>
      </c>
      <c r="S483" t="s">
        <v>44</v>
      </c>
      <c r="T483">
        <v>0</v>
      </c>
      <c r="V483">
        <v>9</v>
      </c>
      <c r="W483">
        <v>115</v>
      </c>
      <c r="X483">
        <v>0</v>
      </c>
    </row>
    <row r="484" spans="1:24" x14ac:dyDescent="0.35">
      <c r="A484" t="s">
        <v>8</v>
      </c>
      <c r="B484" t="s">
        <v>9</v>
      </c>
      <c r="C484" t="str">
        <f t="shared" si="66"/>
        <v>11242</v>
      </c>
      <c r="D484" t="s">
        <v>13</v>
      </c>
      <c r="E484" t="str">
        <f t="shared" si="67"/>
        <v>25</v>
      </c>
      <c r="F484">
        <v>26591</v>
      </c>
      <c r="G484">
        <v>23853</v>
      </c>
      <c r="H484">
        <v>983</v>
      </c>
      <c r="I484" t="str">
        <f t="shared" si="68"/>
        <v>1</v>
      </c>
      <c r="J484" t="str">
        <f t="shared" si="69"/>
        <v>sp.a</v>
      </c>
      <c r="K484">
        <v>817</v>
      </c>
      <c r="L484">
        <v>2250</v>
      </c>
      <c r="M484">
        <v>3067</v>
      </c>
      <c r="N484">
        <v>2301</v>
      </c>
      <c r="O484">
        <v>3</v>
      </c>
      <c r="P484" t="str">
        <f>("25")</f>
        <v>25</v>
      </c>
      <c r="Q484" t="str">
        <f>("EL GAZUANI Aotman")</f>
        <v>EL GAZUANI Aotman</v>
      </c>
      <c r="R484">
        <v>160</v>
      </c>
      <c r="S484" t="s">
        <v>44</v>
      </c>
      <c r="T484">
        <v>0</v>
      </c>
      <c r="V484">
        <v>4</v>
      </c>
      <c r="W484">
        <v>160</v>
      </c>
      <c r="X484">
        <v>0</v>
      </c>
    </row>
    <row r="485" spans="1:24" x14ac:dyDescent="0.35">
      <c r="A485" t="s">
        <v>8</v>
      </c>
      <c r="B485" t="s">
        <v>9</v>
      </c>
      <c r="C485" t="str">
        <f t="shared" si="66"/>
        <v>11242</v>
      </c>
      <c r="D485" t="s">
        <v>13</v>
      </c>
      <c r="E485" t="str">
        <f t="shared" si="67"/>
        <v>25</v>
      </c>
      <c r="F485">
        <v>26591</v>
      </c>
      <c r="G485">
        <v>23853</v>
      </c>
      <c r="H485">
        <v>983</v>
      </c>
      <c r="I485" t="str">
        <f t="shared" ref="I485:I509" si="70">("2")</f>
        <v>2</v>
      </c>
      <c r="J485" t="str">
        <f t="shared" ref="J485:J509" si="71">("N-VA")</f>
        <v>N-VA</v>
      </c>
      <c r="K485">
        <v>2259</v>
      </c>
      <c r="L485">
        <v>2638</v>
      </c>
      <c r="M485">
        <v>4897</v>
      </c>
      <c r="N485">
        <v>4198</v>
      </c>
      <c r="O485">
        <v>6</v>
      </c>
      <c r="P485" t="str">
        <f>("1")</f>
        <v>1</v>
      </c>
      <c r="Q485" t="str">
        <f>("HERREMANS Alain")</f>
        <v>HERREMANS Alain</v>
      </c>
      <c r="R485">
        <v>1187</v>
      </c>
      <c r="S485">
        <v>4198</v>
      </c>
      <c r="T485">
        <v>1507</v>
      </c>
      <c r="U485">
        <v>1</v>
      </c>
    </row>
    <row r="486" spans="1:24" x14ac:dyDescent="0.35">
      <c r="A486" t="s">
        <v>8</v>
      </c>
      <c r="B486" t="s">
        <v>9</v>
      </c>
      <c r="C486" t="str">
        <f t="shared" si="66"/>
        <v>11242</v>
      </c>
      <c r="D486" t="s">
        <v>13</v>
      </c>
      <c r="E486" t="str">
        <f t="shared" si="67"/>
        <v>25</v>
      </c>
      <c r="F486">
        <v>26591</v>
      </c>
      <c r="G486">
        <v>23853</v>
      </c>
      <c r="H486">
        <v>983</v>
      </c>
      <c r="I486" t="str">
        <f t="shared" si="70"/>
        <v>2</v>
      </c>
      <c r="J486" t="str">
        <f t="shared" si="71"/>
        <v>N-VA</v>
      </c>
      <c r="K486">
        <v>2259</v>
      </c>
      <c r="L486">
        <v>2638</v>
      </c>
      <c r="M486">
        <v>4897</v>
      </c>
      <c r="N486">
        <v>4198</v>
      </c>
      <c r="O486">
        <v>6</v>
      </c>
      <c r="P486" t="str">
        <f>("2")</f>
        <v>2</v>
      </c>
      <c r="Q486" t="str">
        <f>("GEETS Lisa")</f>
        <v>GEETS Lisa</v>
      </c>
      <c r="R486">
        <v>469</v>
      </c>
      <c r="S486">
        <v>1976</v>
      </c>
      <c r="T486">
        <v>0</v>
      </c>
      <c r="U486">
        <v>2</v>
      </c>
    </row>
    <row r="487" spans="1:24" x14ac:dyDescent="0.35">
      <c r="A487" t="s">
        <v>8</v>
      </c>
      <c r="B487" t="s">
        <v>9</v>
      </c>
      <c r="C487" t="str">
        <f t="shared" si="66"/>
        <v>11242</v>
      </c>
      <c r="D487" t="s">
        <v>13</v>
      </c>
      <c r="E487" t="str">
        <f t="shared" si="67"/>
        <v>25</v>
      </c>
      <c r="F487">
        <v>26591</v>
      </c>
      <c r="G487">
        <v>23853</v>
      </c>
      <c r="H487">
        <v>983</v>
      </c>
      <c r="I487" t="str">
        <f t="shared" si="70"/>
        <v>2</v>
      </c>
      <c r="J487" t="str">
        <f t="shared" si="71"/>
        <v>N-VA</v>
      </c>
      <c r="K487">
        <v>2259</v>
      </c>
      <c r="L487">
        <v>2638</v>
      </c>
      <c r="M487">
        <v>4897</v>
      </c>
      <c r="N487">
        <v>4198</v>
      </c>
      <c r="O487">
        <v>6</v>
      </c>
      <c r="P487" t="str">
        <f>("3")</f>
        <v>3</v>
      </c>
      <c r="Q487" t="str">
        <f>("VAN KEER Eva")</f>
        <v>VAN KEER Eva</v>
      </c>
      <c r="R487">
        <v>299</v>
      </c>
      <c r="S487">
        <v>299</v>
      </c>
      <c r="T487">
        <v>0</v>
      </c>
      <c r="U487">
        <v>3</v>
      </c>
    </row>
    <row r="488" spans="1:24" x14ac:dyDescent="0.35">
      <c r="A488" t="s">
        <v>8</v>
      </c>
      <c r="B488" t="s">
        <v>9</v>
      </c>
      <c r="C488" t="str">
        <f t="shared" si="66"/>
        <v>11242</v>
      </c>
      <c r="D488" t="s">
        <v>13</v>
      </c>
      <c r="E488" t="str">
        <f t="shared" si="67"/>
        <v>25</v>
      </c>
      <c r="F488">
        <v>26591</v>
      </c>
      <c r="G488">
        <v>23853</v>
      </c>
      <c r="H488">
        <v>983</v>
      </c>
      <c r="I488" t="str">
        <f t="shared" si="70"/>
        <v>2</v>
      </c>
      <c r="J488" t="str">
        <f t="shared" si="71"/>
        <v>N-VA</v>
      </c>
      <c r="K488">
        <v>2259</v>
      </c>
      <c r="L488">
        <v>2638</v>
      </c>
      <c r="M488">
        <v>4897</v>
      </c>
      <c r="N488">
        <v>4198</v>
      </c>
      <c r="O488">
        <v>6</v>
      </c>
      <c r="P488" t="str">
        <f>("4")</f>
        <v>4</v>
      </c>
      <c r="Q488" t="str">
        <f>("MATHEUSSEN Kris")</f>
        <v>MATHEUSSEN Kris</v>
      </c>
      <c r="R488">
        <v>181</v>
      </c>
      <c r="S488" t="s">
        <v>44</v>
      </c>
      <c r="T488">
        <v>0</v>
      </c>
      <c r="V488">
        <v>1</v>
      </c>
      <c r="W488">
        <v>4198</v>
      </c>
      <c r="X488">
        <v>501</v>
      </c>
    </row>
    <row r="489" spans="1:24" x14ac:dyDescent="0.35">
      <c r="A489" t="s">
        <v>8</v>
      </c>
      <c r="B489" t="s">
        <v>9</v>
      </c>
      <c r="C489" t="str">
        <f t="shared" si="66"/>
        <v>11242</v>
      </c>
      <c r="D489" t="s">
        <v>13</v>
      </c>
      <c r="E489" t="str">
        <f t="shared" si="67"/>
        <v>25</v>
      </c>
      <c r="F489">
        <v>26591</v>
      </c>
      <c r="G489">
        <v>23853</v>
      </c>
      <c r="H489">
        <v>983</v>
      </c>
      <c r="I489" t="str">
        <f t="shared" si="70"/>
        <v>2</v>
      </c>
      <c r="J489" t="str">
        <f t="shared" si="71"/>
        <v>N-VA</v>
      </c>
      <c r="K489">
        <v>2259</v>
      </c>
      <c r="L489">
        <v>2638</v>
      </c>
      <c r="M489">
        <v>4897</v>
      </c>
      <c r="N489">
        <v>4198</v>
      </c>
      <c r="O489">
        <v>6</v>
      </c>
      <c r="P489" t="str">
        <f>("5")</f>
        <v>5</v>
      </c>
      <c r="Q489" t="str">
        <f>("PAREDAENS Patrick")</f>
        <v>PAREDAENS Patrick</v>
      </c>
      <c r="R489">
        <v>164</v>
      </c>
      <c r="S489" t="s">
        <v>44</v>
      </c>
      <c r="T489">
        <v>0</v>
      </c>
      <c r="V489">
        <v>2</v>
      </c>
      <c r="W489">
        <v>665</v>
      </c>
      <c r="X489">
        <v>0</v>
      </c>
    </row>
    <row r="490" spans="1:24" x14ac:dyDescent="0.35">
      <c r="A490" t="s">
        <v>8</v>
      </c>
      <c r="B490" t="s">
        <v>9</v>
      </c>
      <c r="C490" t="str">
        <f t="shared" si="66"/>
        <v>11242</v>
      </c>
      <c r="D490" t="s">
        <v>13</v>
      </c>
      <c r="E490" t="str">
        <f t="shared" si="67"/>
        <v>25</v>
      </c>
      <c r="F490">
        <v>26591</v>
      </c>
      <c r="G490">
        <v>23853</v>
      </c>
      <c r="H490">
        <v>983</v>
      </c>
      <c r="I490" t="str">
        <f t="shared" si="70"/>
        <v>2</v>
      </c>
      <c r="J490" t="str">
        <f t="shared" si="71"/>
        <v>N-VA</v>
      </c>
      <c r="K490">
        <v>2259</v>
      </c>
      <c r="L490">
        <v>2638</v>
      </c>
      <c r="M490">
        <v>4897</v>
      </c>
      <c r="N490">
        <v>4198</v>
      </c>
      <c r="O490">
        <v>6</v>
      </c>
      <c r="P490" t="str">
        <f>("6")</f>
        <v>6</v>
      </c>
      <c r="Q490" t="str">
        <f>("TALHAOUI Fatima")</f>
        <v>TALHAOUI Fatima</v>
      </c>
      <c r="R490">
        <v>194</v>
      </c>
      <c r="S490">
        <v>194</v>
      </c>
      <c r="T490">
        <v>0</v>
      </c>
      <c r="U490">
        <v>6</v>
      </c>
    </row>
    <row r="491" spans="1:24" x14ac:dyDescent="0.35">
      <c r="A491" t="s">
        <v>8</v>
      </c>
      <c r="B491" t="s">
        <v>9</v>
      </c>
      <c r="C491" t="str">
        <f t="shared" si="66"/>
        <v>11242</v>
      </c>
      <c r="D491" t="s">
        <v>13</v>
      </c>
      <c r="E491" t="str">
        <f t="shared" si="67"/>
        <v>25</v>
      </c>
      <c r="F491">
        <v>26591</v>
      </c>
      <c r="G491">
        <v>23853</v>
      </c>
      <c r="H491">
        <v>983</v>
      </c>
      <c r="I491" t="str">
        <f t="shared" si="70"/>
        <v>2</v>
      </c>
      <c r="J491" t="str">
        <f t="shared" si="71"/>
        <v>N-VA</v>
      </c>
      <c r="K491">
        <v>2259</v>
      </c>
      <c r="L491">
        <v>2638</v>
      </c>
      <c r="M491">
        <v>4897</v>
      </c>
      <c r="N491">
        <v>4198</v>
      </c>
      <c r="O491">
        <v>6</v>
      </c>
      <c r="P491" t="str">
        <f>("7")</f>
        <v>7</v>
      </c>
      <c r="Q491" t="str">
        <f>("VAN DAELE Kurt")</f>
        <v>VAN DAELE Kurt</v>
      </c>
      <c r="R491">
        <v>170</v>
      </c>
      <c r="S491" t="s">
        <v>44</v>
      </c>
      <c r="T491">
        <v>0</v>
      </c>
      <c r="V491">
        <v>3</v>
      </c>
      <c r="W491">
        <v>170</v>
      </c>
      <c r="X491">
        <v>0</v>
      </c>
    </row>
    <row r="492" spans="1:24" x14ac:dyDescent="0.35">
      <c r="A492" t="s">
        <v>8</v>
      </c>
      <c r="B492" t="s">
        <v>9</v>
      </c>
      <c r="C492" t="str">
        <f t="shared" ref="C492:C523" si="72">("11242")</f>
        <v>11242</v>
      </c>
      <c r="D492" t="s">
        <v>13</v>
      </c>
      <c r="E492" t="str">
        <f t="shared" ref="E492:E523" si="73">("25")</f>
        <v>25</v>
      </c>
      <c r="F492">
        <v>26591</v>
      </c>
      <c r="G492">
        <v>23853</v>
      </c>
      <c r="H492">
        <v>983</v>
      </c>
      <c r="I492" t="str">
        <f t="shared" si="70"/>
        <v>2</v>
      </c>
      <c r="J492" t="str">
        <f t="shared" si="71"/>
        <v>N-VA</v>
      </c>
      <c r="K492">
        <v>2259</v>
      </c>
      <c r="L492">
        <v>2638</v>
      </c>
      <c r="M492">
        <v>4897</v>
      </c>
      <c r="N492">
        <v>4198</v>
      </c>
      <c r="O492">
        <v>6</v>
      </c>
      <c r="P492" t="str">
        <f>("8")</f>
        <v>8</v>
      </c>
      <c r="Q492" t="str">
        <f>("DRIES Christel")</f>
        <v>DRIES Christel</v>
      </c>
      <c r="R492">
        <v>128</v>
      </c>
      <c r="S492" t="s">
        <v>44</v>
      </c>
      <c r="T492">
        <v>0</v>
      </c>
      <c r="V492">
        <v>10</v>
      </c>
      <c r="W492">
        <v>128</v>
      </c>
      <c r="X492">
        <v>0</v>
      </c>
    </row>
    <row r="493" spans="1:24" x14ac:dyDescent="0.35">
      <c r="A493" t="s">
        <v>8</v>
      </c>
      <c r="B493" t="s">
        <v>9</v>
      </c>
      <c r="C493" t="str">
        <f t="shared" si="72"/>
        <v>11242</v>
      </c>
      <c r="D493" t="s">
        <v>13</v>
      </c>
      <c r="E493" t="str">
        <f t="shared" si="73"/>
        <v>25</v>
      </c>
      <c r="F493">
        <v>26591</v>
      </c>
      <c r="G493">
        <v>23853</v>
      </c>
      <c r="H493">
        <v>983</v>
      </c>
      <c r="I493" t="str">
        <f t="shared" si="70"/>
        <v>2</v>
      </c>
      <c r="J493" t="str">
        <f t="shared" si="71"/>
        <v>N-VA</v>
      </c>
      <c r="K493">
        <v>2259</v>
      </c>
      <c r="L493">
        <v>2638</v>
      </c>
      <c r="M493">
        <v>4897</v>
      </c>
      <c r="N493">
        <v>4198</v>
      </c>
      <c r="O493">
        <v>6</v>
      </c>
      <c r="P493" t="str">
        <f>("9")</f>
        <v>9</v>
      </c>
      <c r="Q493" t="str">
        <f>("ZEROUAL Brahim")</f>
        <v>ZEROUAL Brahim</v>
      </c>
      <c r="R493">
        <v>115</v>
      </c>
      <c r="S493" t="s">
        <v>44</v>
      </c>
      <c r="T493">
        <v>0</v>
      </c>
      <c r="V493">
        <v>14</v>
      </c>
      <c r="W493">
        <v>115</v>
      </c>
      <c r="X493">
        <v>0</v>
      </c>
    </row>
    <row r="494" spans="1:24" x14ac:dyDescent="0.35">
      <c r="A494" t="s">
        <v>8</v>
      </c>
      <c r="B494" t="s">
        <v>9</v>
      </c>
      <c r="C494" t="str">
        <f t="shared" si="72"/>
        <v>11242</v>
      </c>
      <c r="D494" t="s">
        <v>13</v>
      </c>
      <c r="E494" t="str">
        <f t="shared" si="73"/>
        <v>25</v>
      </c>
      <c r="F494">
        <v>26591</v>
      </c>
      <c r="G494">
        <v>23853</v>
      </c>
      <c r="H494">
        <v>983</v>
      </c>
      <c r="I494" t="str">
        <f t="shared" si="70"/>
        <v>2</v>
      </c>
      <c r="J494" t="str">
        <f t="shared" si="71"/>
        <v>N-VA</v>
      </c>
      <c r="K494">
        <v>2259</v>
      </c>
      <c r="L494">
        <v>2638</v>
      </c>
      <c r="M494">
        <v>4897</v>
      </c>
      <c r="N494">
        <v>4198</v>
      </c>
      <c r="O494">
        <v>6</v>
      </c>
      <c r="P494" t="str">
        <f>("10")</f>
        <v>10</v>
      </c>
      <c r="Q494" t="str">
        <f>("LUYKX Wouter")</f>
        <v>LUYKX Wouter</v>
      </c>
      <c r="R494">
        <v>116</v>
      </c>
      <c r="S494" t="s">
        <v>44</v>
      </c>
      <c r="T494">
        <v>0</v>
      </c>
      <c r="V494">
        <v>13</v>
      </c>
      <c r="W494">
        <v>116</v>
      </c>
      <c r="X494">
        <v>0</v>
      </c>
    </row>
    <row r="495" spans="1:24" x14ac:dyDescent="0.35">
      <c r="A495" t="s">
        <v>8</v>
      </c>
      <c r="B495" t="s">
        <v>9</v>
      </c>
      <c r="C495" t="str">
        <f t="shared" si="72"/>
        <v>11242</v>
      </c>
      <c r="D495" t="s">
        <v>13</v>
      </c>
      <c r="E495" t="str">
        <f t="shared" si="73"/>
        <v>25</v>
      </c>
      <c r="F495">
        <v>26591</v>
      </c>
      <c r="G495">
        <v>23853</v>
      </c>
      <c r="H495">
        <v>983</v>
      </c>
      <c r="I495" t="str">
        <f t="shared" si="70"/>
        <v>2</v>
      </c>
      <c r="J495" t="str">
        <f t="shared" si="71"/>
        <v>N-VA</v>
      </c>
      <c r="K495">
        <v>2259</v>
      </c>
      <c r="L495">
        <v>2638</v>
      </c>
      <c r="M495">
        <v>4897</v>
      </c>
      <c r="N495">
        <v>4198</v>
      </c>
      <c r="O495">
        <v>6</v>
      </c>
      <c r="P495" t="str">
        <f>("11")</f>
        <v>11</v>
      </c>
      <c r="Q495" t="str">
        <f>("VAN DE WAUWER Betty")</f>
        <v>VAN DE WAUWER Betty</v>
      </c>
      <c r="R495">
        <v>135</v>
      </c>
      <c r="S495" t="s">
        <v>44</v>
      </c>
      <c r="T495">
        <v>0</v>
      </c>
      <c r="V495">
        <v>6</v>
      </c>
      <c r="W495">
        <v>135</v>
      </c>
      <c r="X495">
        <v>0</v>
      </c>
    </row>
    <row r="496" spans="1:24" x14ac:dyDescent="0.35">
      <c r="A496" t="s">
        <v>8</v>
      </c>
      <c r="B496" t="s">
        <v>9</v>
      </c>
      <c r="C496" t="str">
        <f t="shared" si="72"/>
        <v>11242</v>
      </c>
      <c r="D496" t="s">
        <v>13</v>
      </c>
      <c r="E496" t="str">
        <f t="shared" si="73"/>
        <v>25</v>
      </c>
      <c r="F496">
        <v>26591</v>
      </c>
      <c r="G496">
        <v>23853</v>
      </c>
      <c r="H496">
        <v>983</v>
      </c>
      <c r="I496" t="str">
        <f t="shared" si="70"/>
        <v>2</v>
      </c>
      <c r="J496" t="str">
        <f t="shared" si="71"/>
        <v>N-VA</v>
      </c>
      <c r="K496">
        <v>2259</v>
      </c>
      <c r="L496">
        <v>2638</v>
      </c>
      <c r="M496">
        <v>4897</v>
      </c>
      <c r="N496">
        <v>4198</v>
      </c>
      <c r="O496">
        <v>6</v>
      </c>
      <c r="P496" t="str">
        <f>("12")</f>
        <v>12</v>
      </c>
      <c r="Q496" t="str">
        <f>("VAN DE MEERSCHE Gillie")</f>
        <v>VAN DE MEERSCHE Gillie</v>
      </c>
      <c r="R496">
        <v>126</v>
      </c>
      <c r="S496" t="s">
        <v>44</v>
      </c>
      <c r="T496">
        <v>0</v>
      </c>
      <c r="V496">
        <v>11</v>
      </c>
      <c r="W496">
        <v>126</v>
      </c>
      <c r="X496">
        <v>0</v>
      </c>
    </row>
    <row r="497" spans="1:24" x14ac:dyDescent="0.35">
      <c r="A497" t="s">
        <v>8</v>
      </c>
      <c r="B497" t="s">
        <v>9</v>
      </c>
      <c r="C497" t="str">
        <f t="shared" si="72"/>
        <v>11242</v>
      </c>
      <c r="D497" t="s">
        <v>13</v>
      </c>
      <c r="E497" t="str">
        <f t="shared" si="73"/>
        <v>25</v>
      </c>
      <c r="F497">
        <v>26591</v>
      </c>
      <c r="G497">
        <v>23853</v>
      </c>
      <c r="H497">
        <v>983</v>
      </c>
      <c r="I497" t="str">
        <f t="shared" si="70"/>
        <v>2</v>
      </c>
      <c r="J497" t="str">
        <f t="shared" si="71"/>
        <v>N-VA</v>
      </c>
      <c r="K497">
        <v>2259</v>
      </c>
      <c r="L497">
        <v>2638</v>
      </c>
      <c r="M497">
        <v>4897</v>
      </c>
      <c r="N497">
        <v>4198</v>
      </c>
      <c r="O497">
        <v>6</v>
      </c>
      <c r="P497" t="str">
        <f>("13")</f>
        <v>13</v>
      </c>
      <c r="Q497" t="str">
        <f>("GOORIS Hans")</f>
        <v>GOORIS Hans</v>
      </c>
      <c r="R497">
        <v>161</v>
      </c>
      <c r="S497" t="s">
        <v>44</v>
      </c>
      <c r="T497">
        <v>0</v>
      </c>
      <c r="V497">
        <v>4</v>
      </c>
      <c r="W497">
        <v>161</v>
      </c>
      <c r="X497">
        <v>0</v>
      </c>
    </row>
    <row r="498" spans="1:24" x14ac:dyDescent="0.35">
      <c r="A498" t="s">
        <v>8</v>
      </c>
      <c r="B498" t="s">
        <v>9</v>
      </c>
      <c r="C498" t="str">
        <f t="shared" si="72"/>
        <v>11242</v>
      </c>
      <c r="D498" t="s">
        <v>13</v>
      </c>
      <c r="E498" t="str">
        <f t="shared" si="73"/>
        <v>25</v>
      </c>
      <c r="F498">
        <v>26591</v>
      </c>
      <c r="G498">
        <v>23853</v>
      </c>
      <c r="H498">
        <v>983</v>
      </c>
      <c r="I498" t="str">
        <f t="shared" si="70"/>
        <v>2</v>
      </c>
      <c r="J498" t="str">
        <f t="shared" si="71"/>
        <v>N-VA</v>
      </c>
      <c r="K498">
        <v>2259</v>
      </c>
      <c r="L498">
        <v>2638</v>
      </c>
      <c r="M498">
        <v>4897</v>
      </c>
      <c r="N498">
        <v>4198</v>
      </c>
      <c r="O498">
        <v>6</v>
      </c>
      <c r="P498" t="str">
        <f>("14")</f>
        <v>14</v>
      </c>
      <c r="Q498" t="str">
        <f>("KENNIS Ludo")</f>
        <v>KENNIS Ludo</v>
      </c>
      <c r="R498">
        <v>263</v>
      </c>
      <c r="S498">
        <v>263</v>
      </c>
      <c r="T498">
        <v>0</v>
      </c>
      <c r="U498">
        <v>5</v>
      </c>
    </row>
    <row r="499" spans="1:24" x14ac:dyDescent="0.35">
      <c r="A499" t="s">
        <v>8</v>
      </c>
      <c r="B499" t="s">
        <v>9</v>
      </c>
      <c r="C499" t="str">
        <f t="shared" si="72"/>
        <v>11242</v>
      </c>
      <c r="D499" t="s">
        <v>13</v>
      </c>
      <c r="E499" t="str">
        <f t="shared" si="73"/>
        <v>25</v>
      </c>
      <c r="F499">
        <v>26591</v>
      </c>
      <c r="G499">
        <v>23853</v>
      </c>
      <c r="H499">
        <v>983</v>
      </c>
      <c r="I499" t="str">
        <f t="shared" si="70"/>
        <v>2</v>
      </c>
      <c r="J499" t="str">
        <f t="shared" si="71"/>
        <v>N-VA</v>
      </c>
      <c r="K499">
        <v>2259</v>
      </c>
      <c r="L499">
        <v>2638</v>
      </c>
      <c r="M499">
        <v>4897</v>
      </c>
      <c r="N499">
        <v>4198</v>
      </c>
      <c r="O499">
        <v>6</v>
      </c>
      <c r="P499" t="str">
        <f>("15")</f>
        <v>15</v>
      </c>
      <c r="Q499" t="str">
        <f>("KENNIS Kevin")</f>
        <v>KENNIS Kevin</v>
      </c>
      <c r="R499">
        <v>121</v>
      </c>
      <c r="S499" t="s">
        <v>44</v>
      </c>
      <c r="T499">
        <v>0</v>
      </c>
      <c r="V499">
        <v>12</v>
      </c>
      <c r="W499">
        <v>121</v>
      </c>
      <c r="X499">
        <v>0</v>
      </c>
    </row>
    <row r="500" spans="1:24" x14ac:dyDescent="0.35">
      <c r="A500" t="s">
        <v>8</v>
      </c>
      <c r="B500" t="s">
        <v>9</v>
      </c>
      <c r="C500" t="str">
        <f t="shared" si="72"/>
        <v>11242</v>
      </c>
      <c r="D500" t="s">
        <v>13</v>
      </c>
      <c r="E500" t="str">
        <f t="shared" si="73"/>
        <v>25</v>
      </c>
      <c r="F500">
        <v>26591</v>
      </c>
      <c r="G500">
        <v>23853</v>
      </c>
      <c r="H500">
        <v>983</v>
      </c>
      <c r="I500" t="str">
        <f t="shared" si="70"/>
        <v>2</v>
      </c>
      <c r="J500" t="str">
        <f t="shared" si="71"/>
        <v>N-VA</v>
      </c>
      <c r="K500">
        <v>2259</v>
      </c>
      <c r="L500">
        <v>2638</v>
      </c>
      <c r="M500">
        <v>4897</v>
      </c>
      <c r="N500">
        <v>4198</v>
      </c>
      <c r="O500">
        <v>6</v>
      </c>
      <c r="P500" t="str">
        <f>("16")</f>
        <v>16</v>
      </c>
      <c r="Q500" t="str">
        <f>("VERELST Annie")</f>
        <v>VERELST Annie</v>
      </c>
      <c r="R500">
        <v>130</v>
      </c>
      <c r="S500" t="s">
        <v>44</v>
      </c>
      <c r="T500">
        <v>0</v>
      </c>
      <c r="V500">
        <v>9</v>
      </c>
      <c r="W500">
        <v>130</v>
      </c>
      <c r="X500">
        <v>0</v>
      </c>
    </row>
    <row r="501" spans="1:24" x14ac:dyDescent="0.35">
      <c r="A501" t="s">
        <v>8</v>
      </c>
      <c r="B501" t="s">
        <v>9</v>
      </c>
      <c r="C501" t="str">
        <f t="shared" si="72"/>
        <v>11242</v>
      </c>
      <c r="D501" t="s">
        <v>13</v>
      </c>
      <c r="E501" t="str">
        <f t="shared" si="73"/>
        <v>25</v>
      </c>
      <c r="F501">
        <v>26591</v>
      </c>
      <c r="G501">
        <v>23853</v>
      </c>
      <c r="H501">
        <v>983</v>
      </c>
      <c r="I501" t="str">
        <f t="shared" si="70"/>
        <v>2</v>
      </c>
      <c r="J501" t="str">
        <f t="shared" si="71"/>
        <v>N-VA</v>
      </c>
      <c r="K501">
        <v>2259</v>
      </c>
      <c r="L501">
        <v>2638</v>
      </c>
      <c r="M501">
        <v>4897</v>
      </c>
      <c r="N501">
        <v>4198</v>
      </c>
      <c r="O501">
        <v>6</v>
      </c>
      <c r="P501" t="str">
        <f>("17")</f>
        <v>17</v>
      </c>
      <c r="Q501" t="str">
        <f>("BUYENS Vera")</f>
        <v>BUYENS Vera</v>
      </c>
      <c r="R501">
        <v>109</v>
      </c>
      <c r="S501" t="s">
        <v>44</v>
      </c>
      <c r="T501">
        <v>0</v>
      </c>
      <c r="V501">
        <v>15</v>
      </c>
      <c r="W501">
        <v>109</v>
      </c>
      <c r="X501">
        <v>0</v>
      </c>
    </row>
    <row r="502" spans="1:24" x14ac:dyDescent="0.35">
      <c r="A502" t="s">
        <v>8</v>
      </c>
      <c r="B502" t="s">
        <v>9</v>
      </c>
      <c r="C502" t="str">
        <f t="shared" si="72"/>
        <v>11242</v>
      </c>
      <c r="D502" t="s">
        <v>13</v>
      </c>
      <c r="E502" t="str">
        <f t="shared" si="73"/>
        <v>25</v>
      </c>
      <c r="F502">
        <v>26591</v>
      </c>
      <c r="G502">
        <v>23853</v>
      </c>
      <c r="H502">
        <v>983</v>
      </c>
      <c r="I502" t="str">
        <f t="shared" si="70"/>
        <v>2</v>
      </c>
      <c r="J502" t="str">
        <f t="shared" si="71"/>
        <v>N-VA</v>
      </c>
      <c r="K502">
        <v>2259</v>
      </c>
      <c r="L502">
        <v>2638</v>
      </c>
      <c r="M502">
        <v>4897</v>
      </c>
      <c r="N502">
        <v>4198</v>
      </c>
      <c r="O502">
        <v>6</v>
      </c>
      <c r="P502" t="str">
        <f>("18")</f>
        <v>18</v>
      </c>
      <c r="Q502" t="str">
        <f>("GOESAERT Romain")</f>
        <v>GOESAERT Romain</v>
      </c>
      <c r="R502">
        <v>109</v>
      </c>
      <c r="S502" t="s">
        <v>44</v>
      </c>
      <c r="T502">
        <v>0</v>
      </c>
      <c r="V502">
        <v>16</v>
      </c>
      <c r="W502">
        <v>109</v>
      </c>
      <c r="X502">
        <v>0</v>
      </c>
    </row>
    <row r="503" spans="1:24" x14ac:dyDescent="0.35">
      <c r="A503" t="s">
        <v>8</v>
      </c>
      <c r="B503" t="s">
        <v>9</v>
      </c>
      <c r="C503" t="str">
        <f t="shared" si="72"/>
        <v>11242</v>
      </c>
      <c r="D503" t="s">
        <v>13</v>
      </c>
      <c r="E503" t="str">
        <f t="shared" si="73"/>
        <v>25</v>
      </c>
      <c r="F503">
        <v>26591</v>
      </c>
      <c r="G503">
        <v>23853</v>
      </c>
      <c r="H503">
        <v>983</v>
      </c>
      <c r="I503" t="str">
        <f t="shared" si="70"/>
        <v>2</v>
      </c>
      <c r="J503" t="str">
        <f t="shared" si="71"/>
        <v>N-VA</v>
      </c>
      <c r="K503">
        <v>2259</v>
      </c>
      <c r="L503">
        <v>2638</v>
      </c>
      <c r="M503">
        <v>4897</v>
      </c>
      <c r="N503">
        <v>4198</v>
      </c>
      <c r="O503">
        <v>6</v>
      </c>
      <c r="P503" t="str">
        <f>("19")</f>
        <v>19</v>
      </c>
      <c r="Q503" t="str">
        <f>("DE BACKER Mieke")</f>
        <v>DE BACKER Mieke</v>
      </c>
      <c r="R503">
        <v>133</v>
      </c>
      <c r="S503" t="s">
        <v>44</v>
      </c>
      <c r="T503">
        <v>0</v>
      </c>
      <c r="V503">
        <v>7</v>
      </c>
      <c r="W503">
        <v>133</v>
      </c>
      <c r="X503">
        <v>0</v>
      </c>
    </row>
    <row r="504" spans="1:24" x14ac:dyDescent="0.35">
      <c r="A504" t="s">
        <v>8</v>
      </c>
      <c r="B504" t="s">
        <v>9</v>
      </c>
      <c r="C504" t="str">
        <f t="shared" si="72"/>
        <v>11242</v>
      </c>
      <c r="D504" t="s">
        <v>13</v>
      </c>
      <c r="E504" t="str">
        <f t="shared" si="73"/>
        <v>25</v>
      </c>
      <c r="F504">
        <v>26591</v>
      </c>
      <c r="G504">
        <v>23853</v>
      </c>
      <c r="H504">
        <v>983</v>
      </c>
      <c r="I504" t="str">
        <f t="shared" si="70"/>
        <v>2</v>
      </c>
      <c r="J504" t="str">
        <f t="shared" si="71"/>
        <v>N-VA</v>
      </c>
      <c r="K504">
        <v>2259</v>
      </c>
      <c r="L504">
        <v>2638</v>
      </c>
      <c r="M504">
        <v>4897</v>
      </c>
      <c r="N504">
        <v>4198</v>
      </c>
      <c r="O504">
        <v>6</v>
      </c>
      <c r="P504" t="str">
        <f>("20")</f>
        <v>20</v>
      </c>
      <c r="Q504" t="str">
        <f>("HEIREMANS Hendrik")</f>
        <v>HEIREMANS Hendrik</v>
      </c>
      <c r="R504">
        <v>139</v>
      </c>
      <c r="S504" t="s">
        <v>44</v>
      </c>
      <c r="T504">
        <v>0</v>
      </c>
      <c r="V504">
        <v>5</v>
      </c>
      <c r="W504">
        <v>139</v>
      </c>
      <c r="X504">
        <v>0</v>
      </c>
    </row>
    <row r="505" spans="1:24" x14ac:dyDescent="0.35">
      <c r="A505" t="s">
        <v>8</v>
      </c>
      <c r="B505" t="s">
        <v>9</v>
      </c>
      <c r="C505" t="str">
        <f t="shared" si="72"/>
        <v>11242</v>
      </c>
      <c r="D505" t="s">
        <v>13</v>
      </c>
      <c r="E505" t="str">
        <f t="shared" si="73"/>
        <v>25</v>
      </c>
      <c r="F505">
        <v>26591</v>
      </c>
      <c r="G505">
        <v>23853</v>
      </c>
      <c r="H505">
        <v>983</v>
      </c>
      <c r="I505" t="str">
        <f t="shared" si="70"/>
        <v>2</v>
      </c>
      <c r="J505" t="str">
        <f t="shared" si="71"/>
        <v>N-VA</v>
      </c>
      <c r="K505">
        <v>2259</v>
      </c>
      <c r="L505">
        <v>2638</v>
      </c>
      <c r="M505">
        <v>4897</v>
      </c>
      <c r="N505">
        <v>4198</v>
      </c>
      <c r="O505">
        <v>6</v>
      </c>
      <c r="P505" t="str">
        <f>("21")</f>
        <v>21</v>
      </c>
      <c r="Q505" t="str">
        <f>("DEMUYNCK Lily")</f>
        <v>DEMUYNCK Lily</v>
      </c>
      <c r="R505">
        <v>96</v>
      </c>
      <c r="S505" t="s">
        <v>44</v>
      </c>
      <c r="T505">
        <v>0</v>
      </c>
      <c r="V505">
        <v>17</v>
      </c>
      <c r="W505">
        <v>96</v>
      </c>
      <c r="X505">
        <v>0</v>
      </c>
    </row>
    <row r="506" spans="1:24" x14ac:dyDescent="0.35">
      <c r="A506" t="s">
        <v>8</v>
      </c>
      <c r="B506" t="s">
        <v>9</v>
      </c>
      <c r="C506" t="str">
        <f t="shared" si="72"/>
        <v>11242</v>
      </c>
      <c r="D506" t="s">
        <v>13</v>
      </c>
      <c r="E506" t="str">
        <f t="shared" si="73"/>
        <v>25</v>
      </c>
      <c r="F506">
        <v>26591</v>
      </c>
      <c r="G506">
        <v>23853</v>
      </c>
      <c r="H506">
        <v>983</v>
      </c>
      <c r="I506" t="str">
        <f t="shared" si="70"/>
        <v>2</v>
      </c>
      <c r="J506" t="str">
        <f t="shared" si="71"/>
        <v>N-VA</v>
      </c>
      <c r="K506">
        <v>2259</v>
      </c>
      <c r="L506">
        <v>2638</v>
      </c>
      <c r="M506">
        <v>4897</v>
      </c>
      <c r="N506">
        <v>4198</v>
      </c>
      <c r="O506">
        <v>6</v>
      </c>
      <c r="P506" t="str">
        <f>("22")</f>
        <v>22</v>
      </c>
      <c r="Q506" t="str">
        <f>("VAN DIERDONCK Arnold")</f>
        <v>VAN DIERDONCK Arnold</v>
      </c>
      <c r="R506">
        <v>96</v>
      </c>
      <c r="S506" t="s">
        <v>44</v>
      </c>
      <c r="T506">
        <v>0</v>
      </c>
      <c r="V506">
        <v>18</v>
      </c>
      <c r="W506">
        <v>96</v>
      </c>
      <c r="X506">
        <v>0</v>
      </c>
    </row>
    <row r="507" spans="1:24" x14ac:dyDescent="0.35">
      <c r="A507" t="s">
        <v>8</v>
      </c>
      <c r="B507" t="s">
        <v>9</v>
      </c>
      <c r="C507" t="str">
        <f t="shared" si="72"/>
        <v>11242</v>
      </c>
      <c r="D507" t="s">
        <v>13</v>
      </c>
      <c r="E507" t="str">
        <f t="shared" si="73"/>
        <v>25</v>
      </c>
      <c r="F507">
        <v>26591</v>
      </c>
      <c r="G507">
        <v>23853</v>
      </c>
      <c r="H507">
        <v>983</v>
      </c>
      <c r="I507" t="str">
        <f t="shared" si="70"/>
        <v>2</v>
      </c>
      <c r="J507" t="str">
        <f t="shared" si="71"/>
        <v>N-VA</v>
      </c>
      <c r="K507">
        <v>2259</v>
      </c>
      <c r="L507">
        <v>2638</v>
      </c>
      <c r="M507">
        <v>4897</v>
      </c>
      <c r="N507">
        <v>4198</v>
      </c>
      <c r="O507">
        <v>6</v>
      </c>
      <c r="P507" t="str">
        <f>("23")</f>
        <v>23</v>
      </c>
      <c r="Q507" t="str">
        <f>("PROVOST Sebastiaan")</f>
        <v>PROVOST Sebastiaan</v>
      </c>
      <c r="R507">
        <v>90</v>
      </c>
      <c r="S507" t="s">
        <v>44</v>
      </c>
      <c r="T507">
        <v>0</v>
      </c>
      <c r="V507">
        <v>19</v>
      </c>
      <c r="W507">
        <v>90</v>
      </c>
      <c r="X507">
        <v>0</v>
      </c>
    </row>
    <row r="508" spans="1:24" x14ac:dyDescent="0.35">
      <c r="A508" t="s">
        <v>8</v>
      </c>
      <c r="B508" t="s">
        <v>9</v>
      </c>
      <c r="C508" t="str">
        <f t="shared" si="72"/>
        <v>11242</v>
      </c>
      <c r="D508" t="s">
        <v>13</v>
      </c>
      <c r="E508" t="str">
        <f t="shared" si="73"/>
        <v>25</v>
      </c>
      <c r="F508">
        <v>26591</v>
      </c>
      <c r="G508">
        <v>23853</v>
      </c>
      <c r="H508">
        <v>983</v>
      </c>
      <c r="I508" t="str">
        <f t="shared" si="70"/>
        <v>2</v>
      </c>
      <c r="J508" t="str">
        <f t="shared" si="71"/>
        <v>N-VA</v>
      </c>
      <c r="K508">
        <v>2259</v>
      </c>
      <c r="L508">
        <v>2638</v>
      </c>
      <c r="M508">
        <v>4897</v>
      </c>
      <c r="N508">
        <v>4198</v>
      </c>
      <c r="O508">
        <v>6</v>
      </c>
      <c r="P508" t="str">
        <f>("24")</f>
        <v>24</v>
      </c>
      <c r="Q508" t="str">
        <f>("CHOUKRI Sadia")</f>
        <v>CHOUKRI Sadia</v>
      </c>
      <c r="R508">
        <v>132</v>
      </c>
      <c r="S508" t="s">
        <v>44</v>
      </c>
      <c r="T508">
        <v>0</v>
      </c>
      <c r="V508">
        <v>8</v>
      </c>
      <c r="W508">
        <v>132</v>
      </c>
      <c r="X508">
        <v>0</v>
      </c>
    </row>
    <row r="509" spans="1:24" x14ac:dyDescent="0.35">
      <c r="A509" t="s">
        <v>8</v>
      </c>
      <c r="B509" t="s">
        <v>9</v>
      </c>
      <c r="C509" t="str">
        <f t="shared" si="72"/>
        <v>11242</v>
      </c>
      <c r="D509" t="s">
        <v>13</v>
      </c>
      <c r="E509" t="str">
        <f t="shared" si="73"/>
        <v>25</v>
      </c>
      <c r="F509">
        <v>26591</v>
      </c>
      <c r="G509">
        <v>23853</v>
      </c>
      <c r="H509">
        <v>983</v>
      </c>
      <c r="I509" t="str">
        <f t="shared" si="70"/>
        <v>2</v>
      </c>
      <c r="J509" t="str">
        <f t="shared" si="71"/>
        <v>N-VA</v>
      </c>
      <c r="K509">
        <v>2259</v>
      </c>
      <c r="L509">
        <v>2638</v>
      </c>
      <c r="M509">
        <v>4897</v>
      </c>
      <c r="N509">
        <v>4198</v>
      </c>
      <c r="O509">
        <v>6</v>
      </c>
      <c r="P509" t="str">
        <f>("25")</f>
        <v>25</v>
      </c>
      <c r="Q509" t="str">
        <f>("VAN DEN ABBEELE Patrick")</f>
        <v>VAN DEN ABBEELE Patrick</v>
      </c>
      <c r="R509">
        <v>293</v>
      </c>
      <c r="S509">
        <v>293</v>
      </c>
      <c r="T509">
        <v>0</v>
      </c>
      <c r="U509">
        <v>4</v>
      </c>
    </row>
    <row r="510" spans="1:24" x14ac:dyDescent="0.35">
      <c r="A510" t="s">
        <v>8</v>
      </c>
      <c r="B510" t="s">
        <v>9</v>
      </c>
      <c r="C510" t="str">
        <f t="shared" si="72"/>
        <v>11242</v>
      </c>
      <c r="D510" t="s">
        <v>13</v>
      </c>
      <c r="E510" t="str">
        <f t="shared" si="73"/>
        <v>25</v>
      </c>
      <c r="F510">
        <v>26591</v>
      </c>
      <c r="G510">
        <v>23853</v>
      </c>
      <c r="H510">
        <v>983</v>
      </c>
      <c r="I510" t="str">
        <f t="shared" ref="I510:I534" si="74">("3")</f>
        <v>3</v>
      </c>
      <c r="J510" t="str">
        <f t="shared" ref="J510:J534" si="75">("CD&amp;V")</f>
        <v>CD&amp;V</v>
      </c>
      <c r="K510">
        <v>402</v>
      </c>
      <c r="L510">
        <v>1128</v>
      </c>
      <c r="M510">
        <v>1530</v>
      </c>
      <c r="N510">
        <v>765</v>
      </c>
      <c r="O510">
        <v>1</v>
      </c>
      <c r="P510" t="str">
        <f>("1")</f>
        <v>1</v>
      </c>
      <c r="Q510" t="str">
        <f>("ELIAS Olivier")</f>
        <v>ELIAS Olivier</v>
      </c>
      <c r="R510">
        <v>257</v>
      </c>
      <c r="S510">
        <v>391</v>
      </c>
      <c r="T510">
        <v>0</v>
      </c>
      <c r="U510">
        <v>1</v>
      </c>
    </row>
    <row r="511" spans="1:24" x14ac:dyDescent="0.35">
      <c r="A511" t="s">
        <v>8</v>
      </c>
      <c r="B511" t="s">
        <v>9</v>
      </c>
      <c r="C511" t="str">
        <f t="shared" si="72"/>
        <v>11242</v>
      </c>
      <c r="D511" t="s">
        <v>13</v>
      </c>
      <c r="E511" t="str">
        <f t="shared" si="73"/>
        <v>25</v>
      </c>
      <c r="F511">
        <v>26591</v>
      </c>
      <c r="G511">
        <v>23853</v>
      </c>
      <c r="H511">
        <v>983</v>
      </c>
      <c r="I511" t="str">
        <f t="shared" si="74"/>
        <v>3</v>
      </c>
      <c r="J511" t="str">
        <f t="shared" si="75"/>
        <v>CD&amp;V</v>
      </c>
      <c r="K511">
        <v>402</v>
      </c>
      <c r="L511">
        <v>1128</v>
      </c>
      <c r="M511">
        <v>1530</v>
      </c>
      <c r="N511">
        <v>765</v>
      </c>
      <c r="O511">
        <v>1</v>
      </c>
      <c r="P511" t="str">
        <f>("2")</f>
        <v>2</v>
      </c>
      <c r="Q511" t="str">
        <f>("SHARMA Lila")</f>
        <v>SHARMA Lila</v>
      </c>
      <c r="R511">
        <v>106</v>
      </c>
      <c r="S511" t="s">
        <v>44</v>
      </c>
      <c r="T511">
        <v>0</v>
      </c>
      <c r="V511">
        <v>2</v>
      </c>
      <c r="W511">
        <v>240</v>
      </c>
      <c r="X511">
        <v>0</v>
      </c>
    </row>
    <row r="512" spans="1:24" x14ac:dyDescent="0.35">
      <c r="A512" t="s">
        <v>8</v>
      </c>
      <c r="B512" t="s">
        <v>9</v>
      </c>
      <c r="C512" t="str">
        <f t="shared" si="72"/>
        <v>11242</v>
      </c>
      <c r="D512" t="s">
        <v>13</v>
      </c>
      <c r="E512" t="str">
        <f t="shared" si="73"/>
        <v>25</v>
      </c>
      <c r="F512">
        <v>26591</v>
      </c>
      <c r="G512">
        <v>23853</v>
      </c>
      <c r="H512">
        <v>983</v>
      </c>
      <c r="I512" t="str">
        <f t="shared" si="74"/>
        <v>3</v>
      </c>
      <c r="J512" t="str">
        <f t="shared" si="75"/>
        <v>CD&amp;V</v>
      </c>
      <c r="K512">
        <v>402</v>
      </c>
      <c r="L512">
        <v>1128</v>
      </c>
      <c r="M512">
        <v>1530</v>
      </c>
      <c r="N512">
        <v>765</v>
      </c>
      <c r="O512">
        <v>1</v>
      </c>
      <c r="P512" t="str">
        <f>("3")</f>
        <v>3</v>
      </c>
      <c r="Q512" t="str">
        <f>("AMRANI Soufiane")</f>
        <v>AMRANI Soufiane</v>
      </c>
      <c r="R512">
        <v>235</v>
      </c>
      <c r="S512" t="s">
        <v>44</v>
      </c>
      <c r="T512">
        <v>0</v>
      </c>
      <c r="V512">
        <v>3</v>
      </c>
      <c r="W512">
        <v>235</v>
      </c>
      <c r="X512">
        <v>0</v>
      </c>
    </row>
    <row r="513" spans="1:24" x14ac:dyDescent="0.35">
      <c r="A513" t="s">
        <v>8</v>
      </c>
      <c r="B513" t="s">
        <v>9</v>
      </c>
      <c r="C513" t="str">
        <f t="shared" si="72"/>
        <v>11242</v>
      </c>
      <c r="D513" t="s">
        <v>13</v>
      </c>
      <c r="E513" t="str">
        <f t="shared" si="73"/>
        <v>25</v>
      </c>
      <c r="F513">
        <v>26591</v>
      </c>
      <c r="G513">
        <v>23853</v>
      </c>
      <c r="H513">
        <v>983</v>
      </c>
      <c r="I513" t="str">
        <f t="shared" si="74"/>
        <v>3</v>
      </c>
      <c r="J513" t="str">
        <f t="shared" si="75"/>
        <v>CD&amp;V</v>
      </c>
      <c r="K513">
        <v>402</v>
      </c>
      <c r="L513">
        <v>1128</v>
      </c>
      <c r="M513">
        <v>1530</v>
      </c>
      <c r="N513">
        <v>765</v>
      </c>
      <c r="O513">
        <v>1</v>
      </c>
      <c r="P513" t="str">
        <f>("4")</f>
        <v>4</v>
      </c>
      <c r="Q513" t="str">
        <f>("MADOU Linda")</f>
        <v>MADOU Linda</v>
      </c>
      <c r="R513">
        <v>59</v>
      </c>
      <c r="S513" t="s">
        <v>44</v>
      </c>
      <c r="T513">
        <v>0</v>
      </c>
      <c r="V513">
        <v>8</v>
      </c>
      <c r="W513">
        <v>59</v>
      </c>
      <c r="X513">
        <v>0</v>
      </c>
    </row>
    <row r="514" spans="1:24" x14ac:dyDescent="0.35">
      <c r="A514" t="s">
        <v>8</v>
      </c>
      <c r="B514" t="s">
        <v>9</v>
      </c>
      <c r="C514" t="str">
        <f t="shared" si="72"/>
        <v>11242</v>
      </c>
      <c r="D514" t="s">
        <v>13</v>
      </c>
      <c r="E514" t="str">
        <f t="shared" si="73"/>
        <v>25</v>
      </c>
      <c r="F514">
        <v>26591</v>
      </c>
      <c r="G514">
        <v>23853</v>
      </c>
      <c r="H514">
        <v>983</v>
      </c>
      <c r="I514" t="str">
        <f t="shared" si="74"/>
        <v>3</v>
      </c>
      <c r="J514" t="str">
        <f t="shared" si="75"/>
        <v>CD&amp;V</v>
      </c>
      <c r="K514">
        <v>402</v>
      </c>
      <c r="L514">
        <v>1128</v>
      </c>
      <c r="M514">
        <v>1530</v>
      </c>
      <c r="N514">
        <v>765</v>
      </c>
      <c r="O514">
        <v>1</v>
      </c>
      <c r="P514" t="str">
        <f>("5")</f>
        <v>5</v>
      </c>
      <c r="Q514" t="str">
        <f>("DE RIJCK Wilfried")</f>
        <v>DE RIJCK Wilfried</v>
      </c>
      <c r="R514">
        <v>53</v>
      </c>
      <c r="S514" t="s">
        <v>44</v>
      </c>
      <c r="T514">
        <v>0</v>
      </c>
      <c r="V514">
        <v>9</v>
      </c>
      <c r="W514">
        <v>53</v>
      </c>
      <c r="X514">
        <v>0</v>
      </c>
    </row>
    <row r="515" spans="1:24" x14ac:dyDescent="0.35">
      <c r="A515" t="s">
        <v>8</v>
      </c>
      <c r="B515" t="s">
        <v>9</v>
      </c>
      <c r="C515" t="str">
        <f t="shared" si="72"/>
        <v>11242</v>
      </c>
      <c r="D515" t="s">
        <v>13</v>
      </c>
      <c r="E515" t="str">
        <f t="shared" si="73"/>
        <v>25</v>
      </c>
      <c r="F515">
        <v>26591</v>
      </c>
      <c r="G515">
        <v>23853</v>
      </c>
      <c r="H515">
        <v>983</v>
      </c>
      <c r="I515" t="str">
        <f t="shared" si="74"/>
        <v>3</v>
      </c>
      <c r="J515" t="str">
        <f t="shared" si="75"/>
        <v>CD&amp;V</v>
      </c>
      <c r="K515">
        <v>402</v>
      </c>
      <c r="L515">
        <v>1128</v>
      </c>
      <c r="M515">
        <v>1530</v>
      </c>
      <c r="N515">
        <v>765</v>
      </c>
      <c r="O515">
        <v>1</v>
      </c>
      <c r="P515" t="str">
        <f>("6")</f>
        <v>6</v>
      </c>
      <c r="Q515" t="str">
        <f>("LION Anna")</f>
        <v>LION Anna</v>
      </c>
      <c r="R515">
        <v>44</v>
      </c>
      <c r="S515" t="s">
        <v>44</v>
      </c>
      <c r="T515">
        <v>0</v>
      </c>
      <c r="V515">
        <v>12</v>
      </c>
      <c r="W515">
        <v>44</v>
      </c>
      <c r="X515">
        <v>0</v>
      </c>
    </row>
    <row r="516" spans="1:24" x14ac:dyDescent="0.35">
      <c r="A516" t="s">
        <v>8</v>
      </c>
      <c r="B516" t="s">
        <v>9</v>
      </c>
      <c r="C516" t="str">
        <f t="shared" si="72"/>
        <v>11242</v>
      </c>
      <c r="D516" t="s">
        <v>13</v>
      </c>
      <c r="E516" t="str">
        <f t="shared" si="73"/>
        <v>25</v>
      </c>
      <c r="F516">
        <v>26591</v>
      </c>
      <c r="G516">
        <v>23853</v>
      </c>
      <c r="H516">
        <v>983</v>
      </c>
      <c r="I516" t="str">
        <f t="shared" si="74"/>
        <v>3</v>
      </c>
      <c r="J516" t="str">
        <f t="shared" si="75"/>
        <v>CD&amp;V</v>
      </c>
      <c r="K516">
        <v>402</v>
      </c>
      <c r="L516">
        <v>1128</v>
      </c>
      <c r="M516">
        <v>1530</v>
      </c>
      <c r="N516">
        <v>765</v>
      </c>
      <c r="O516">
        <v>1</v>
      </c>
      <c r="P516" t="str">
        <f>("7")</f>
        <v>7</v>
      </c>
      <c r="Q516" t="str">
        <f>("MATONDO Kua")</f>
        <v>MATONDO Kua</v>
      </c>
      <c r="R516">
        <v>39</v>
      </c>
      <c r="S516" t="s">
        <v>44</v>
      </c>
      <c r="T516">
        <v>0</v>
      </c>
      <c r="V516">
        <v>15</v>
      </c>
      <c r="W516">
        <v>39</v>
      </c>
      <c r="X516">
        <v>0</v>
      </c>
    </row>
    <row r="517" spans="1:24" x14ac:dyDescent="0.35">
      <c r="A517" t="s">
        <v>8</v>
      </c>
      <c r="B517" t="s">
        <v>9</v>
      </c>
      <c r="C517" t="str">
        <f t="shared" si="72"/>
        <v>11242</v>
      </c>
      <c r="D517" t="s">
        <v>13</v>
      </c>
      <c r="E517" t="str">
        <f t="shared" si="73"/>
        <v>25</v>
      </c>
      <c r="F517">
        <v>26591</v>
      </c>
      <c r="G517">
        <v>23853</v>
      </c>
      <c r="H517">
        <v>983</v>
      </c>
      <c r="I517" t="str">
        <f t="shared" si="74"/>
        <v>3</v>
      </c>
      <c r="J517" t="str">
        <f t="shared" si="75"/>
        <v>CD&amp;V</v>
      </c>
      <c r="K517">
        <v>402</v>
      </c>
      <c r="L517">
        <v>1128</v>
      </c>
      <c r="M517">
        <v>1530</v>
      </c>
      <c r="N517">
        <v>765</v>
      </c>
      <c r="O517">
        <v>1</v>
      </c>
      <c r="P517" t="str">
        <f>("8")</f>
        <v>8</v>
      </c>
      <c r="Q517" t="str">
        <f>("NAVOYAN Ani")</f>
        <v>NAVOYAN Ani</v>
      </c>
      <c r="R517">
        <v>37</v>
      </c>
      <c r="S517" t="s">
        <v>44</v>
      </c>
      <c r="T517">
        <v>0</v>
      </c>
      <c r="V517">
        <v>17</v>
      </c>
      <c r="W517">
        <v>37</v>
      </c>
      <c r="X517">
        <v>0</v>
      </c>
    </row>
    <row r="518" spans="1:24" x14ac:dyDescent="0.35">
      <c r="A518" t="s">
        <v>8</v>
      </c>
      <c r="B518" t="s">
        <v>9</v>
      </c>
      <c r="C518" t="str">
        <f t="shared" si="72"/>
        <v>11242</v>
      </c>
      <c r="D518" t="s">
        <v>13</v>
      </c>
      <c r="E518" t="str">
        <f t="shared" si="73"/>
        <v>25</v>
      </c>
      <c r="F518">
        <v>26591</v>
      </c>
      <c r="G518">
        <v>23853</v>
      </c>
      <c r="H518">
        <v>983</v>
      </c>
      <c r="I518" t="str">
        <f t="shared" si="74"/>
        <v>3</v>
      </c>
      <c r="J518" t="str">
        <f t="shared" si="75"/>
        <v>CD&amp;V</v>
      </c>
      <c r="K518">
        <v>402</v>
      </c>
      <c r="L518">
        <v>1128</v>
      </c>
      <c r="M518">
        <v>1530</v>
      </c>
      <c r="N518">
        <v>765</v>
      </c>
      <c r="O518">
        <v>1</v>
      </c>
      <c r="P518" t="str">
        <f>("9")</f>
        <v>9</v>
      </c>
      <c r="Q518" t="str">
        <f>("JANSSENS Patrick")</f>
        <v>JANSSENS Patrick</v>
      </c>
      <c r="R518">
        <v>167</v>
      </c>
      <c r="S518" t="s">
        <v>44</v>
      </c>
      <c r="T518">
        <v>0</v>
      </c>
      <c r="V518">
        <v>4</v>
      </c>
      <c r="W518">
        <v>167</v>
      </c>
      <c r="X518">
        <v>0</v>
      </c>
    </row>
    <row r="519" spans="1:24" x14ac:dyDescent="0.35">
      <c r="A519" t="s">
        <v>8</v>
      </c>
      <c r="B519" t="s">
        <v>9</v>
      </c>
      <c r="C519" t="str">
        <f t="shared" si="72"/>
        <v>11242</v>
      </c>
      <c r="D519" t="s">
        <v>13</v>
      </c>
      <c r="E519" t="str">
        <f t="shared" si="73"/>
        <v>25</v>
      </c>
      <c r="F519">
        <v>26591</v>
      </c>
      <c r="G519">
        <v>23853</v>
      </c>
      <c r="H519">
        <v>983</v>
      </c>
      <c r="I519" t="str">
        <f t="shared" si="74"/>
        <v>3</v>
      </c>
      <c r="J519" t="str">
        <f t="shared" si="75"/>
        <v>CD&amp;V</v>
      </c>
      <c r="K519">
        <v>402</v>
      </c>
      <c r="L519">
        <v>1128</v>
      </c>
      <c r="M519">
        <v>1530</v>
      </c>
      <c r="N519">
        <v>765</v>
      </c>
      <c r="O519">
        <v>1</v>
      </c>
      <c r="P519" t="str">
        <f>("10")</f>
        <v>10</v>
      </c>
      <c r="Q519" t="str">
        <f>("CORNELISSEN Liesbeth")</f>
        <v>CORNELISSEN Liesbeth</v>
      </c>
      <c r="R519">
        <v>62</v>
      </c>
      <c r="S519" t="s">
        <v>44</v>
      </c>
      <c r="T519">
        <v>0</v>
      </c>
      <c r="V519">
        <v>7</v>
      </c>
      <c r="W519">
        <v>62</v>
      </c>
      <c r="X519">
        <v>0</v>
      </c>
    </row>
    <row r="520" spans="1:24" x14ac:dyDescent="0.35">
      <c r="A520" t="s">
        <v>8</v>
      </c>
      <c r="B520" t="s">
        <v>9</v>
      </c>
      <c r="C520" t="str">
        <f t="shared" si="72"/>
        <v>11242</v>
      </c>
      <c r="D520" t="s">
        <v>13</v>
      </c>
      <c r="E520" t="str">
        <f t="shared" si="73"/>
        <v>25</v>
      </c>
      <c r="F520">
        <v>26591</v>
      </c>
      <c r="G520">
        <v>23853</v>
      </c>
      <c r="H520">
        <v>983</v>
      </c>
      <c r="I520" t="str">
        <f t="shared" si="74"/>
        <v>3</v>
      </c>
      <c r="J520" t="str">
        <f t="shared" si="75"/>
        <v>CD&amp;V</v>
      </c>
      <c r="K520">
        <v>402</v>
      </c>
      <c r="L520">
        <v>1128</v>
      </c>
      <c r="M520">
        <v>1530</v>
      </c>
      <c r="N520">
        <v>765</v>
      </c>
      <c r="O520">
        <v>1</v>
      </c>
      <c r="P520" t="str">
        <f>("11")</f>
        <v>11</v>
      </c>
      <c r="Q520" t="str">
        <f>("FONTEYN Guido")</f>
        <v>FONTEYN Guido</v>
      </c>
      <c r="R520">
        <v>35</v>
      </c>
      <c r="S520" t="s">
        <v>44</v>
      </c>
      <c r="T520">
        <v>0</v>
      </c>
      <c r="V520">
        <v>18</v>
      </c>
      <c r="W520">
        <v>35</v>
      </c>
      <c r="X520">
        <v>0</v>
      </c>
    </row>
    <row r="521" spans="1:24" x14ac:dyDescent="0.35">
      <c r="A521" t="s">
        <v>8</v>
      </c>
      <c r="B521" t="s">
        <v>9</v>
      </c>
      <c r="C521" t="str">
        <f t="shared" si="72"/>
        <v>11242</v>
      </c>
      <c r="D521" t="s">
        <v>13</v>
      </c>
      <c r="E521" t="str">
        <f t="shared" si="73"/>
        <v>25</v>
      </c>
      <c r="F521">
        <v>26591</v>
      </c>
      <c r="G521">
        <v>23853</v>
      </c>
      <c r="H521">
        <v>983</v>
      </c>
      <c r="I521" t="str">
        <f t="shared" si="74"/>
        <v>3</v>
      </c>
      <c r="J521" t="str">
        <f t="shared" si="75"/>
        <v>CD&amp;V</v>
      </c>
      <c r="K521">
        <v>402</v>
      </c>
      <c r="L521">
        <v>1128</v>
      </c>
      <c r="M521">
        <v>1530</v>
      </c>
      <c r="N521">
        <v>765</v>
      </c>
      <c r="O521">
        <v>1</v>
      </c>
      <c r="P521" t="str">
        <f>("12")</f>
        <v>12</v>
      </c>
      <c r="Q521" t="str">
        <f>("BOULAFDAL Houria")</f>
        <v>BOULAFDAL Houria</v>
      </c>
      <c r="R521">
        <v>84</v>
      </c>
      <c r="S521" t="s">
        <v>44</v>
      </c>
      <c r="T521">
        <v>0</v>
      </c>
      <c r="V521">
        <v>5</v>
      </c>
      <c r="W521">
        <v>84</v>
      </c>
      <c r="X521">
        <v>0</v>
      </c>
    </row>
    <row r="522" spans="1:24" x14ac:dyDescent="0.35">
      <c r="A522" t="s">
        <v>8</v>
      </c>
      <c r="B522" t="s">
        <v>9</v>
      </c>
      <c r="C522" t="str">
        <f t="shared" si="72"/>
        <v>11242</v>
      </c>
      <c r="D522" t="s">
        <v>13</v>
      </c>
      <c r="E522" t="str">
        <f t="shared" si="73"/>
        <v>25</v>
      </c>
      <c r="F522">
        <v>26591</v>
      </c>
      <c r="G522">
        <v>23853</v>
      </c>
      <c r="H522">
        <v>983</v>
      </c>
      <c r="I522" t="str">
        <f t="shared" si="74"/>
        <v>3</v>
      </c>
      <c r="J522" t="str">
        <f t="shared" si="75"/>
        <v>CD&amp;V</v>
      </c>
      <c r="K522">
        <v>402</v>
      </c>
      <c r="L522">
        <v>1128</v>
      </c>
      <c r="M522">
        <v>1530</v>
      </c>
      <c r="N522">
        <v>765</v>
      </c>
      <c r="O522">
        <v>1</v>
      </c>
      <c r="P522" t="str">
        <f>("13")</f>
        <v>13</v>
      </c>
      <c r="Q522" t="str">
        <f>("CORNELISSEN Hugo")</f>
        <v>CORNELISSEN Hugo</v>
      </c>
      <c r="R522">
        <v>45</v>
      </c>
      <c r="S522" t="s">
        <v>44</v>
      </c>
      <c r="T522">
        <v>0</v>
      </c>
      <c r="V522">
        <v>11</v>
      </c>
      <c r="W522">
        <v>45</v>
      </c>
      <c r="X522">
        <v>0</v>
      </c>
    </row>
    <row r="523" spans="1:24" x14ac:dyDescent="0.35">
      <c r="A523" t="s">
        <v>8</v>
      </c>
      <c r="B523" t="s">
        <v>9</v>
      </c>
      <c r="C523" t="str">
        <f t="shared" si="72"/>
        <v>11242</v>
      </c>
      <c r="D523" t="s">
        <v>13</v>
      </c>
      <c r="E523" t="str">
        <f t="shared" si="73"/>
        <v>25</v>
      </c>
      <c r="F523">
        <v>26591</v>
      </c>
      <c r="G523">
        <v>23853</v>
      </c>
      <c r="H523">
        <v>983</v>
      </c>
      <c r="I523" t="str">
        <f t="shared" si="74"/>
        <v>3</v>
      </c>
      <c r="J523" t="str">
        <f t="shared" si="75"/>
        <v>CD&amp;V</v>
      </c>
      <c r="K523">
        <v>402</v>
      </c>
      <c r="L523">
        <v>1128</v>
      </c>
      <c r="M523">
        <v>1530</v>
      </c>
      <c r="N523">
        <v>765</v>
      </c>
      <c r="O523">
        <v>1</v>
      </c>
      <c r="P523" t="str">
        <f>("14")</f>
        <v>14</v>
      </c>
      <c r="Q523" t="str">
        <f>("DE VYLDER Daisy")</f>
        <v>DE VYLDER Daisy</v>
      </c>
      <c r="R523">
        <v>39</v>
      </c>
      <c r="S523" t="s">
        <v>44</v>
      </c>
      <c r="T523">
        <v>0</v>
      </c>
      <c r="V523">
        <v>16</v>
      </c>
      <c r="W523">
        <v>39</v>
      </c>
      <c r="X523">
        <v>0</v>
      </c>
    </row>
    <row r="524" spans="1:24" x14ac:dyDescent="0.35">
      <c r="A524" t="s">
        <v>8</v>
      </c>
      <c r="B524" t="s">
        <v>9</v>
      </c>
      <c r="C524" t="str">
        <f t="shared" ref="C524:C555" si="76">("11242")</f>
        <v>11242</v>
      </c>
      <c r="D524" t="s">
        <v>13</v>
      </c>
      <c r="E524" t="str">
        <f t="shared" ref="E524:E555" si="77">("25")</f>
        <v>25</v>
      </c>
      <c r="F524">
        <v>26591</v>
      </c>
      <c r="G524">
        <v>23853</v>
      </c>
      <c r="H524">
        <v>983</v>
      </c>
      <c r="I524" t="str">
        <f t="shared" si="74"/>
        <v>3</v>
      </c>
      <c r="J524" t="str">
        <f t="shared" si="75"/>
        <v>CD&amp;V</v>
      </c>
      <c r="K524">
        <v>402</v>
      </c>
      <c r="L524">
        <v>1128</v>
      </c>
      <c r="M524">
        <v>1530</v>
      </c>
      <c r="N524">
        <v>765</v>
      </c>
      <c r="O524">
        <v>1</v>
      </c>
      <c r="P524" t="str">
        <f>("15")</f>
        <v>15</v>
      </c>
      <c r="Q524" t="str">
        <f>("DEPREZ Florent")</f>
        <v>DEPREZ Florent</v>
      </c>
      <c r="R524">
        <v>29</v>
      </c>
      <c r="S524" t="s">
        <v>44</v>
      </c>
      <c r="T524">
        <v>0</v>
      </c>
      <c r="V524">
        <v>20</v>
      </c>
      <c r="W524">
        <v>29</v>
      </c>
      <c r="X524">
        <v>0</v>
      </c>
    </row>
    <row r="525" spans="1:24" x14ac:dyDescent="0.35">
      <c r="A525" t="s">
        <v>8</v>
      </c>
      <c r="B525" t="s">
        <v>9</v>
      </c>
      <c r="C525" t="str">
        <f t="shared" si="76"/>
        <v>11242</v>
      </c>
      <c r="D525" t="s">
        <v>13</v>
      </c>
      <c r="E525" t="str">
        <f t="shared" si="77"/>
        <v>25</v>
      </c>
      <c r="F525">
        <v>26591</v>
      </c>
      <c r="G525">
        <v>23853</v>
      </c>
      <c r="H525">
        <v>983</v>
      </c>
      <c r="I525" t="str">
        <f t="shared" si="74"/>
        <v>3</v>
      </c>
      <c r="J525" t="str">
        <f t="shared" si="75"/>
        <v>CD&amp;V</v>
      </c>
      <c r="K525">
        <v>402</v>
      </c>
      <c r="L525">
        <v>1128</v>
      </c>
      <c r="M525">
        <v>1530</v>
      </c>
      <c r="N525">
        <v>765</v>
      </c>
      <c r="O525">
        <v>1</v>
      </c>
      <c r="P525" t="str">
        <f>("16")</f>
        <v>16</v>
      </c>
      <c r="Q525" t="str">
        <f>("LARAKI Lamya")</f>
        <v>LARAKI Lamya</v>
      </c>
      <c r="R525">
        <v>51</v>
      </c>
      <c r="S525" t="s">
        <v>44</v>
      </c>
      <c r="T525">
        <v>0</v>
      </c>
      <c r="V525">
        <v>10</v>
      </c>
      <c r="W525">
        <v>51</v>
      </c>
      <c r="X525">
        <v>0</v>
      </c>
    </row>
    <row r="526" spans="1:24" x14ac:dyDescent="0.35">
      <c r="A526" t="s">
        <v>8</v>
      </c>
      <c r="B526" t="s">
        <v>9</v>
      </c>
      <c r="C526" t="str">
        <f t="shared" si="76"/>
        <v>11242</v>
      </c>
      <c r="D526" t="s">
        <v>13</v>
      </c>
      <c r="E526" t="str">
        <f t="shared" si="77"/>
        <v>25</v>
      </c>
      <c r="F526">
        <v>26591</v>
      </c>
      <c r="G526">
        <v>23853</v>
      </c>
      <c r="H526">
        <v>983</v>
      </c>
      <c r="I526" t="str">
        <f t="shared" si="74"/>
        <v>3</v>
      </c>
      <c r="J526" t="str">
        <f t="shared" si="75"/>
        <v>CD&amp;V</v>
      </c>
      <c r="K526">
        <v>402</v>
      </c>
      <c r="L526">
        <v>1128</v>
      </c>
      <c r="M526">
        <v>1530</v>
      </c>
      <c r="N526">
        <v>765</v>
      </c>
      <c r="O526">
        <v>1</v>
      </c>
      <c r="P526" t="str">
        <f>("17")</f>
        <v>17</v>
      </c>
      <c r="Q526" t="str">
        <f>("RIGAUX Jeroen")</f>
        <v>RIGAUX Jeroen</v>
      </c>
      <c r="R526">
        <v>17</v>
      </c>
      <c r="S526" t="s">
        <v>44</v>
      </c>
      <c r="T526">
        <v>0</v>
      </c>
      <c r="V526">
        <v>24</v>
      </c>
      <c r="W526">
        <v>17</v>
      </c>
      <c r="X526">
        <v>0</v>
      </c>
    </row>
    <row r="527" spans="1:24" x14ac:dyDescent="0.35">
      <c r="A527" t="s">
        <v>8</v>
      </c>
      <c r="B527" t="s">
        <v>9</v>
      </c>
      <c r="C527" t="str">
        <f t="shared" si="76"/>
        <v>11242</v>
      </c>
      <c r="D527" t="s">
        <v>13</v>
      </c>
      <c r="E527" t="str">
        <f t="shared" si="77"/>
        <v>25</v>
      </c>
      <c r="F527">
        <v>26591</v>
      </c>
      <c r="G527">
        <v>23853</v>
      </c>
      <c r="H527">
        <v>983</v>
      </c>
      <c r="I527" t="str">
        <f t="shared" si="74"/>
        <v>3</v>
      </c>
      <c r="J527" t="str">
        <f t="shared" si="75"/>
        <v>CD&amp;V</v>
      </c>
      <c r="K527">
        <v>402</v>
      </c>
      <c r="L527">
        <v>1128</v>
      </c>
      <c r="M527">
        <v>1530</v>
      </c>
      <c r="N527">
        <v>765</v>
      </c>
      <c r="O527">
        <v>1</v>
      </c>
      <c r="P527" t="str">
        <f>("18")</f>
        <v>18</v>
      </c>
      <c r="Q527" t="str">
        <f>("BRENDERS Rita")</f>
        <v>BRENDERS Rita</v>
      </c>
      <c r="R527">
        <v>40</v>
      </c>
      <c r="S527" t="s">
        <v>44</v>
      </c>
      <c r="T527">
        <v>0</v>
      </c>
      <c r="V527">
        <v>14</v>
      </c>
      <c r="W527">
        <v>40</v>
      </c>
      <c r="X527">
        <v>0</v>
      </c>
    </row>
    <row r="528" spans="1:24" x14ac:dyDescent="0.35">
      <c r="A528" t="s">
        <v>8</v>
      </c>
      <c r="B528" t="s">
        <v>9</v>
      </c>
      <c r="C528" t="str">
        <f t="shared" si="76"/>
        <v>11242</v>
      </c>
      <c r="D528" t="s">
        <v>13</v>
      </c>
      <c r="E528" t="str">
        <f t="shared" si="77"/>
        <v>25</v>
      </c>
      <c r="F528">
        <v>26591</v>
      </c>
      <c r="G528">
        <v>23853</v>
      </c>
      <c r="H528">
        <v>983</v>
      </c>
      <c r="I528" t="str">
        <f t="shared" si="74"/>
        <v>3</v>
      </c>
      <c r="J528" t="str">
        <f t="shared" si="75"/>
        <v>CD&amp;V</v>
      </c>
      <c r="K528">
        <v>402</v>
      </c>
      <c r="L528">
        <v>1128</v>
      </c>
      <c r="M528">
        <v>1530</v>
      </c>
      <c r="N528">
        <v>765</v>
      </c>
      <c r="O528">
        <v>1</v>
      </c>
      <c r="P528" t="str">
        <f>("19")</f>
        <v>19</v>
      </c>
      <c r="Q528" t="str">
        <f>("SETTI Brahim")</f>
        <v>SETTI Brahim</v>
      </c>
      <c r="R528">
        <v>43</v>
      </c>
      <c r="S528" t="s">
        <v>44</v>
      </c>
      <c r="T528">
        <v>0</v>
      </c>
      <c r="V528">
        <v>13</v>
      </c>
      <c r="W528">
        <v>43</v>
      </c>
      <c r="X528">
        <v>0</v>
      </c>
    </row>
    <row r="529" spans="1:24" x14ac:dyDescent="0.35">
      <c r="A529" t="s">
        <v>8</v>
      </c>
      <c r="B529" t="s">
        <v>9</v>
      </c>
      <c r="C529" t="str">
        <f t="shared" si="76"/>
        <v>11242</v>
      </c>
      <c r="D529" t="s">
        <v>13</v>
      </c>
      <c r="E529" t="str">
        <f t="shared" si="77"/>
        <v>25</v>
      </c>
      <c r="F529">
        <v>26591</v>
      </c>
      <c r="G529">
        <v>23853</v>
      </c>
      <c r="H529">
        <v>983</v>
      </c>
      <c r="I529" t="str">
        <f t="shared" si="74"/>
        <v>3</v>
      </c>
      <c r="J529" t="str">
        <f t="shared" si="75"/>
        <v>CD&amp;V</v>
      </c>
      <c r="K529">
        <v>402</v>
      </c>
      <c r="L529">
        <v>1128</v>
      </c>
      <c r="M529">
        <v>1530</v>
      </c>
      <c r="N529">
        <v>765</v>
      </c>
      <c r="O529">
        <v>1</v>
      </c>
      <c r="P529" t="str">
        <f>("20")</f>
        <v>20</v>
      </c>
      <c r="Q529" t="str">
        <f>("MADOU Sonja")</f>
        <v>MADOU Sonja</v>
      </c>
      <c r="R529">
        <v>30</v>
      </c>
      <c r="S529" t="s">
        <v>44</v>
      </c>
      <c r="T529">
        <v>0</v>
      </c>
      <c r="V529">
        <v>19</v>
      </c>
      <c r="W529">
        <v>30</v>
      </c>
      <c r="X529">
        <v>0</v>
      </c>
    </row>
    <row r="530" spans="1:24" x14ac:dyDescent="0.35">
      <c r="A530" t="s">
        <v>8</v>
      </c>
      <c r="B530" t="s">
        <v>9</v>
      </c>
      <c r="C530" t="str">
        <f t="shared" si="76"/>
        <v>11242</v>
      </c>
      <c r="D530" t="s">
        <v>13</v>
      </c>
      <c r="E530" t="str">
        <f t="shared" si="77"/>
        <v>25</v>
      </c>
      <c r="F530">
        <v>26591</v>
      </c>
      <c r="G530">
        <v>23853</v>
      </c>
      <c r="H530">
        <v>983</v>
      </c>
      <c r="I530" t="str">
        <f t="shared" si="74"/>
        <v>3</v>
      </c>
      <c r="J530" t="str">
        <f t="shared" si="75"/>
        <v>CD&amp;V</v>
      </c>
      <c r="K530">
        <v>402</v>
      </c>
      <c r="L530">
        <v>1128</v>
      </c>
      <c r="M530">
        <v>1530</v>
      </c>
      <c r="N530">
        <v>765</v>
      </c>
      <c r="O530">
        <v>1</v>
      </c>
      <c r="P530" t="str">
        <f>("21")</f>
        <v>21</v>
      </c>
      <c r="Q530" t="str">
        <f>("BARHDADI Abdelkrim")</f>
        <v>BARHDADI Abdelkrim</v>
      </c>
      <c r="R530">
        <v>73</v>
      </c>
      <c r="S530" t="s">
        <v>44</v>
      </c>
      <c r="T530">
        <v>0</v>
      </c>
      <c r="V530">
        <v>6</v>
      </c>
      <c r="W530">
        <v>73</v>
      </c>
      <c r="X530">
        <v>0</v>
      </c>
    </row>
    <row r="531" spans="1:24" x14ac:dyDescent="0.35">
      <c r="A531" t="s">
        <v>8</v>
      </c>
      <c r="B531" t="s">
        <v>9</v>
      </c>
      <c r="C531" t="str">
        <f t="shared" si="76"/>
        <v>11242</v>
      </c>
      <c r="D531" t="s">
        <v>13</v>
      </c>
      <c r="E531" t="str">
        <f t="shared" si="77"/>
        <v>25</v>
      </c>
      <c r="F531">
        <v>26591</v>
      </c>
      <c r="G531">
        <v>23853</v>
      </c>
      <c r="H531">
        <v>983</v>
      </c>
      <c r="I531" t="str">
        <f t="shared" si="74"/>
        <v>3</v>
      </c>
      <c r="J531" t="str">
        <f t="shared" si="75"/>
        <v>CD&amp;V</v>
      </c>
      <c r="K531">
        <v>402</v>
      </c>
      <c r="L531">
        <v>1128</v>
      </c>
      <c r="M531">
        <v>1530</v>
      </c>
      <c r="N531">
        <v>765</v>
      </c>
      <c r="O531">
        <v>1</v>
      </c>
      <c r="P531" t="str">
        <f>("22")</f>
        <v>22</v>
      </c>
      <c r="Q531" t="str">
        <f>("AERTS Matty")</f>
        <v>AERTS Matty</v>
      </c>
      <c r="R531">
        <v>26</v>
      </c>
      <c r="S531" t="s">
        <v>44</v>
      </c>
      <c r="T531">
        <v>0</v>
      </c>
      <c r="V531">
        <v>21</v>
      </c>
      <c r="W531">
        <v>26</v>
      </c>
      <c r="X531">
        <v>0</v>
      </c>
    </row>
    <row r="532" spans="1:24" x14ac:dyDescent="0.35">
      <c r="A532" t="s">
        <v>8</v>
      </c>
      <c r="B532" t="s">
        <v>9</v>
      </c>
      <c r="C532" t="str">
        <f t="shared" si="76"/>
        <v>11242</v>
      </c>
      <c r="D532" t="s">
        <v>13</v>
      </c>
      <c r="E532" t="str">
        <f t="shared" si="77"/>
        <v>25</v>
      </c>
      <c r="F532">
        <v>26591</v>
      </c>
      <c r="G532">
        <v>23853</v>
      </c>
      <c r="H532">
        <v>983</v>
      </c>
      <c r="I532" t="str">
        <f t="shared" si="74"/>
        <v>3</v>
      </c>
      <c r="J532" t="str">
        <f t="shared" si="75"/>
        <v>CD&amp;V</v>
      </c>
      <c r="K532">
        <v>402</v>
      </c>
      <c r="L532">
        <v>1128</v>
      </c>
      <c r="M532">
        <v>1530</v>
      </c>
      <c r="N532">
        <v>765</v>
      </c>
      <c r="O532">
        <v>1</v>
      </c>
      <c r="P532" t="str">
        <f>("23")</f>
        <v>23</v>
      </c>
      <c r="Q532" t="str">
        <f>("LY Rama")</f>
        <v>LY Rama</v>
      </c>
      <c r="R532">
        <v>23</v>
      </c>
      <c r="S532" t="s">
        <v>44</v>
      </c>
      <c r="T532">
        <v>0</v>
      </c>
      <c r="V532">
        <v>23</v>
      </c>
      <c r="W532">
        <v>23</v>
      </c>
      <c r="X532">
        <v>0</v>
      </c>
    </row>
    <row r="533" spans="1:24" x14ac:dyDescent="0.35">
      <c r="A533" t="s">
        <v>8</v>
      </c>
      <c r="B533" t="s">
        <v>9</v>
      </c>
      <c r="C533" t="str">
        <f t="shared" si="76"/>
        <v>11242</v>
      </c>
      <c r="D533" t="s">
        <v>13</v>
      </c>
      <c r="E533" t="str">
        <f t="shared" si="77"/>
        <v>25</v>
      </c>
      <c r="F533">
        <v>26591</v>
      </c>
      <c r="G533">
        <v>23853</v>
      </c>
      <c r="H533">
        <v>983</v>
      </c>
      <c r="I533" t="str">
        <f t="shared" si="74"/>
        <v>3</v>
      </c>
      <c r="J533" t="str">
        <f t="shared" si="75"/>
        <v>CD&amp;V</v>
      </c>
      <c r="K533">
        <v>402</v>
      </c>
      <c r="L533">
        <v>1128</v>
      </c>
      <c r="M533">
        <v>1530</v>
      </c>
      <c r="N533">
        <v>765</v>
      </c>
      <c r="O533">
        <v>1</v>
      </c>
      <c r="P533" t="str">
        <f>("24")</f>
        <v>24</v>
      </c>
      <c r="Q533" t="str">
        <f>("VOSKANIAN Vahagn")</f>
        <v>VOSKANIAN Vahagn</v>
      </c>
      <c r="R533">
        <v>26</v>
      </c>
      <c r="S533" t="s">
        <v>44</v>
      </c>
      <c r="T533">
        <v>0</v>
      </c>
      <c r="V533">
        <v>22</v>
      </c>
      <c r="W533">
        <v>26</v>
      </c>
      <c r="X533">
        <v>0</v>
      </c>
    </row>
    <row r="534" spans="1:24" x14ac:dyDescent="0.35">
      <c r="A534" t="s">
        <v>8</v>
      </c>
      <c r="B534" t="s">
        <v>9</v>
      </c>
      <c r="C534" t="str">
        <f t="shared" si="76"/>
        <v>11242</v>
      </c>
      <c r="D534" t="s">
        <v>13</v>
      </c>
      <c r="E534" t="str">
        <f t="shared" si="77"/>
        <v>25</v>
      </c>
      <c r="F534">
        <v>26591</v>
      </c>
      <c r="G534">
        <v>23853</v>
      </c>
      <c r="H534">
        <v>983</v>
      </c>
      <c r="I534" t="str">
        <f t="shared" si="74"/>
        <v>3</v>
      </c>
      <c r="J534" t="str">
        <f t="shared" si="75"/>
        <v>CD&amp;V</v>
      </c>
      <c r="K534">
        <v>402</v>
      </c>
      <c r="L534">
        <v>1128</v>
      </c>
      <c r="M534">
        <v>1530</v>
      </c>
      <c r="N534">
        <v>765</v>
      </c>
      <c r="O534">
        <v>1</v>
      </c>
      <c r="P534" t="str">
        <f>("25")</f>
        <v>25</v>
      </c>
      <c r="Q534" t="str">
        <f>("LANJRI Nahima")</f>
        <v>LANJRI Nahima</v>
      </c>
      <c r="R534">
        <v>288</v>
      </c>
      <c r="S534" t="s">
        <v>44</v>
      </c>
      <c r="T534">
        <v>0</v>
      </c>
      <c r="V534">
        <v>1</v>
      </c>
      <c r="W534">
        <v>422</v>
      </c>
      <c r="X534">
        <v>0</v>
      </c>
    </row>
    <row r="535" spans="1:24" x14ac:dyDescent="0.35">
      <c r="A535" t="s">
        <v>8</v>
      </c>
      <c r="B535" t="s">
        <v>9</v>
      </c>
      <c r="C535" t="str">
        <f t="shared" si="76"/>
        <v>11242</v>
      </c>
      <c r="D535" t="s">
        <v>13</v>
      </c>
      <c r="E535" t="str">
        <f t="shared" si="77"/>
        <v>25</v>
      </c>
      <c r="F535">
        <v>26591</v>
      </c>
      <c r="G535">
        <v>23853</v>
      </c>
      <c r="H535">
        <v>983</v>
      </c>
      <c r="I535" t="str">
        <f t="shared" ref="I535:I559" si="78">("4")</f>
        <v>4</v>
      </c>
      <c r="J535" t="str">
        <f t="shared" ref="J535:J559" si="79">("Groen")</f>
        <v>Groen</v>
      </c>
      <c r="K535">
        <v>2259</v>
      </c>
      <c r="L535">
        <v>5063</v>
      </c>
      <c r="M535">
        <v>7322</v>
      </c>
      <c r="N535">
        <v>6590</v>
      </c>
      <c r="O535">
        <v>9</v>
      </c>
      <c r="P535" t="str">
        <f>("1")</f>
        <v>1</v>
      </c>
      <c r="Q535" t="str">
        <f>("PRENEEL Marij")</f>
        <v>PRENEEL Marij</v>
      </c>
      <c r="R535">
        <v>1777</v>
      </c>
      <c r="S535">
        <v>6590</v>
      </c>
      <c r="T535">
        <v>1964</v>
      </c>
      <c r="U535">
        <v>1</v>
      </c>
    </row>
    <row r="536" spans="1:24" x14ac:dyDescent="0.35">
      <c r="A536" t="s">
        <v>8</v>
      </c>
      <c r="B536" t="s">
        <v>9</v>
      </c>
      <c r="C536" t="str">
        <f t="shared" si="76"/>
        <v>11242</v>
      </c>
      <c r="D536" t="s">
        <v>13</v>
      </c>
      <c r="E536" t="str">
        <f t="shared" si="77"/>
        <v>25</v>
      </c>
      <c r="F536">
        <v>26591</v>
      </c>
      <c r="G536">
        <v>23853</v>
      </c>
      <c r="H536">
        <v>983</v>
      </c>
      <c r="I536" t="str">
        <f t="shared" si="78"/>
        <v>4</v>
      </c>
      <c r="J536" t="str">
        <f t="shared" si="79"/>
        <v>Groen</v>
      </c>
      <c r="K536">
        <v>2259</v>
      </c>
      <c r="L536">
        <v>5063</v>
      </c>
      <c r="M536">
        <v>7322</v>
      </c>
      <c r="N536">
        <v>6590</v>
      </c>
      <c r="O536">
        <v>9</v>
      </c>
      <c r="P536" t="str">
        <f>("2")</f>
        <v>2</v>
      </c>
      <c r="Q536" t="str">
        <f>("AL JATTARI Omar")</f>
        <v>AL JATTARI Omar</v>
      </c>
      <c r="R536">
        <v>1184</v>
      </c>
      <c r="S536">
        <v>3148</v>
      </c>
      <c r="T536">
        <v>0</v>
      </c>
      <c r="U536">
        <v>2</v>
      </c>
    </row>
    <row r="537" spans="1:24" x14ac:dyDescent="0.35">
      <c r="A537" t="s">
        <v>8</v>
      </c>
      <c r="B537" t="s">
        <v>9</v>
      </c>
      <c r="C537" t="str">
        <f t="shared" si="76"/>
        <v>11242</v>
      </c>
      <c r="D537" t="s">
        <v>13</v>
      </c>
      <c r="E537" t="str">
        <f t="shared" si="77"/>
        <v>25</v>
      </c>
      <c r="F537">
        <v>26591</v>
      </c>
      <c r="G537">
        <v>23853</v>
      </c>
      <c r="H537">
        <v>983</v>
      </c>
      <c r="I537" t="str">
        <f t="shared" si="78"/>
        <v>4</v>
      </c>
      <c r="J537" t="str">
        <f t="shared" si="79"/>
        <v>Groen</v>
      </c>
      <c r="K537">
        <v>2259</v>
      </c>
      <c r="L537">
        <v>5063</v>
      </c>
      <c r="M537">
        <v>7322</v>
      </c>
      <c r="N537">
        <v>6590</v>
      </c>
      <c r="O537">
        <v>9</v>
      </c>
      <c r="P537" t="str">
        <f>("3")</f>
        <v>3</v>
      </c>
      <c r="Q537" t="str">
        <f>("DE WEERDT Julie")</f>
        <v>DE WEERDT Julie</v>
      </c>
      <c r="R537">
        <v>771</v>
      </c>
      <c r="S537">
        <v>771</v>
      </c>
      <c r="T537">
        <v>0</v>
      </c>
      <c r="U537">
        <v>4</v>
      </c>
    </row>
    <row r="538" spans="1:24" x14ac:dyDescent="0.35">
      <c r="A538" t="s">
        <v>8</v>
      </c>
      <c r="B538" t="s">
        <v>9</v>
      </c>
      <c r="C538" t="str">
        <f t="shared" si="76"/>
        <v>11242</v>
      </c>
      <c r="D538" t="s">
        <v>13</v>
      </c>
      <c r="E538" t="str">
        <f t="shared" si="77"/>
        <v>25</v>
      </c>
      <c r="F538">
        <v>26591</v>
      </c>
      <c r="G538">
        <v>23853</v>
      </c>
      <c r="H538">
        <v>983</v>
      </c>
      <c r="I538" t="str">
        <f t="shared" si="78"/>
        <v>4</v>
      </c>
      <c r="J538" t="str">
        <f t="shared" si="79"/>
        <v>Groen</v>
      </c>
      <c r="K538">
        <v>2259</v>
      </c>
      <c r="L538">
        <v>5063</v>
      </c>
      <c r="M538">
        <v>7322</v>
      </c>
      <c r="N538">
        <v>6590</v>
      </c>
      <c r="O538">
        <v>9</v>
      </c>
      <c r="P538" t="str">
        <f>("4")</f>
        <v>4</v>
      </c>
      <c r="Q538" t="str">
        <f>("MOERKERKE Luc")</f>
        <v>MOERKERKE Luc</v>
      </c>
      <c r="R538">
        <v>580</v>
      </c>
      <c r="S538">
        <v>580</v>
      </c>
      <c r="T538">
        <v>0</v>
      </c>
      <c r="U538">
        <v>7</v>
      </c>
    </row>
    <row r="539" spans="1:24" x14ac:dyDescent="0.35">
      <c r="A539" t="s">
        <v>8</v>
      </c>
      <c r="B539" t="s">
        <v>9</v>
      </c>
      <c r="C539" t="str">
        <f t="shared" si="76"/>
        <v>11242</v>
      </c>
      <c r="D539" t="s">
        <v>13</v>
      </c>
      <c r="E539" t="str">
        <f t="shared" si="77"/>
        <v>25</v>
      </c>
      <c r="F539">
        <v>26591</v>
      </c>
      <c r="G539">
        <v>23853</v>
      </c>
      <c r="H539">
        <v>983</v>
      </c>
      <c r="I539" t="str">
        <f t="shared" si="78"/>
        <v>4</v>
      </c>
      <c r="J539" t="str">
        <f t="shared" si="79"/>
        <v>Groen</v>
      </c>
      <c r="K539">
        <v>2259</v>
      </c>
      <c r="L539">
        <v>5063</v>
      </c>
      <c r="M539">
        <v>7322</v>
      </c>
      <c r="N539">
        <v>6590</v>
      </c>
      <c r="O539">
        <v>9</v>
      </c>
      <c r="P539" t="str">
        <f>("5")</f>
        <v>5</v>
      </c>
      <c r="Q539" t="str">
        <f>("AMIN Homa")</f>
        <v>AMIN Homa</v>
      </c>
      <c r="R539">
        <v>342</v>
      </c>
      <c r="S539" t="s">
        <v>44</v>
      </c>
      <c r="T539">
        <v>0</v>
      </c>
      <c r="V539">
        <v>1</v>
      </c>
      <c r="W539">
        <v>6590</v>
      </c>
      <c r="X539">
        <v>529</v>
      </c>
    </row>
    <row r="540" spans="1:24" x14ac:dyDescent="0.35">
      <c r="A540" t="s">
        <v>8</v>
      </c>
      <c r="B540" t="s">
        <v>9</v>
      </c>
      <c r="C540" t="str">
        <f t="shared" si="76"/>
        <v>11242</v>
      </c>
      <c r="D540" t="s">
        <v>13</v>
      </c>
      <c r="E540" t="str">
        <f t="shared" si="77"/>
        <v>25</v>
      </c>
      <c r="F540">
        <v>26591</v>
      </c>
      <c r="G540">
        <v>23853</v>
      </c>
      <c r="H540">
        <v>983</v>
      </c>
      <c r="I540" t="str">
        <f t="shared" si="78"/>
        <v>4</v>
      </c>
      <c r="J540" t="str">
        <f t="shared" si="79"/>
        <v>Groen</v>
      </c>
      <c r="K540">
        <v>2259</v>
      </c>
      <c r="L540">
        <v>5063</v>
      </c>
      <c r="M540">
        <v>7322</v>
      </c>
      <c r="N540">
        <v>6590</v>
      </c>
      <c r="O540">
        <v>9</v>
      </c>
      <c r="P540" t="str">
        <f>("6")</f>
        <v>6</v>
      </c>
      <c r="Q540" t="str">
        <f>("VISSERS Pieter")</f>
        <v>VISSERS Pieter</v>
      </c>
      <c r="R540">
        <v>323</v>
      </c>
      <c r="S540" t="s">
        <v>44</v>
      </c>
      <c r="T540">
        <v>0</v>
      </c>
      <c r="V540">
        <v>2</v>
      </c>
      <c r="W540">
        <v>852</v>
      </c>
      <c r="X540">
        <v>0</v>
      </c>
    </row>
    <row r="541" spans="1:24" x14ac:dyDescent="0.35">
      <c r="A541" t="s">
        <v>8</v>
      </c>
      <c r="B541" t="s">
        <v>9</v>
      </c>
      <c r="C541" t="str">
        <f t="shared" si="76"/>
        <v>11242</v>
      </c>
      <c r="D541" t="s">
        <v>13</v>
      </c>
      <c r="E541" t="str">
        <f t="shared" si="77"/>
        <v>25</v>
      </c>
      <c r="F541">
        <v>26591</v>
      </c>
      <c r="G541">
        <v>23853</v>
      </c>
      <c r="H541">
        <v>983</v>
      </c>
      <c r="I541" t="str">
        <f t="shared" si="78"/>
        <v>4</v>
      </c>
      <c r="J541" t="str">
        <f t="shared" si="79"/>
        <v>Groen</v>
      </c>
      <c r="K541">
        <v>2259</v>
      </c>
      <c r="L541">
        <v>5063</v>
      </c>
      <c r="M541">
        <v>7322</v>
      </c>
      <c r="N541">
        <v>6590</v>
      </c>
      <c r="O541">
        <v>9</v>
      </c>
      <c r="P541" t="str">
        <f>("7")</f>
        <v>7</v>
      </c>
      <c r="Q541" t="str">
        <f>("EL OSRI Mariam")</f>
        <v>EL OSRI Mariam</v>
      </c>
      <c r="R541">
        <v>491</v>
      </c>
      <c r="S541">
        <v>491</v>
      </c>
      <c r="T541">
        <v>0</v>
      </c>
      <c r="U541">
        <v>8</v>
      </c>
    </row>
    <row r="542" spans="1:24" x14ac:dyDescent="0.35">
      <c r="A542" t="s">
        <v>8</v>
      </c>
      <c r="B542" t="s">
        <v>9</v>
      </c>
      <c r="C542" t="str">
        <f t="shared" si="76"/>
        <v>11242</v>
      </c>
      <c r="D542" t="s">
        <v>13</v>
      </c>
      <c r="E542" t="str">
        <f t="shared" si="77"/>
        <v>25</v>
      </c>
      <c r="F542">
        <v>26591</v>
      </c>
      <c r="G542">
        <v>23853</v>
      </c>
      <c r="H542">
        <v>983</v>
      </c>
      <c r="I542" t="str">
        <f t="shared" si="78"/>
        <v>4</v>
      </c>
      <c r="J542" t="str">
        <f t="shared" si="79"/>
        <v>Groen</v>
      </c>
      <c r="K542">
        <v>2259</v>
      </c>
      <c r="L542">
        <v>5063</v>
      </c>
      <c r="M542">
        <v>7322</v>
      </c>
      <c r="N542">
        <v>6590</v>
      </c>
      <c r="O542">
        <v>9</v>
      </c>
      <c r="P542" t="str">
        <f>("8")</f>
        <v>8</v>
      </c>
      <c r="Q542" t="str">
        <f>("IBRAHIM Abdullah")</f>
        <v>IBRAHIM Abdullah</v>
      </c>
      <c r="R542">
        <v>427</v>
      </c>
      <c r="S542" t="s">
        <v>44</v>
      </c>
      <c r="T542">
        <v>0</v>
      </c>
      <c r="V542">
        <v>3</v>
      </c>
      <c r="W542">
        <v>427</v>
      </c>
      <c r="X542">
        <v>0</v>
      </c>
    </row>
    <row r="543" spans="1:24" x14ac:dyDescent="0.35">
      <c r="A543" t="s">
        <v>8</v>
      </c>
      <c r="B543" t="s">
        <v>9</v>
      </c>
      <c r="C543" t="str">
        <f t="shared" si="76"/>
        <v>11242</v>
      </c>
      <c r="D543" t="s">
        <v>13</v>
      </c>
      <c r="E543" t="str">
        <f t="shared" si="77"/>
        <v>25</v>
      </c>
      <c r="F543">
        <v>26591</v>
      </c>
      <c r="G543">
        <v>23853</v>
      </c>
      <c r="H543">
        <v>983</v>
      </c>
      <c r="I543" t="str">
        <f t="shared" si="78"/>
        <v>4</v>
      </c>
      <c r="J543" t="str">
        <f t="shared" si="79"/>
        <v>Groen</v>
      </c>
      <c r="K543">
        <v>2259</v>
      </c>
      <c r="L543">
        <v>5063</v>
      </c>
      <c r="M543">
        <v>7322</v>
      </c>
      <c r="N543">
        <v>6590</v>
      </c>
      <c r="O543">
        <v>9</v>
      </c>
      <c r="P543" t="str">
        <f>("9")</f>
        <v>9</v>
      </c>
      <c r="Q543" t="str">
        <f>("SETTA Yasmia")</f>
        <v>SETTA Yasmia</v>
      </c>
      <c r="R543">
        <v>441</v>
      </c>
      <c r="S543">
        <v>441</v>
      </c>
      <c r="T543">
        <v>0</v>
      </c>
      <c r="U543">
        <v>9</v>
      </c>
    </row>
    <row r="544" spans="1:24" x14ac:dyDescent="0.35">
      <c r="A544" t="s">
        <v>8</v>
      </c>
      <c r="B544" t="s">
        <v>9</v>
      </c>
      <c r="C544" t="str">
        <f t="shared" si="76"/>
        <v>11242</v>
      </c>
      <c r="D544" t="s">
        <v>13</v>
      </c>
      <c r="E544" t="str">
        <f t="shared" si="77"/>
        <v>25</v>
      </c>
      <c r="F544">
        <v>26591</v>
      </c>
      <c r="G544">
        <v>23853</v>
      </c>
      <c r="H544">
        <v>983</v>
      </c>
      <c r="I544" t="str">
        <f t="shared" si="78"/>
        <v>4</v>
      </c>
      <c r="J544" t="str">
        <f t="shared" si="79"/>
        <v>Groen</v>
      </c>
      <c r="K544">
        <v>2259</v>
      </c>
      <c r="L544">
        <v>5063</v>
      </c>
      <c r="M544">
        <v>7322</v>
      </c>
      <c r="N544">
        <v>6590</v>
      </c>
      <c r="O544">
        <v>9</v>
      </c>
      <c r="P544" t="str">
        <f>("10")</f>
        <v>10</v>
      </c>
      <c r="Q544" t="str">
        <f>("VANVAERENBERGH Joeri")</f>
        <v>VANVAERENBERGH Joeri</v>
      </c>
      <c r="R544">
        <v>169</v>
      </c>
      <c r="S544" t="s">
        <v>44</v>
      </c>
      <c r="T544">
        <v>0</v>
      </c>
      <c r="V544">
        <v>15</v>
      </c>
      <c r="W544">
        <v>169</v>
      </c>
      <c r="X544">
        <v>0</v>
      </c>
    </row>
    <row r="545" spans="1:24" x14ac:dyDescent="0.35">
      <c r="A545" t="s">
        <v>8</v>
      </c>
      <c r="B545" t="s">
        <v>9</v>
      </c>
      <c r="C545" t="str">
        <f t="shared" si="76"/>
        <v>11242</v>
      </c>
      <c r="D545" t="s">
        <v>13</v>
      </c>
      <c r="E545" t="str">
        <f t="shared" si="77"/>
        <v>25</v>
      </c>
      <c r="F545">
        <v>26591</v>
      </c>
      <c r="G545">
        <v>23853</v>
      </c>
      <c r="H545">
        <v>983</v>
      </c>
      <c r="I545" t="str">
        <f t="shared" si="78"/>
        <v>4</v>
      </c>
      <c r="J545" t="str">
        <f t="shared" si="79"/>
        <v>Groen</v>
      </c>
      <c r="K545">
        <v>2259</v>
      </c>
      <c r="L545">
        <v>5063</v>
      </c>
      <c r="M545">
        <v>7322</v>
      </c>
      <c r="N545">
        <v>6590</v>
      </c>
      <c r="O545">
        <v>9</v>
      </c>
      <c r="P545" t="str">
        <f>("11")</f>
        <v>11</v>
      </c>
      <c r="Q545" t="str">
        <f>("LAUWERS Anneleen")</f>
        <v>LAUWERS Anneleen</v>
      </c>
      <c r="R545">
        <v>336</v>
      </c>
      <c r="S545" t="s">
        <v>44</v>
      </c>
      <c r="T545">
        <v>0</v>
      </c>
      <c r="V545">
        <v>4</v>
      </c>
      <c r="W545">
        <v>336</v>
      </c>
      <c r="X545">
        <v>0</v>
      </c>
    </row>
    <row r="546" spans="1:24" x14ac:dyDescent="0.35">
      <c r="A546" t="s">
        <v>8</v>
      </c>
      <c r="B546" t="s">
        <v>9</v>
      </c>
      <c r="C546" t="str">
        <f t="shared" si="76"/>
        <v>11242</v>
      </c>
      <c r="D546" t="s">
        <v>13</v>
      </c>
      <c r="E546" t="str">
        <f t="shared" si="77"/>
        <v>25</v>
      </c>
      <c r="F546">
        <v>26591</v>
      </c>
      <c r="G546">
        <v>23853</v>
      </c>
      <c r="H546">
        <v>983</v>
      </c>
      <c r="I546" t="str">
        <f t="shared" si="78"/>
        <v>4</v>
      </c>
      <c r="J546" t="str">
        <f t="shared" si="79"/>
        <v>Groen</v>
      </c>
      <c r="K546">
        <v>2259</v>
      </c>
      <c r="L546">
        <v>5063</v>
      </c>
      <c r="M546">
        <v>7322</v>
      </c>
      <c r="N546">
        <v>6590</v>
      </c>
      <c r="O546">
        <v>9</v>
      </c>
      <c r="P546" t="str">
        <f>("12")</f>
        <v>12</v>
      </c>
      <c r="Q546" t="str">
        <f>("HOEFKENS Bert")</f>
        <v>HOEFKENS Bert</v>
      </c>
      <c r="R546">
        <v>180</v>
      </c>
      <c r="S546" t="s">
        <v>44</v>
      </c>
      <c r="T546">
        <v>0</v>
      </c>
      <c r="V546">
        <v>13</v>
      </c>
      <c r="W546">
        <v>180</v>
      </c>
      <c r="X546">
        <v>0</v>
      </c>
    </row>
    <row r="547" spans="1:24" x14ac:dyDescent="0.35">
      <c r="A547" t="s">
        <v>8</v>
      </c>
      <c r="B547" t="s">
        <v>9</v>
      </c>
      <c r="C547" t="str">
        <f t="shared" si="76"/>
        <v>11242</v>
      </c>
      <c r="D547" t="s">
        <v>13</v>
      </c>
      <c r="E547" t="str">
        <f t="shared" si="77"/>
        <v>25</v>
      </c>
      <c r="F547">
        <v>26591</v>
      </c>
      <c r="G547">
        <v>23853</v>
      </c>
      <c r="H547">
        <v>983</v>
      </c>
      <c r="I547" t="str">
        <f t="shared" si="78"/>
        <v>4</v>
      </c>
      <c r="J547" t="str">
        <f t="shared" si="79"/>
        <v>Groen</v>
      </c>
      <c r="K547">
        <v>2259</v>
      </c>
      <c r="L547">
        <v>5063</v>
      </c>
      <c r="M547">
        <v>7322</v>
      </c>
      <c r="N547">
        <v>6590</v>
      </c>
      <c r="O547">
        <v>9</v>
      </c>
      <c r="P547" t="str">
        <f>("13")</f>
        <v>13</v>
      </c>
      <c r="Q547" t="str">
        <f>("ANNOURI Imade")</f>
        <v>ANNOURI Imade</v>
      </c>
      <c r="R547">
        <v>619</v>
      </c>
      <c r="S547">
        <v>619</v>
      </c>
      <c r="T547">
        <v>0</v>
      </c>
      <c r="U547">
        <v>6</v>
      </c>
    </row>
    <row r="548" spans="1:24" x14ac:dyDescent="0.35">
      <c r="A548" t="s">
        <v>8</v>
      </c>
      <c r="B548" t="s">
        <v>9</v>
      </c>
      <c r="C548" t="str">
        <f t="shared" si="76"/>
        <v>11242</v>
      </c>
      <c r="D548" t="s">
        <v>13</v>
      </c>
      <c r="E548" t="str">
        <f t="shared" si="77"/>
        <v>25</v>
      </c>
      <c r="F548">
        <v>26591</v>
      </c>
      <c r="G548">
        <v>23853</v>
      </c>
      <c r="H548">
        <v>983</v>
      </c>
      <c r="I548" t="str">
        <f t="shared" si="78"/>
        <v>4</v>
      </c>
      <c r="J548" t="str">
        <f t="shared" si="79"/>
        <v>Groen</v>
      </c>
      <c r="K548">
        <v>2259</v>
      </c>
      <c r="L548">
        <v>5063</v>
      </c>
      <c r="M548">
        <v>7322</v>
      </c>
      <c r="N548">
        <v>6590</v>
      </c>
      <c r="O548">
        <v>9</v>
      </c>
      <c r="P548" t="str">
        <f>("14")</f>
        <v>14</v>
      </c>
      <c r="Q548" t="str">
        <f>("LAUWERS Stef")</f>
        <v>LAUWERS Stef</v>
      </c>
      <c r="R548">
        <v>222</v>
      </c>
      <c r="S548" t="s">
        <v>44</v>
      </c>
      <c r="T548">
        <v>0</v>
      </c>
      <c r="V548">
        <v>11</v>
      </c>
      <c r="W548">
        <v>222</v>
      </c>
      <c r="X548">
        <v>0</v>
      </c>
    </row>
    <row r="549" spans="1:24" x14ac:dyDescent="0.35">
      <c r="A549" t="s">
        <v>8</v>
      </c>
      <c r="B549" t="s">
        <v>9</v>
      </c>
      <c r="C549" t="str">
        <f t="shared" si="76"/>
        <v>11242</v>
      </c>
      <c r="D549" t="s">
        <v>13</v>
      </c>
      <c r="E549" t="str">
        <f t="shared" si="77"/>
        <v>25</v>
      </c>
      <c r="F549">
        <v>26591</v>
      </c>
      <c r="G549">
        <v>23853</v>
      </c>
      <c r="H549">
        <v>983</v>
      </c>
      <c r="I549" t="str">
        <f t="shared" si="78"/>
        <v>4</v>
      </c>
      <c r="J549" t="str">
        <f t="shared" si="79"/>
        <v>Groen</v>
      </c>
      <c r="K549">
        <v>2259</v>
      </c>
      <c r="L549">
        <v>5063</v>
      </c>
      <c r="M549">
        <v>7322</v>
      </c>
      <c r="N549">
        <v>6590</v>
      </c>
      <c r="O549">
        <v>9</v>
      </c>
      <c r="P549" t="str">
        <f>("15")</f>
        <v>15</v>
      </c>
      <c r="Q549" t="str">
        <f>("ARITS Lien")</f>
        <v>ARITS Lien</v>
      </c>
      <c r="R549">
        <v>280</v>
      </c>
      <c r="S549" t="s">
        <v>44</v>
      </c>
      <c r="T549">
        <v>0</v>
      </c>
      <c r="V549">
        <v>5</v>
      </c>
      <c r="W549">
        <v>280</v>
      </c>
      <c r="X549">
        <v>0</v>
      </c>
    </row>
    <row r="550" spans="1:24" x14ac:dyDescent="0.35">
      <c r="A550" t="s">
        <v>8</v>
      </c>
      <c r="B550" t="s">
        <v>9</v>
      </c>
      <c r="C550" t="str">
        <f t="shared" si="76"/>
        <v>11242</v>
      </c>
      <c r="D550" t="s">
        <v>13</v>
      </c>
      <c r="E550" t="str">
        <f t="shared" si="77"/>
        <v>25</v>
      </c>
      <c r="F550">
        <v>26591</v>
      </c>
      <c r="G550">
        <v>23853</v>
      </c>
      <c r="H550">
        <v>983</v>
      </c>
      <c r="I550" t="str">
        <f t="shared" si="78"/>
        <v>4</v>
      </c>
      <c r="J550" t="str">
        <f t="shared" si="79"/>
        <v>Groen</v>
      </c>
      <c r="K550">
        <v>2259</v>
      </c>
      <c r="L550">
        <v>5063</v>
      </c>
      <c r="M550">
        <v>7322</v>
      </c>
      <c r="N550">
        <v>6590</v>
      </c>
      <c r="O550">
        <v>9</v>
      </c>
      <c r="P550" t="str">
        <f>("16")</f>
        <v>16</v>
      </c>
      <c r="Q550" t="str">
        <f>("MICHIELS Paul")</f>
        <v>MICHIELS Paul</v>
      </c>
      <c r="R550">
        <v>173</v>
      </c>
      <c r="S550" t="s">
        <v>44</v>
      </c>
      <c r="T550">
        <v>0</v>
      </c>
      <c r="V550">
        <v>14</v>
      </c>
      <c r="W550">
        <v>173</v>
      </c>
      <c r="X550">
        <v>0</v>
      </c>
    </row>
    <row r="551" spans="1:24" x14ac:dyDescent="0.35">
      <c r="A551" t="s">
        <v>8</v>
      </c>
      <c r="B551" t="s">
        <v>9</v>
      </c>
      <c r="C551" t="str">
        <f t="shared" si="76"/>
        <v>11242</v>
      </c>
      <c r="D551" t="s">
        <v>13</v>
      </c>
      <c r="E551" t="str">
        <f t="shared" si="77"/>
        <v>25</v>
      </c>
      <c r="F551">
        <v>26591</v>
      </c>
      <c r="G551">
        <v>23853</v>
      </c>
      <c r="H551">
        <v>983</v>
      </c>
      <c r="I551" t="str">
        <f t="shared" si="78"/>
        <v>4</v>
      </c>
      <c r="J551" t="str">
        <f t="shared" si="79"/>
        <v>Groen</v>
      </c>
      <c r="K551">
        <v>2259</v>
      </c>
      <c r="L551">
        <v>5063</v>
      </c>
      <c r="M551">
        <v>7322</v>
      </c>
      <c r="N551">
        <v>6590</v>
      </c>
      <c r="O551">
        <v>9</v>
      </c>
      <c r="P551" t="str">
        <f>("17")</f>
        <v>17</v>
      </c>
      <c r="Q551" t="str">
        <f>("FRANSEN Kathleen")</f>
        <v>FRANSEN Kathleen</v>
      </c>
      <c r="R551">
        <v>254</v>
      </c>
      <c r="S551" t="s">
        <v>44</v>
      </c>
      <c r="T551">
        <v>0</v>
      </c>
      <c r="V551">
        <v>7</v>
      </c>
      <c r="W551">
        <v>254</v>
      </c>
      <c r="X551">
        <v>0</v>
      </c>
    </row>
    <row r="552" spans="1:24" x14ac:dyDescent="0.35">
      <c r="A552" t="s">
        <v>8</v>
      </c>
      <c r="B552" t="s">
        <v>9</v>
      </c>
      <c r="C552" t="str">
        <f t="shared" si="76"/>
        <v>11242</v>
      </c>
      <c r="D552" t="s">
        <v>13</v>
      </c>
      <c r="E552" t="str">
        <f t="shared" si="77"/>
        <v>25</v>
      </c>
      <c r="F552">
        <v>26591</v>
      </c>
      <c r="G552">
        <v>23853</v>
      </c>
      <c r="H552">
        <v>983</v>
      </c>
      <c r="I552" t="str">
        <f t="shared" si="78"/>
        <v>4</v>
      </c>
      <c r="J552" t="str">
        <f t="shared" si="79"/>
        <v>Groen</v>
      </c>
      <c r="K552">
        <v>2259</v>
      </c>
      <c r="L552">
        <v>5063</v>
      </c>
      <c r="M552">
        <v>7322</v>
      </c>
      <c r="N552">
        <v>6590</v>
      </c>
      <c r="O552">
        <v>9</v>
      </c>
      <c r="P552" t="str">
        <f>("18")</f>
        <v>18</v>
      </c>
      <c r="Q552" t="str">
        <f>("BEELS Thanh")</f>
        <v>BEELS Thanh</v>
      </c>
      <c r="R552">
        <v>199</v>
      </c>
      <c r="S552" t="s">
        <v>44</v>
      </c>
      <c r="T552">
        <v>0</v>
      </c>
      <c r="V552">
        <v>12</v>
      </c>
      <c r="W552">
        <v>199</v>
      </c>
      <c r="X552">
        <v>0</v>
      </c>
    </row>
    <row r="553" spans="1:24" x14ac:dyDescent="0.35">
      <c r="A553" t="s">
        <v>8</v>
      </c>
      <c r="B553" t="s">
        <v>9</v>
      </c>
      <c r="C553" t="str">
        <f t="shared" si="76"/>
        <v>11242</v>
      </c>
      <c r="D553" t="s">
        <v>13</v>
      </c>
      <c r="E553" t="str">
        <f t="shared" si="77"/>
        <v>25</v>
      </c>
      <c r="F553">
        <v>26591</v>
      </c>
      <c r="G553">
        <v>23853</v>
      </c>
      <c r="H553">
        <v>983</v>
      </c>
      <c r="I553" t="str">
        <f t="shared" si="78"/>
        <v>4</v>
      </c>
      <c r="J553" t="str">
        <f t="shared" si="79"/>
        <v>Groen</v>
      </c>
      <c r="K553">
        <v>2259</v>
      </c>
      <c r="L553">
        <v>5063</v>
      </c>
      <c r="M553">
        <v>7322</v>
      </c>
      <c r="N553">
        <v>6590</v>
      </c>
      <c r="O553">
        <v>9</v>
      </c>
      <c r="P553" t="str">
        <f>("19")</f>
        <v>19</v>
      </c>
      <c r="Q553" t="str">
        <f>("MANNAERTS Marina")</f>
        <v>MANNAERTS Marina</v>
      </c>
      <c r="R553">
        <v>227</v>
      </c>
      <c r="S553" t="s">
        <v>44</v>
      </c>
      <c r="T553">
        <v>0</v>
      </c>
      <c r="V553">
        <v>10</v>
      </c>
      <c r="W553">
        <v>227</v>
      </c>
      <c r="X553">
        <v>0</v>
      </c>
    </row>
    <row r="554" spans="1:24" x14ac:dyDescent="0.35">
      <c r="A554" t="s">
        <v>8</v>
      </c>
      <c r="B554" t="s">
        <v>9</v>
      </c>
      <c r="C554" t="str">
        <f t="shared" si="76"/>
        <v>11242</v>
      </c>
      <c r="D554" t="s">
        <v>13</v>
      </c>
      <c r="E554" t="str">
        <f t="shared" si="77"/>
        <v>25</v>
      </c>
      <c r="F554">
        <v>26591</v>
      </c>
      <c r="G554">
        <v>23853</v>
      </c>
      <c r="H554">
        <v>983</v>
      </c>
      <c r="I554" t="str">
        <f t="shared" si="78"/>
        <v>4</v>
      </c>
      <c r="J554" t="str">
        <f t="shared" si="79"/>
        <v>Groen</v>
      </c>
      <c r="K554">
        <v>2259</v>
      </c>
      <c r="L554">
        <v>5063</v>
      </c>
      <c r="M554">
        <v>7322</v>
      </c>
      <c r="N554">
        <v>6590</v>
      </c>
      <c r="O554">
        <v>9</v>
      </c>
      <c r="P554" t="str">
        <f>("20")</f>
        <v>20</v>
      </c>
      <c r="Q554" t="str">
        <f>("CUYCKENS Jan")</f>
        <v>CUYCKENS Jan</v>
      </c>
      <c r="R554">
        <v>142</v>
      </c>
      <c r="S554" t="s">
        <v>44</v>
      </c>
      <c r="T554">
        <v>0</v>
      </c>
      <c r="V554">
        <v>16</v>
      </c>
      <c r="W554">
        <v>142</v>
      </c>
      <c r="X554">
        <v>0</v>
      </c>
    </row>
    <row r="555" spans="1:24" x14ac:dyDescent="0.35">
      <c r="A555" t="s">
        <v>8</v>
      </c>
      <c r="B555" t="s">
        <v>9</v>
      </c>
      <c r="C555" t="str">
        <f t="shared" si="76"/>
        <v>11242</v>
      </c>
      <c r="D555" t="s">
        <v>13</v>
      </c>
      <c r="E555" t="str">
        <f t="shared" si="77"/>
        <v>25</v>
      </c>
      <c r="F555">
        <v>26591</v>
      </c>
      <c r="G555">
        <v>23853</v>
      </c>
      <c r="H555">
        <v>983</v>
      </c>
      <c r="I555" t="str">
        <f t="shared" si="78"/>
        <v>4</v>
      </c>
      <c r="J555" t="str">
        <f t="shared" si="79"/>
        <v>Groen</v>
      </c>
      <c r="K555">
        <v>2259</v>
      </c>
      <c r="L555">
        <v>5063</v>
      </c>
      <c r="M555">
        <v>7322</v>
      </c>
      <c r="N555">
        <v>6590</v>
      </c>
      <c r="O555">
        <v>9</v>
      </c>
      <c r="P555" t="str">
        <f>("21")</f>
        <v>21</v>
      </c>
      <c r="Q555" t="str">
        <f>("COENE Leen")</f>
        <v>COENE Leen</v>
      </c>
      <c r="R555">
        <v>248</v>
      </c>
      <c r="S555" t="s">
        <v>44</v>
      </c>
      <c r="T555">
        <v>0</v>
      </c>
      <c r="V555">
        <v>8</v>
      </c>
      <c r="W555">
        <v>248</v>
      </c>
      <c r="X555">
        <v>0</v>
      </c>
    </row>
    <row r="556" spans="1:24" x14ac:dyDescent="0.35">
      <c r="A556" t="s">
        <v>8</v>
      </c>
      <c r="B556" t="s">
        <v>9</v>
      </c>
      <c r="C556" t="str">
        <f t="shared" ref="C556:C587" si="80">("11242")</f>
        <v>11242</v>
      </c>
      <c r="D556" t="s">
        <v>13</v>
      </c>
      <c r="E556" t="str">
        <f t="shared" ref="E556:E587" si="81">("25")</f>
        <v>25</v>
      </c>
      <c r="F556">
        <v>26591</v>
      </c>
      <c r="G556">
        <v>23853</v>
      </c>
      <c r="H556">
        <v>983</v>
      </c>
      <c r="I556" t="str">
        <f t="shared" si="78"/>
        <v>4</v>
      </c>
      <c r="J556" t="str">
        <f t="shared" si="79"/>
        <v>Groen</v>
      </c>
      <c r="K556">
        <v>2259</v>
      </c>
      <c r="L556">
        <v>5063</v>
      </c>
      <c r="M556">
        <v>7322</v>
      </c>
      <c r="N556">
        <v>6590</v>
      </c>
      <c r="O556">
        <v>9</v>
      </c>
      <c r="P556" t="str">
        <f>("22")</f>
        <v>22</v>
      </c>
      <c r="Q556" t="str">
        <f>("DE VYLDER Koen")</f>
        <v>DE VYLDER Koen</v>
      </c>
      <c r="R556">
        <v>240</v>
      </c>
      <c r="S556" t="s">
        <v>44</v>
      </c>
      <c r="T556">
        <v>0</v>
      </c>
      <c r="V556">
        <v>9</v>
      </c>
      <c r="W556">
        <v>240</v>
      </c>
      <c r="X556">
        <v>0</v>
      </c>
    </row>
    <row r="557" spans="1:24" x14ac:dyDescent="0.35">
      <c r="A557" t="s">
        <v>8</v>
      </c>
      <c r="B557" t="s">
        <v>9</v>
      </c>
      <c r="C557" t="str">
        <f t="shared" si="80"/>
        <v>11242</v>
      </c>
      <c r="D557" t="s">
        <v>13</v>
      </c>
      <c r="E557" t="str">
        <f t="shared" si="81"/>
        <v>25</v>
      </c>
      <c r="F557">
        <v>26591</v>
      </c>
      <c r="G557">
        <v>23853</v>
      </c>
      <c r="H557">
        <v>983</v>
      </c>
      <c r="I557" t="str">
        <f t="shared" si="78"/>
        <v>4</v>
      </c>
      <c r="J557" t="str">
        <f t="shared" si="79"/>
        <v>Groen</v>
      </c>
      <c r="K557">
        <v>2259</v>
      </c>
      <c r="L557">
        <v>5063</v>
      </c>
      <c r="M557">
        <v>7322</v>
      </c>
      <c r="N557">
        <v>6590</v>
      </c>
      <c r="O557">
        <v>9</v>
      </c>
      <c r="P557" t="str">
        <f>("23")</f>
        <v>23</v>
      </c>
      <c r="Q557" t="str">
        <f>("JOORIS Inge")</f>
        <v>JOORIS Inge</v>
      </c>
      <c r="R557">
        <v>273</v>
      </c>
      <c r="S557" t="s">
        <v>44</v>
      </c>
      <c r="T557">
        <v>0</v>
      </c>
      <c r="V557">
        <v>6</v>
      </c>
      <c r="W557">
        <v>273</v>
      </c>
      <c r="X557">
        <v>0</v>
      </c>
    </row>
    <row r="558" spans="1:24" x14ac:dyDescent="0.35">
      <c r="A558" t="s">
        <v>8</v>
      </c>
      <c r="B558" t="s">
        <v>9</v>
      </c>
      <c r="C558" t="str">
        <f t="shared" si="80"/>
        <v>11242</v>
      </c>
      <c r="D558" t="s">
        <v>13</v>
      </c>
      <c r="E558" t="str">
        <f t="shared" si="81"/>
        <v>25</v>
      </c>
      <c r="F558">
        <v>26591</v>
      </c>
      <c r="G558">
        <v>23853</v>
      </c>
      <c r="H558">
        <v>983</v>
      </c>
      <c r="I558" t="str">
        <f t="shared" si="78"/>
        <v>4</v>
      </c>
      <c r="J558" t="str">
        <f t="shared" si="79"/>
        <v>Groen</v>
      </c>
      <c r="K558">
        <v>2259</v>
      </c>
      <c r="L558">
        <v>5063</v>
      </c>
      <c r="M558">
        <v>7322</v>
      </c>
      <c r="N558">
        <v>6590</v>
      </c>
      <c r="O558">
        <v>9</v>
      </c>
      <c r="P558" t="str">
        <f>("24")</f>
        <v>24</v>
      </c>
      <c r="Q558" t="str">
        <f>("KASTIT Ikrame")</f>
        <v>KASTIT Ikrame</v>
      </c>
      <c r="R558">
        <v>719</v>
      </c>
      <c r="S558">
        <v>719</v>
      </c>
      <c r="T558">
        <v>0</v>
      </c>
      <c r="U558">
        <v>5</v>
      </c>
    </row>
    <row r="559" spans="1:24" x14ac:dyDescent="0.35">
      <c r="A559" t="s">
        <v>8</v>
      </c>
      <c r="B559" t="s">
        <v>9</v>
      </c>
      <c r="C559" t="str">
        <f t="shared" si="80"/>
        <v>11242</v>
      </c>
      <c r="D559" t="s">
        <v>13</v>
      </c>
      <c r="E559" t="str">
        <f t="shared" si="81"/>
        <v>25</v>
      </c>
      <c r="F559">
        <v>26591</v>
      </c>
      <c r="G559">
        <v>23853</v>
      </c>
      <c r="H559">
        <v>983</v>
      </c>
      <c r="I559" t="str">
        <f t="shared" si="78"/>
        <v>4</v>
      </c>
      <c r="J559" t="str">
        <f t="shared" si="79"/>
        <v>Groen</v>
      </c>
      <c r="K559">
        <v>2259</v>
      </c>
      <c r="L559">
        <v>5063</v>
      </c>
      <c r="M559">
        <v>7322</v>
      </c>
      <c r="N559">
        <v>6590</v>
      </c>
      <c r="O559">
        <v>9</v>
      </c>
      <c r="P559" t="str">
        <f>("25")</f>
        <v>25</v>
      </c>
      <c r="Q559" t="str">
        <f>("VANBESIEN Wouter")</f>
        <v>VANBESIEN Wouter</v>
      </c>
      <c r="R559">
        <v>1008</v>
      </c>
      <c r="S559">
        <v>1008</v>
      </c>
      <c r="T559">
        <v>0</v>
      </c>
      <c r="U559">
        <v>3</v>
      </c>
    </row>
    <row r="560" spans="1:24" x14ac:dyDescent="0.35">
      <c r="A560" t="s">
        <v>8</v>
      </c>
      <c r="B560" t="s">
        <v>9</v>
      </c>
      <c r="C560" t="str">
        <f t="shared" si="80"/>
        <v>11242</v>
      </c>
      <c r="D560" t="s">
        <v>13</v>
      </c>
      <c r="E560" t="str">
        <f t="shared" si="81"/>
        <v>25</v>
      </c>
      <c r="F560">
        <v>26591</v>
      </c>
      <c r="G560">
        <v>23853</v>
      </c>
      <c r="H560">
        <v>983</v>
      </c>
      <c r="I560" t="str">
        <f t="shared" ref="I560:I584" si="82">("5")</f>
        <v>5</v>
      </c>
      <c r="J560" t="str">
        <f t="shared" ref="J560:J584" si="83">("VLAAMS BELANG")</f>
        <v>VLAAMS BELANG</v>
      </c>
      <c r="K560">
        <v>612</v>
      </c>
      <c r="L560">
        <v>887</v>
      </c>
      <c r="M560">
        <v>1499</v>
      </c>
      <c r="N560">
        <v>750</v>
      </c>
      <c r="O560">
        <v>1</v>
      </c>
      <c r="P560" t="str">
        <f>("1")</f>
        <v>1</v>
      </c>
      <c r="Q560" t="str">
        <f>("DE MEYER Marc")</f>
        <v>DE MEYER Marc</v>
      </c>
      <c r="R560">
        <v>499</v>
      </c>
      <c r="S560">
        <v>703</v>
      </c>
      <c r="T560">
        <v>0</v>
      </c>
      <c r="U560">
        <v>1</v>
      </c>
    </row>
    <row r="561" spans="1:24" x14ac:dyDescent="0.35">
      <c r="A561" t="s">
        <v>8</v>
      </c>
      <c r="B561" t="s">
        <v>9</v>
      </c>
      <c r="C561" t="str">
        <f t="shared" si="80"/>
        <v>11242</v>
      </c>
      <c r="D561" t="s">
        <v>13</v>
      </c>
      <c r="E561" t="str">
        <f t="shared" si="81"/>
        <v>25</v>
      </c>
      <c r="F561">
        <v>26591</v>
      </c>
      <c r="G561">
        <v>23853</v>
      </c>
      <c r="H561">
        <v>983</v>
      </c>
      <c r="I561" t="str">
        <f t="shared" si="82"/>
        <v>5</v>
      </c>
      <c r="J561" t="str">
        <f t="shared" si="83"/>
        <v>VLAAMS BELANG</v>
      </c>
      <c r="K561">
        <v>612</v>
      </c>
      <c r="L561">
        <v>887</v>
      </c>
      <c r="M561">
        <v>1499</v>
      </c>
      <c r="N561">
        <v>750</v>
      </c>
      <c r="O561">
        <v>1</v>
      </c>
      <c r="P561" t="str">
        <f>("2")</f>
        <v>2</v>
      </c>
      <c r="Q561" t="str">
        <f>("BALEMANS Maria")</f>
        <v>BALEMANS Maria</v>
      </c>
      <c r="R561">
        <v>109</v>
      </c>
      <c r="S561" t="s">
        <v>44</v>
      </c>
      <c r="T561">
        <v>0</v>
      </c>
      <c r="V561">
        <v>1</v>
      </c>
      <c r="W561">
        <v>313</v>
      </c>
      <c r="X561">
        <v>0</v>
      </c>
    </row>
    <row r="562" spans="1:24" x14ac:dyDescent="0.35">
      <c r="A562" t="s">
        <v>8</v>
      </c>
      <c r="B562" t="s">
        <v>9</v>
      </c>
      <c r="C562" t="str">
        <f t="shared" si="80"/>
        <v>11242</v>
      </c>
      <c r="D562" t="s">
        <v>13</v>
      </c>
      <c r="E562" t="str">
        <f t="shared" si="81"/>
        <v>25</v>
      </c>
      <c r="F562">
        <v>26591</v>
      </c>
      <c r="G562">
        <v>23853</v>
      </c>
      <c r="H562">
        <v>983</v>
      </c>
      <c r="I562" t="str">
        <f t="shared" si="82"/>
        <v>5</v>
      </c>
      <c r="J562" t="str">
        <f t="shared" si="83"/>
        <v>VLAAMS BELANG</v>
      </c>
      <c r="K562">
        <v>612</v>
      </c>
      <c r="L562">
        <v>887</v>
      </c>
      <c r="M562">
        <v>1499</v>
      </c>
      <c r="N562">
        <v>750</v>
      </c>
      <c r="O562">
        <v>1</v>
      </c>
      <c r="P562" t="str">
        <f>("3")</f>
        <v>3</v>
      </c>
      <c r="Q562" t="str">
        <f>("VAN GYSEL Gillis")</f>
        <v>VAN GYSEL Gillis</v>
      </c>
      <c r="R562">
        <v>47</v>
      </c>
      <c r="S562" t="s">
        <v>44</v>
      </c>
      <c r="T562">
        <v>0</v>
      </c>
      <c r="V562">
        <v>4</v>
      </c>
      <c r="W562">
        <v>47</v>
      </c>
      <c r="X562">
        <v>0</v>
      </c>
    </row>
    <row r="563" spans="1:24" x14ac:dyDescent="0.35">
      <c r="A563" t="s">
        <v>8</v>
      </c>
      <c r="B563" t="s">
        <v>9</v>
      </c>
      <c r="C563" t="str">
        <f t="shared" si="80"/>
        <v>11242</v>
      </c>
      <c r="D563" t="s">
        <v>13</v>
      </c>
      <c r="E563" t="str">
        <f t="shared" si="81"/>
        <v>25</v>
      </c>
      <c r="F563">
        <v>26591</v>
      </c>
      <c r="G563">
        <v>23853</v>
      </c>
      <c r="H563">
        <v>983</v>
      </c>
      <c r="I563" t="str">
        <f t="shared" si="82"/>
        <v>5</v>
      </c>
      <c r="J563" t="str">
        <f t="shared" si="83"/>
        <v>VLAAMS BELANG</v>
      </c>
      <c r="K563">
        <v>612</v>
      </c>
      <c r="L563">
        <v>887</v>
      </c>
      <c r="M563">
        <v>1499</v>
      </c>
      <c r="N563">
        <v>750</v>
      </c>
      <c r="O563">
        <v>1</v>
      </c>
      <c r="P563" t="str">
        <f>("4")</f>
        <v>4</v>
      </c>
      <c r="Q563" t="str">
        <f>("JORDENS Rita")</f>
        <v>JORDENS Rita</v>
      </c>
      <c r="R563">
        <v>42</v>
      </c>
      <c r="S563" t="s">
        <v>44</v>
      </c>
      <c r="T563">
        <v>0</v>
      </c>
      <c r="V563">
        <v>6</v>
      </c>
      <c r="W563">
        <v>42</v>
      </c>
      <c r="X563">
        <v>0</v>
      </c>
    </row>
    <row r="564" spans="1:24" x14ac:dyDescent="0.35">
      <c r="A564" t="s">
        <v>8</v>
      </c>
      <c r="B564" t="s">
        <v>9</v>
      </c>
      <c r="C564" t="str">
        <f t="shared" si="80"/>
        <v>11242</v>
      </c>
      <c r="D564" t="s">
        <v>13</v>
      </c>
      <c r="E564" t="str">
        <f t="shared" si="81"/>
        <v>25</v>
      </c>
      <c r="F564">
        <v>26591</v>
      </c>
      <c r="G564">
        <v>23853</v>
      </c>
      <c r="H564">
        <v>983</v>
      </c>
      <c r="I564" t="str">
        <f t="shared" si="82"/>
        <v>5</v>
      </c>
      <c r="J564" t="str">
        <f t="shared" si="83"/>
        <v>VLAAMS BELANG</v>
      </c>
      <c r="K564">
        <v>612</v>
      </c>
      <c r="L564">
        <v>887</v>
      </c>
      <c r="M564">
        <v>1499</v>
      </c>
      <c r="N564">
        <v>750</v>
      </c>
      <c r="O564">
        <v>1</v>
      </c>
      <c r="P564" t="str">
        <f>("5")</f>
        <v>5</v>
      </c>
      <c r="Q564" t="str">
        <f>("DEVRIEZE Chris")</f>
        <v>DEVRIEZE Chris</v>
      </c>
      <c r="R564">
        <v>54</v>
      </c>
      <c r="S564" t="s">
        <v>44</v>
      </c>
      <c r="T564">
        <v>0</v>
      </c>
      <c r="V564">
        <v>3</v>
      </c>
      <c r="W564">
        <v>54</v>
      </c>
      <c r="X564">
        <v>0</v>
      </c>
    </row>
    <row r="565" spans="1:24" x14ac:dyDescent="0.35">
      <c r="A565" t="s">
        <v>8</v>
      </c>
      <c r="B565" t="s">
        <v>9</v>
      </c>
      <c r="C565" t="str">
        <f t="shared" si="80"/>
        <v>11242</v>
      </c>
      <c r="D565" t="s">
        <v>13</v>
      </c>
      <c r="E565" t="str">
        <f t="shared" si="81"/>
        <v>25</v>
      </c>
      <c r="F565">
        <v>26591</v>
      </c>
      <c r="G565">
        <v>23853</v>
      </c>
      <c r="H565">
        <v>983</v>
      </c>
      <c r="I565" t="str">
        <f t="shared" si="82"/>
        <v>5</v>
      </c>
      <c r="J565" t="str">
        <f t="shared" si="83"/>
        <v>VLAAMS BELANG</v>
      </c>
      <c r="K565">
        <v>612</v>
      </c>
      <c r="L565">
        <v>887</v>
      </c>
      <c r="M565">
        <v>1499</v>
      </c>
      <c r="N565">
        <v>750</v>
      </c>
      <c r="O565">
        <v>1</v>
      </c>
      <c r="P565" t="str">
        <f>("6")</f>
        <v>6</v>
      </c>
      <c r="Q565" t="str">
        <f>("COTTENIE Liliane")</f>
        <v>COTTENIE Liliane</v>
      </c>
      <c r="R565">
        <v>40</v>
      </c>
      <c r="S565" t="s">
        <v>44</v>
      </c>
      <c r="T565">
        <v>0</v>
      </c>
      <c r="V565">
        <v>9</v>
      </c>
      <c r="W565">
        <v>40</v>
      </c>
      <c r="X565">
        <v>0</v>
      </c>
    </row>
    <row r="566" spans="1:24" x14ac:dyDescent="0.35">
      <c r="A566" t="s">
        <v>8</v>
      </c>
      <c r="B566" t="s">
        <v>9</v>
      </c>
      <c r="C566" t="str">
        <f t="shared" si="80"/>
        <v>11242</v>
      </c>
      <c r="D566" t="s">
        <v>13</v>
      </c>
      <c r="E566" t="str">
        <f t="shared" si="81"/>
        <v>25</v>
      </c>
      <c r="F566">
        <v>26591</v>
      </c>
      <c r="G566">
        <v>23853</v>
      </c>
      <c r="H566">
        <v>983</v>
      </c>
      <c r="I566" t="str">
        <f t="shared" si="82"/>
        <v>5</v>
      </c>
      <c r="J566" t="str">
        <f t="shared" si="83"/>
        <v>VLAAMS BELANG</v>
      </c>
      <c r="K566">
        <v>612</v>
      </c>
      <c r="L566">
        <v>887</v>
      </c>
      <c r="M566">
        <v>1499</v>
      </c>
      <c r="N566">
        <v>750</v>
      </c>
      <c r="O566">
        <v>1</v>
      </c>
      <c r="P566" t="str">
        <f>("7")</f>
        <v>7</v>
      </c>
      <c r="Q566" t="str">
        <f>("SWOLFS Jean")</f>
        <v>SWOLFS Jean</v>
      </c>
      <c r="R566">
        <v>42</v>
      </c>
      <c r="S566" t="s">
        <v>44</v>
      </c>
      <c r="T566">
        <v>0</v>
      </c>
      <c r="V566">
        <v>7</v>
      </c>
      <c r="W566">
        <v>42</v>
      </c>
      <c r="X566">
        <v>0</v>
      </c>
    </row>
    <row r="567" spans="1:24" x14ac:dyDescent="0.35">
      <c r="A567" t="s">
        <v>8</v>
      </c>
      <c r="B567" t="s">
        <v>9</v>
      </c>
      <c r="C567" t="str">
        <f t="shared" si="80"/>
        <v>11242</v>
      </c>
      <c r="D567" t="s">
        <v>13</v>
      </c>
      <c r="E567" t="str">
        <f t="shared" si="81"/>
        <v>25</v>
      </c>
      <c r="F567">
        <v>26591</v>
      </c>
      <c r="G567">
        <v>23853</v>
      </c>
      <c r="H567">
        <v>983</v>
      </c>
      <c r="I567" t="str">
        <f t="shared" si="82"/>
        <v>5</v>
      </c>
      <c r="J567" t="str">
        <f t="shared" si="83"/>
        <v>VLAAMS BELANG</v>
      </c>
      <c r="K567">
        <v>612</v>
      </c>
      <c r="L567">
        <v>887</v>
      </c>
      <c r="M567">
        <v>1499</v>
      </c>
      <c r="N567">
        <v>750</v>
      </c>
      <c r="O567">
        <v>1</v>
      </c>
      <c r="P567" t="str">
        <f>("8")</f>
        <v>8</v>
      </c>
      <c r="Q567" t="str">
        <f>("DE PAEPE Jacqueline")</f>
        <v>DE PAEPE Jacqueline</v>
      </c>
      <c r="R567">
        <v>33</v>
      </c>
      <c r="S567" t="s">
        <v>44</v>
      </c>
      <c r="T567">
        <v>0</v>
      </c>
      <c r="V567">
        <v>14</v>
      </c>
      <c r="W567">
        <v>33</v>
      </c>
      <c r="X567">
        <v>0</v>
      </c>
    </row>
    <row r="568" spans="1:24" x14ac:dyDescent="0.35">
      <c r="A568" t="s">
        <v>8</v>
      </c>
      <c r="B568" t="s">
        <v>9</v>
      </c>
      <c r="C568" t="str">
        <f t="shared" si="80"/>
        <v>11242</v>
      </c>
      <c r="D568" t="s">
        <v>13</v>
      </c>
      <c r="E568" t="str">
        <f t="shared" si="81"/>
        <v>25</v>
      </c>
      <c r="F568">
        <v>26591</v>
      </c>
      <c r="G568">
        <v>23853</v>
      </c>
      <c r="H568">
        <v>983</v>
      </c>
      <c r="I568" t="str">
        <f t="shared" si="82"/>
        <v>5</v>
      </c>
      <c r="J568" t="str">
        <f t="shared" si="83"/>
        <v>VLAAMS BELANG</v>
      </c>
      <c r="K568">
        <v>612</v>
      </c>
      <c r="L568">
        <v>887</v>
      </c>
      <c r="M568">
        <v>1499</v>
      </c>
      <c r="N568">
        <v>750</v>
      </c>
      <c r="O568">
        <v>1</v>
      </c>
      <c r="P568" t="str">
        <f>("9")</f>
        <v>9</v>
      </c>
      <c r="Q568" t="str">
        <f>("CORTEN Jos")</f>
        <v>CORTEN Jos</v>
      </c>
      <c r="R568">
        <v>32</v>
      </c>
      <c r="S568" t="s">
        <v>44</v>
      </c>
      <c r="T568">
        <v>0</v>
      </c>
      <c r="V568">
        <v>15</v>
      </c>
      <c r="W568">
        <v>32</v>
      </c>
      <c r="X568">
        <v>0</v>
      </c>
    </row>
    <row r="569" spans="1:24" x14ac:dyDescent="0.35">
      <c r="A569" t="s">
        <v>8</v>
      </c>
      <c r="B569" t="s">
        <v>9</v>
      </c>
      <c r="C569" t="str">
        <f t="shared" si="80"/>
        <v>11242</v>
      </c>
      <c r="D569" t="s">
        <v>13</v>
      </c>
      <c r="E569" t="str">
        <f t="shared" si="81"/>
        <v>25</v>
      </c>
      <c r="F569">
        <v>26591</v>
      </c>
      <c r="G569">
        <v>23853</v>
      </c>
      <c r="H569">
        <v>983</v>
      </c>
      <c r="I569" t="str">
        <f t="shared" si="82"/>
        <v>5</v>
      </c>
      <c r="J569" t="str">
        <f t="shared" si="83"/>
        <v>VLAAMS BELANG</v>
      </c>
      <c r="K569">
        <v>612</v>
      </c>
      <c r="L569">
        <v>887</v>
      </c>
      <c r="M569">
        <v>1499</v>
      </c>
      <c r="N569">
        <v>750</v>
      </c>
      <c r="O569">
        <v>1</v>
      </c>
      <c r="P569" t="str">
        <f>("10")</f>
        <v>10</v>
      </c>
      <c r="Q569" t="str">
        <f>("SCHOLLEN Machteld")</f>
        <v>SCHOLLEN Machteld</v>
      </c>
      <c r="R569">
        <v>36</v>
      </c>
      <c r="S569" t="s">
        <v>44</v>
      </c>
      <c r="T569">
        <v>0</v>
      </c>
      <c r="V569">
        <v>13</v>
      </c>
      <c r="W569">
        <v>36</v>
      </c>
      <c r="X569">
        <v>0</v>
      </c>
    </row>
    <row r="570" spans="1:24" x14ac:dyDescent="0.35">
      <c r="A570" t="s">
        <v>8</v>
      </c>
      <c r="B570" t="s">
        <v>9</v>
      </c>
      <c r="C570" t="str">
        <f t="shared" si="80"/>
        <v>11242</v>
      </c>
      <c r="D570" t="s">
        <v>13</v>
      </c>
      <c r="E570" t="str">
        <f t="shared" si="81"/>
        <v>25</v>
      </c>
      <c r="F570">
        <v>26591</v>
      </c>
      <c r="G570">
        <v>23853</v>
      </c>
      <c r="H570">
        <v>983</v>
      </c>
      <c r="I570" t="str">
        <f t="shared" si="82"/>
        <v>5</v>
      </c>
      <c r="J570" t="str">
        <f t="shared" si="83"/>
        <v>VLAAMS BELANG</v>
      </c>
      <c r="K570">
        <v>612</v>
      </c>
      <c r="L570">
        <v>887</v>
      </c>
      <c r="M570">
        <v>1499</v>
      </c>
      <c r="N570">
        <v>750</v>
      </c>
      <c r="O570">
        <v>1</v>
      </c>
      <c r="P570" t="str">
        <f>("11")</f>
        <v>11</v>
      </c>
      <c r="Q570" t="str">
        <f>("VAN RUYSSEVELT Theo")</f>
        <v>VAN RUYSSEVELT Theo</v>
      </c>
      <c r="R570">
        <v>29</v>
      </c>
      <c r="S570" t="s">
        <v>44</v>
      </c>
      <c r="T570">
        <v>0</v>
      </c>
      <c r="V570">
        <v>17</v>
      </c>
      <c r="W570">
        <v>29</v>
      </c>
      <c r="X570">
        <v>0</v>
      </c>
    </row>
    <row r="571" spans="1:24" x14ac:dyDescent="0.35">
      <c r="A571" t="s">
        <v>8</v>
      </c>
      <c r="B571" t="s">
        <v>9</v>
      </c>
      <c r="C571" t="str">
        <f t="shared" si="80"/>
        <v>11242</v>
      </c>
      <c r="D571" t="s">
        <v>13</v>
      </c>
      <c r="E571" t="str">
        <f t="shared" si="81"/>
        <v>25</v>
      </c>
      <c r="F571">
        <v>26591</v>
      </c>
      <c r="G571">
        <v>23853</v>
      </c>
      <c r="H571">
        <v>983</v>
      </c>
      <c r="I571" t="str">
        <f t="shared" si="82"/>
        <v>5</v>
      </c>
      <c r="J571" t="str">
        <f t="shared" si="83"/>
        <v>VLAAMS BELANG</v>
      </c>
      <c r="K571">
        <v>612</v>
      </c>
      <c r="L571">
        <v>887</v>
      </c>
      <c r="M571">
        <v>1499</v>
      </c>
      <c r="N571">
        <v>750</v>
      </c>
      <c r="O571">
        <v>1</v>
      </c>
      <c r="P571" t="str">
        <f>("12")</f>
        <v>12</v>
      </c>
      <c r="Q571" t="str">
        <f>("PROVOST Sara")</f>
        <v>PROVOST Sara</v>
      </c>
      <c r="R571">
        <v>38</v>
      </c>
      <c r="S571" t="s">
        <v>44</v>
      </c>
      <c r="T571">
        <v>0</v>
      </c>
      <c r="V571">
        <v>11</v>
      </c>
      <c r="W571">
        <v>38</v>
      </c>
      <c r="X571">
        <v>0</v>
      </c>
    </row>
    <row r="572" spans="1:24" x14ac:dyDescent="0.35">
      <c r="A572" t="s">
        <v>8</v>
      </c>
      <c r="B572" t="s">
        <v>9</v>
      </c>
      <c r="C572" t="str">
        <f t="shared" si="80"/>
        <v>11242</v>
      </c>
      <c r="D572" t="s">
        <v>13</v>
      </c>
      <c r="E572" t="str">
        <f t="shared" si="81"/>
        <v>25</v>
      </c>
      <c r="F572">
        <v>26591</v>
      </c>
      <c r="G572">
        <v>23853</v>
      </c>
      <c r="H572">
        <v>983</v>
      </c>
      <c r="I572" t="str">
        <f t="shared" si="82"/>
        <v>5</v>
      </c>
      <c r="J572" t="str">
        <f t="shared" si="83"/>
        <v>VLAAMS BELANG</v>
      </c>
      <c r="K572">
        <v>612</v>
      </c>
      <c r="L572">
        <v>887</v>
      </c>
      <c r="M572">
        <v>1499</v>
      </c>
      <c r="N572">
        <v>750</v>
      </c>
      <c r="O572">
        <v>1</v>
      </c>
      <c r="P572" t="str">
        <f>("13")</f>
        <v>13</v>
      </c>
      <c r="Q572" t="str">
        <f>("TOURNÉ Judith")</f>
        <v>TOURNÉ Judith</v>
      </c>
      <c r="R572">
        <v>28</v>
      </c>
      <c r="S572" t="s">
        <v>44</v>
      </c>
      <c r="T572">
        <v>0</v>
      </c>
      <c r="V572">
        <v>19</v>
      </c>
      <c r="W572">
        <v>28</v>
      </c>
      <c r="X572">
        <v>0</v>
      </c>
    </row>
    <row r="573" spans="1:24" x14ac:dyDescent="0.35">
      <c r="A573" t="s">
        <v>8</v>
      </c>
      <c r="B573" t="s">
        <v>9</v>
      </c>
      <c r="C573" t="str">
        <f t="shared" si="80"/>
        <v>11242</v>
      </c>
      <c r="D573" t="s">
        <v>13</v>
      </c>
      <c r="E573" t="str">
        <f t="shared" si="81"/>
        <v>25</v>
      </c>
      <c r="F573">
        <v>26591</v>
      </c>
      <c r="G573">
        <v>23853</v>
      </c>
      <c r="H573">
        <v>983</v>
      </c>
      <c r="I573" t="str">
        <f t="shared" si="82"/>
        <v>5</v>
      </c>
      <c r="J573" t="str">
        <f t="shared" si="83"/>
        <v>VLAAMS BELANG</v>
      </c>
      <c r="K573">
        <v>612</v>
      </c>
      <c r="L573">
        <v>887</v>
      </c>
      <c r="M573">
        <v>1499</v>
      </c>
      <c r="N573">
        <v>750</v>
      </c>
      <c r="O573">
        <v>1</v>
      </c>
      <c r="P573" t="str">
        <f>("14")</f>
        <v>14</v>
      </c>
      <c r="Q573" t="str">
        <f>("ALLEMON Mark")</f>
        <v>ALLEMON Mark</v>
      </c>
      <c r="R573">
        <v>25</v>
      </c>
      <c r="S573" t="s">
        <v>44</v>
      </c>
      <c r="T573">
        <v>0</v>
      </c>
      <c r="V573">
        <v>21</v>
      </c>
      <c r="W573">
        <v>25</v>
      </c>
      <c r="X573">
        <v>0</v>
      </c>
    </row>
    <row r="574" spans="1:24" x14ac:dyDescent="0.35">
      <c r="A574" t="s">
        <v>8</v>
      </c>
      <c r="B574" t="s">
        <v>9</v>
      </c>
      <c r="C574" t="str">
        <f t="shared" si="80"/>
        <v>11242</v>
      </c>
      <c r="D574" t="s">
        <v>13</v>
      </c>
      <c r="E574" t="str">
        <f t="shared" si="81"/>
        <v>25</v>
      </c>
      <c r="F574">
        <v>26591</v>
      </c>
      <c r="G574">
        <v>23853</v>
      </c>
      <c r="H574">
        <v>983</v>
      </c>
      <c r="I574" t="str">
        <f t="shared" si="82"/>
        <v>5</v>
      </c>
      <c r="J574" t="str">
        <f t="shared" si="83"/>
        <v>VLAAMS BELANG</v>
      </c>
      <c r="K574">
        <v>612</v>
      </c>
      <c r="L574">
        <v>887</v>
      </c>
      <c r="M574">
        <v>1499</v>
      </c>
      <c r="N574">
        <v>750</v>
      </c>
      <c r="O574">
        <v>1</v>
      </c>
      <c r="P574" t="str">
        <f>("15")</f>
        <v>15</v>
      </c>
      <c r="Q574" t="str">
        <f>("ROUSSEEUW Rik")</f>
        <v>ROUSSEEUW Rik</v>
      </c>
      <c r="R574">
        <v>25</v>
      </c>
      <c r="S574" t="s">
        <v>44</v>
      </c>
      <c r="T574">
        <v>0</v>
      </c>
      <c r="V574">
        <v>22</v>
      </c>
      <c r="W574">
        <v>25</v>
      </c>
      <c r="X574">
        <v>0</v>
      </c>
    </row>
    <row r="575" spans="1:24" x14ac:dyDescent="0.35">
      <c r="A575" t="s">
        <v>8</v>
      </c>
      <c r="B575" t="s">
        <v>9</v>
      </c>
      <c r="C575" t="str">
        <f t="shared" si="80"/>
        <v>11242</v>
      </c>
      <c r="D575" t="s">
        <v>13</v>
      </c>
      <c r="E575" t="str">
        <f t="shared" si="81"/>
        <v>25</v>
      </c>
      <c r="F575">
        <v>26591</v>
      </c>
      <c r="G575">
        <v>23853</v>
      </c>
      <c r="H575">
        <v>983</v>
      </c>
      <c r="I575" t="str">
        <f t="shared" si="82"/>
        <v>5</v>
      </c>
      <c r="J575" t="str">
        <f t="shared" si="83"/>
        <v>VLAAMS BELANG</v>
      </c>
      <c r="K575">
        <v>612</v>
      </c>
      <c r="L575">
        <v>887</v>
      </c>
      <c r="M575">
        <v>1499</v>
      </c>
      <c r="N575">
        <v>750</v>
      </c>
      <c r="O575">
        <v>1</v>
      </c>
      <c r="P575" t="str">
        <f>("16")</f>
        <v>16</v>
      </c>
      <c r="Q575" t="str">
        <f>("SCHAEP Frieda")</f>
        <v>SCHAEP Frieda</v>
      </c>
      <c r="R575">
        <v>29</v>
      </c>
      <c r="S575" t="s">
        <v>44</v>
      </c>
      <c r="T575">
        <v>0</v>
      </c>
      <c r="V575">
        <v>18</v>
      </c>
      <c r="W575">
        <v>29</v>
      </c>
      <c r="X575">
        <v>0</v>
      </c>
    </row>
    <row r="576" spans="1:24" x14ac:dyDescent="0.35">
      <c r="A576" t="s">
        <v>8</v>
      </c>
      <c r="B576" t="s">
        <v>9</v>
      </c>
      <c r="C576" t="str">
        <f t="shared" si="80"/>
        <v>11242</v>
      </c>
      <c r="D576" t="s">
        <v>13</v>
      </c>
      <c r="E576" t="str">
        <f t="shared" si="81"/>
        <v>25</v>
      </c>
      <c r="F576">
        <v>26591</v>
      </c>
      <c r="G576">
        <v>23853</v>
      </c>
      <c r="H576">
        <v>983</v>
      </c>
      <c r="I576" t="str">
        <f t="shared" si="82"/>
        <v>5</v>
      </c>
      <c r="J576" t="str">
        <f t="shared" si="83"/>
        <v>VLAAMS BELANG</v>
      </c>
      <c r="K576">
        <v>612</v>
      </c>
      <c r="L576">
        <v>887</v>
      </c>
      <c r="M576">
        <v>1499</v>
      </c>
      <c r="N576">
        <v>750</v>
      </c>
      <c r="O576">
        <v>1</v>
      </c>
      <c r="P576" t="str">
        <f>("17")</f>
        <v>17</v>
      </c>
      <c r="Q576" t="str">
        <f>("BENS Dani")</f>
        <v>BENS Dani</v>
      </c>
      <c r="R576">
        <v>38</v>
      </c>
      <c r="S576" t="s">
        <v>44</v>
      </c>
      <c r="T576">
        <v>0</v>
      </c>
      <c r="V576">
        <v>12</v>
      </c>
      <c r="W576">
        <v>38</v>
      </c>
      <c r="X576">
        <v>0</v>
      </c>
    </row>
    <row r="577" spans="1:24" x14ac:dyDescent="0.35">
      <c r="A577" t="s">
        <v>8</v>
      </c>
      <c r="B577" t="s">
        <v>9</v>
      </c>
      <c r="C577" t="str">
        <f t="shared" si="80"/>
        <v>11242</v>
      </c>
      <c r="D577" t="s">
        <v>13</v>
      </c>
      <c r="E577" t="str">
        <f t="shared" si="81"/>
        <v>25</v>
      </c>
      <c r="F577">
        <v>26591</v>
      </c>
      <c r="G577">
        <v>23853</v>
      </c>
      <c r="H577">
        <v>983</v>
      </c>
      <c r="I577" t="str">
        <f t="shared" si="82"/>
        <v>5</v>
      </c>
      <c r="J577" t="str">
        <f t="shared" si="83"/>
        <v>VLAAMS BELANG</v>
      </c>
      <c r="K577">
        <v>612</v>
      </c>
      <c r="L577">
        <v>887</v>
      </c>
      <c r="M577">
        <v>1499</v>
      </c>
      <c r="N577">
        <v>750</v>
      </c>
      <c r="O577">
        <v>1</v>
      </c>
      <c r="P577" t="str">
        <f>("18")</f>
        <v>18</v>
      </c>
      <c r="Q577" t="str">
        <f>("EVERAERTS Jean")</f>
        <v>EVERAERTS Jean</v>
      </c>
      <c r="R577">
        <v>24</v>
      </c>
      <c r="S577" t="s">
        <v>44</v>
      </c>
      <c r="T577">
        <v>0</v>
      </c>
      <c r="V577">
        <v>24</v>
      </c>
      <c r="W577">
        <v>24</v>
      </c>
      <c r="X577">
        <v>0</v>
      </c>
    </row>
    <row r="578" spans="1:24" x14ac:dyDescent="0.35">
      <c r="A578" t="s">
        <v>8</v>
      </c>
      <c r="B578" t="s">
        <v>9</v>
      </c>
      <c r="C578" t="str">
        <f t="shared" si="80"/>
        <v>11242</v>
      </c>
      <c r="D578" t="s">
        <v>13</v>
      </c>
      <c r="E578" t="str">
        <f t="shared" si="81"/>
        <v>25</v>
      </c>
      <c r="F578">
        <v>26591</v>
      </c>
      <c r="G578">
        <v>23853</v>
      </c>
      <c r="H578">
        <v>983</v>
      </c>
      <c r="I578" t="str">
        <f t="shared" si="82"/>
        <v>5</v>
      </c>
      <c r="J578" t="str">
        <f t="shared" si="83"/>
        <v>VLAAMS BELANG</v>
      </c>
      <c r="K578">
        <v>612</v>
      </c>
      <c r="L578">
        <v>887</v>
      </c>
      <c r="M578">
        <v>1499</v>
      </c>
      <c r="N578">
        <v>750</v>
      </c>
      <c r="O578">
        <v>1</v>
      </c>
      <c r="P578" t="str">
        <f>("19")</f>
        <v>19</v>
      </c>
      <c r="Q578" t="str">
        <f>("MARNEFFE Charly")</f>
        <v>MARNEFFE Charly</v>
      </c>
      <c r="R578">
        <v>32</v>
      </c>
      <c r="S578" t="s">
        <v>44</v>
      </c>
      <c r="T578">
        <v>0</v>
      </c>
      <c r="V578">
        <v>16</v>
      </c>
      <c r="W578">
        <v>32</v>
      </c>
      <c r="X578">
        <v>0</v>
      </c>
    </row>
    <row r="579" spans="1:24" x14ac:dyDescent="0.35">
      <c r="A579" t="s">
        <v>8</v>
      </c>
      <c r="B579" t="s">
        <v>9</v>
      </c>
      <c r="C579" t="str">
        <f t="shared" si="80"/>
        <v>11242</v>
      </c>
      <c r="D579" t="s">
        <v>13</v>
      </c>
      <c r="E579" t="str">
        <f t="shared" si="81"/>
        <v>25</v>
      </c>
      <c r="F579">
        <v>26591</v>
      </c>
      <c r="G579">
        <v>23853</v>
      </c>
      <c r="H579">
        <v>983</v>
      </c>
      <c r="I579" t="str">
        <f t="shared" si="82"/>
        <v>5</v>
      </c>
      <c r="J579" t="str">
        <f t="shared" si="83"/>
        <v>VLAAMS BELANG</v>
      </c>
      <c r="K579">
        <v>612</v>
      </c>
      <c r="L579">
        <v>887</v>
      </c>
      <c r="M579">
        <v>1499</v>
      </c>
      <c r="N579">
        <v>750</v>
      </c>
      <c r="O579">
        <v>1</v>
      </c>
      <c r="P579" t="str">
        <f>("20")</f>
        <v>20</v>
      </c>
      <c r="Q579" t="str">
        <f>("DOX Ludo")</f>
        <v>DOX Ludo</v>
      </c>
      <c r="R579">
        <v>25</v>
      </c>
      <c r="S579" t="s">
        <v>44</v>
      </c>
      <c r="T579">
        <v>0</v>
      </c>
      <c r="V579">
        <v>23</v>
      </c>
      <c r="W579">
        <v>25</v>
      </c>
      <c r="X579">
        <v>0</v>
      </c>
    </row>
    <row r="580" spans="1:24" x14ac:dyDescent="0.35">
      <c r="A580" t="s">
        <v>8</v>
      </c>
      <c r="B580" t="s">
        <v>9</v>
      </c>
      <c r="C580" t="str">
        <f t="shared" si="80"/>
        <v>11242</v>
      </c>
      <c r="D580" t="s">
        <v>13</v>
      </c>
      <c r="E580" t="str">
        <f t="shared" si="81"/>
        <v>25</v>
      </c>
      <c r="F580">
        <v>26591</v>
      </c>
      <c r="G580">
        <v>23853</v>
      </c>
      <c r="H580">
        <v>983</v>
      </c>
      <c r="I580" t="str">
        <f t="shared" si="82"/>
        <v>5</v>
      </c>
      <c r="J580" t="str">
        <f t="shared" si="83"/>
        <v>VLAAMS BELANG</v>
      </c>
      <c r="K580">
        <v>612</v>
      </c>
      <c r="L580">
        <v>887</v>
      </c>
      <c r="M580">
        <v>1499</v>
      </c>
      <c r="N580">
        <v>750</v>
      </c>
      <c r="O580">
        <v>1</v>
      </c>
      <c r="P580" t="str">
        <f>("21")</f>
        <v>21</v>
      </c>
      <c r="Q580" t="str">
        <f>("APPELTANT Carla")</f>
        <v>APPELTANT Carla</v>
      </c>
      <c r="R580">
        <v>41</v>
      </c>
      <c r="S580" t="s">
        <v>44</v>
      </c>
      <c r="T580">
        <v>0</v>
      </c>
      <c r="V580">
        <v>8</v>
      </c>
      <c r="W580">
        <v>41</v>
      </c>
      <c r="X580">
        <v>0</v>
      </c>
    </row>
    <row r="581" spans="1:24" x14ac:dyDescent="0.35">
      <c r="A581" t="s">
        <v>8</v>
      </c>
      <c r="B581" t="s">
        <v>9</v>
      </c>
      <c r="C581" t="str">
        <f t="shared" si="80"/>
        <v>11242</v>
      </c>
      <c r="D581" t="s">
        <v>13</v>
      </c>
      <c r="E581" t="str">
        <f t="shared" si="81"/>
        <v>25</v>
      </c>
      <c r="F581">
        <v>26591</v>
      </c>
      <c r="G581">
        <v>23853</v>
      </c>
      <c r="H581">
        <v>983</v>
      </c>
      <c r="I581" t="str">
        <f t="shared" si="82"/>
        <v>5</v>
      </c>
      <c r="J581" t="str">
        <f t="shared" si="83"/>
        <v>VLAAMS BELANG</v>
      </c>
      <c r="K581">
        <v>612</v>
      </c>
      <c r="L581">
        <v>887</v>
      </c>
      <c r="M581">
        <v>1499</v>
      </c>
      <c r="N581">
        <v>750</v>
      </c>
      <c r="O581">
        <v>1</v>
      </c>
      <c r="P581" t="str">
        <f>("22")</f>
        <v>22</v>
      </c>
      <c r="Q581" t="str">
        <f>("EMBRECHTS Alex")</f>
        <v>EMBRECHTS Alex</v>
      </c>
      <c r="R581">
        <v>28</v>
      </c>
      <c r="S581" t="s">
        <v>44</v>
      </c>
      <c r="T581">
        <v>0</v>
      </c>
      <c r="V581">
        <v>20</v>
      </c>
      <c r="W581">
        <v>28</v>
      </c>
      <c r="X581">
        <v>0</v>
      </c>
    </row>
    <row r="582" spans="1:24" x14ac:dyDescent="0.35">
      <c r="A582" t="s">
        <v>8</v>
      </c>
      <c r="B582" t="s">
        <v>9</v>
      </c>
      <c r="C582" t="str">
        <f t="shared" si="80"/>
        <v>11242</v>
      </c>
      <c r="D582" t="s">
        <v>13</v>
      </c>
      <c r="E582" t="str">
        <f t="shared" si="81"/>
        <v>25</v>
      </c>
      <c r="F582">
        <v>26591</v>
      </c>
      <c r="G582">
        <v>23853</v>
      </c>
      <c r="H582">
        <v>983</v>
      </c>
      <c r="I582" t="str">
        <f t="shared" si="82"/>
        <v>5</v>
      </c>
      <c r="J582" t="str">
        <f t="shared" si="83"/>
        <v>VLAAMS BELANG</v>
      </c>
      <c r="K582">
        <v>612</v>
      </c>
      <c r="L582">
        <v>887</v>
      </c>
      <c r="M582">
        <v>1499</v>
      </c>
      <c r="N582">
        <v>750</v>
      </c>
      <c r="O582">
        <v>1</v>
      </c>
      <c r="P582" t="str">
        <f>("23")</f>
        <v>23</v>
      </c>
      <c r="Q582" t="str">
        <f>("HUYSMANS Fientje")</f>
        <v>HUYSMANS Fientje</v>
      </c>
      <c r="R582">
        <v>39</v>
      </c>
      <c r="S582" t="s">
        <v>44</v>
      </c>
      <c r="T582">
        <v>0</v>
      </c>
      <c r="V582">
        <v>10</v>
      </c>
      <c r="W582">
        <v>39</v>
      </c>
      <c r="X582">
        <v>0</v>
      </c>
    </row>
    <row r="583" spans="1:24" x14ac:dyDescent="0.35">
      <c r="A583" t="s">
        <v>8</v>
      </c>
      <c r="B583" t="s">
        <v>9</v>
      </c>
      <c r="C583" t="str">
        <f t="shared" si="80"/>
        <v>11242</v>
      </c>
      <c r="D583" t="s">
        <v>13</v>
      </c>
      <c r="E583" t="str">
        <f t="shared" si="81"/>
        <v>25</v>
      </c>
      <c r="F583">
        <v>26591</v>
      </c>
      <c r="G583">
        <v>23853</v>
      </c>
      <c r="H583">
        <v>983</v>
      </c>
      <c r="I583" t="str">
        <f t="shared" si="82"/>
        <v>5</v>
      </c>
      <c r="J583" t="str">
        <f t="shared" si="83"/>
        <v>VLAAMS BELANG</v>
      </c>
      <c r="K583">
        <v>612</v>
      </c>
      <c r="L583">
        <v>887</v>
      </c>
      <c r="M583">
        <v>1499</v>
      </c>
      <c r="N583">
        <v>750</v>
      </c>
      <c r="O583">
        <v>1</v>
      </c>
      <c r="P583" t="str">
        <f>("24")</f>
        <v>24</v>
      </c>
      <c r="Q583" t="str">
        <f>("BROECKX Ann")</f>
        <v>BROECKX Ann</v>
      </c>
      <c r="R583">
        <v>44</v>
      </c>
      <c r="S583" t="s">
        <v>44</v>
      </c>
      <c r="T583">
        <v>0</v>
      </c>
      <c r="V583">
        <v>5</v>
      </c>
      <c r="W583">
        <v>44</v>
      </c>
      <c r="X583">
        <v>0</v>
      </c>
    </row>
    <row r="584" spans="1:24" x14ac:dyDescent="0.35">
      <c r="A584" t="s">
        <v>8</v>
      </c>
      <c r="B584" t="s">
        <v>9</v>
      </c>
      <c r="C584" t="str">
        <f t="shared" si="80"/>
        <v>11242</v>
      </c>
      <c r="D584" t="s">
        <v>13</v>
      </c>
      <c r="E584" t="str">
        <f t="shared" si="81"/>
        <v>25</v>
      </c>
      <c r="F584">
        <v>26591</v>
      </c>
      <c r="G584">
        <v>23853</v>
      </c>
      <c r="H584">
        <v>983</v>
      </c>
      <c r="I584" t="str">
        <f t="shared" si="82"/>
        <v>5</v>
      </c>
      <c r="J584" t="str">
        <f t="shared" si="83"/>
        <v>VLAAMS BELANG</v>
      </c>
      <c r="K584">
        <v>612</v>
      </c>
      <c r="L584">
        <v>887</v>
      </c>
      <c r="M584">
        <v>1499</v>
      </c>
      <c r="N584">
        <v>750</v>
      </c>
      <c r="O584">
        <v>1</v>
      </c>
      <c r="P584" t="str">
        <f>("25")</f>
        <v>25</v>
      </c>
      <c r="Q584" t="str">
        <f>("WOLF John")</f>
        <v>WOLF John</v>
      </c>
      <c r="R584">
        <v>78</v>
      </c>
      <c r="S584" t="s">
        <v>44</v>
      </c>
      <c r="T584">
        <v>0</v>
      </c>
      <c r="V584">
        <v>2</v>
      </c>
      <c r="W584">
        <v>78</v>
      </c>
      <c r="X584">
        <v>0</v>
      </c>
    </row>
    <row r="585" spans="1:24" x14ac:dyDescent="0.35">
      <c r="A585" t="s">
        <v>8</v>
      </c>
      <c r="B585" t="s">
        <v>9</v>
      </c>
      <c r="C585" t="str">
        <f t="shared" si="80"/>
        <v>11242</v>
      </c>
      <c r="D585" t="s">
        <v>13</v>
      </c>
      <c r="E585" t="str">
        <f t="shared" si="81"/>
        <v>25</v>
      </c>
      <c r="F585">
        <v>26591</v>
      </c>
      <c r="G585">
        <v>23853</v>
      </c>
      <c r="H585">
        <v>983</v>
      </c>
      <c r="I585" t="str">
        <f t="shared" ref="I585:I609" si="84">("6")</f>
        <v>6</v>
      </c>
      <c r="J585" t="str">
        <f t="shared" ref="J585:J609" si="85">("Open Vld")</f>
        <v>Open Vld</v>
      </c>
      <c r="K585">
        <v>308</v>
      </c>
      <c r="L585">
        <v>612</v>
      </c>
      <c r="M585">
        <v>920</v>
      </c>
      <c r="N585">
        <v>460</v>
      </c>
      <c r="O585">
        <v>1</v>
      </c>
      <c r="P585" t="str">
        <f>("1")</f>
        <v>1</v>
      </c>
      <c r="Q585" t="str">
        <f>("MAES Hans")</f>
        <v>MAES Hans</v>
      </c>
      <c r="R585">
        <v>260</v>
      </c>
      <c r="S585">
        <v>363</v>
      </c>
      <c r="T585">
        <v>0</v>
      </c>
      <c r="U585">
        <v>1</v>
      </c>
    </row>
    <row r="586" spans="1:24" x14ac:dyDescent="0.35">
      <c r="A586" t="s">
        <v>8</v>
      </c>
      <c r="B586" t="s">
        <v>9</v>
      </c>
      <c r="C586" t="str">
        <f t="shared" si="80"/>
        <v>11242</v>
      </c>
      <c r="D586" t="s">
        <v>13</v>
      </c>
      <c r="E586" t="str">
        <f t="shared" si="81"/>
        <v>25</v>
      </c>
      <c r="F586">
        <v>26591</v>
      </c>
      <c r="G586">
        <v>23853</v>
      </c>
      <c r="H586">
        <v>983</v>
      </c>
      <c r="I586" t="str">
        <f t="shared" si="84"/>
        <v>6</v>
      </c>
      <c r="J586" t="str">
        <f t="shared" si="85"/>
        <v>Open Vld</v>
      </c>
      <c r="K586">
        <v>308</v>
      </c>
      <c r="L586">
        <v>612</v>
      </c>
      <c r="M586">
        <v>920</v>
      </c>
      <c r="N586">
        <v>460</v>
      </c>
      <c r="O586">
        <v>1</v>
      </c>
      <c r="P586" t="str">
        <f>("2")</f>
        <v>2</v>
      </c>
      <c r="Q586" t="str">
        <f>("ENTA Tracy")</f>
        <v>ENTA Tracy</v>
      </c>
      <c r="R586">
        <v>187</v>
      </c>
      <c r="S586" t="s">
        <v>44</v>
      </c>
      <c r="T586">
        <v>0</v>
      </c>
      <c r="V586">
        <v>1</v>
      </c>
      <c r="W586">
        <v>290</v>
      </c>
      <c r="X586">
        <v>0</v>
      </c>
    </row>
    <row r="587" spans="1:24" x14ac:dyDescent="0.35">
      <c r="A587" t="s">
        <v>8</v>
      </c>
      <c r="B587" t="s">
        <v>9</v>
      </c>
      <c r="C587" t="str">
        <f t="shared" si="80"/>
        <v>11242</v>
      </c>
      <c r="D587" t="s">
        <v>13</v>
      </c>
      <c r="E587" t="str">
        <f t="shared" si="81"/>
        <v>25</v>
      </c>
      <c r="F587">
        <v>26591</v>
      </c>
      <c r="G587">
        <v>23853</v>
      </c>
      <c r="H587">
        <v>983</v>
      </c>
      <c r="I587" t="str">
        <f t="shared" si="84"/>
        <v>6</v>
      </c>
      <c r="J587" t="str">
        <f t="shared" si="85"/>
        <v>Open Vld</v>
      </c>
      <c r="K587">
        <v>308</v>
      </c>
      <c r="L587">
        <v>612</v>
      </c>
      <c r="M587">
        <v>920</v>
      </c>
      <c r="N587">
        <v>460</v>
      </c>
      <c r="O587">
        <v>1</v>
      </c>
      <c r="P587" t="str">
        <f>("3")</f>
        <v>3</v>
      </c>
      <c r="Q587" t="str">
        <f>("BAMMENS Diederik")</f>
        <v>BAMMENS Diederik</v>
      </c>
      <c r="R587">
        <v>79</v>
      </c>
      <c r="S587" t="s">
        <v>44</v>
      </c>
      <c r="T587">
        <v>0</v>
      </c>
      <c r="V587">
        <v>2</v>
      </c>
      <c r="W587">
        <v>79</v>
      </c>
      <c r="X587">
        <v>0</v>
      </c>
    </row>
    <row r="588" spans="1:24" x14ac:dyDescent="0.35">
      <c r="A588" t="s">
        <v>8</v>
      </c>
      <c r="B588" t="s">
        <v>9</v>
      </c>
      <c r="C588" t="str">
        <f t="shared" ref="C588:C619" si="86">("11242")</f>
        <v>11242</v>
      </c>
      <c r="D588" t="s">
        <v>13</v>
      </c>
      <c r="E588" t="str">
        <f t="shared" ref="E588:E619" si="87">("25")</f>
        <v>25</v>
      </c>
      <c r="F588">
        <v>26591</v>
      </c>
      <c r="G588">
        <v>23853</v>
      </c>
      <c r="H588">
        <v>983</v>
      </c>
      <c r="I588" t="str">
        <f t="shared" si="84"/>
        <v>6</v>
      </c>
      <c r="J588" t="str">
        <f t="shared" si="85"/>
        <v>Open Vld</v>
      </c>
      <c r="K588">
        <v>308</v>
      </c>
      <c r="L588">
        <v>612</v>
      </c>
      <c r="M588">
        <v>920</v>
      </c>
      <c r="N588">
        <v>460</v>
      </c>
      <c r="O588">
        <v>1</v>
      </c>
      <c r="P588" t="str">
        <f>("4")</f>
        <v>4</v>
      </c>
      <c r="Q588" t="str">
        <f>("NULENS Diego")</f>
        <v>NULENS Diego</v>
      </c>
      <c r="R588">
        <v>54</v>
      </c>
      <c r="S588" t="s">
        <v>44</v>
      </c>
      <c r="T588">
        <v>0</v>
      </c>
      <c r="V588">
        <v>6</v>
      </c>
      <c r="W588">
        <v>54</v>
      </c>
      <c r="X588">
        <v>0</v>
      </c>
    </row>
    <row r="589" spans="1:24" x14ac:dyDescent="0.35">
      <c r="A589" t="s">
        <v>8</v>
      </c>
      <c r="B589" t="s">
        <v>9</v>
      </c>
      <c r="C589" t="str">
        <f t="shared" si="86"/>
        <v>11242</v>
      </c>
      <c r="D589" t="s">
        <v>13</v>
      </c>
      <c r="E589" t="str">
        <f t="shared" si="87"/>
        <v>25</v>
      </c>
      <c r="F589">
        <v>26591</v>
      </c>
      <c r="G589">
        <v>23853</v>
      </c>
      <c r="H589">
        <v>983</v>
      </c>
      <c r="I589" t="str">
        <f t="shared" si="84"/>
        <v>6</v>
      </c>
      <c r="J589" t="str">
        <f t="shared" si="85"/>
        <v>Open Vld</v>
      </c>
      <c r="K589">
        <v>308</v>
      </c>
      <c r="L589">
        <v>612</v>
      </c>
      <c r="M589">
        <v>920</v>
      </c>
      <c r="N589">
        <v>460</v>
      </c>
      <c r="O589">
        <v>1</v>
      </c>
      <c r="P589" t="str">
        <f>("5")</f>
        <v>5</v>
      </c>
      <c r="Q589" t="str">
        <f>("DEHING Ellen")</f>
        <v>DEHING Ellen</v>
      </c>
      <c r="R589">
        <v>47</v>
      </c>
      <c r="S589" t="s">
        <v>44</v>
      </c>
      <c r="T589">
        <v>0</v>
      </c>
      <c r="V589">
        <v>7</v>
      </c>
      <c r="W589">
        <v>47</v>
      </c>
      <c r="X589">
        <v>0</v>
      </c>
    </row>
    <row r="590" spans="1:24" x14ac:dyDescent="0.35">
      <c r="A590" t="s">
        <v>8</v>
      </c>
      <c r="B590" t="s">
        <v>9</v>
      </c>
      <c r="C590" t="str">
        <f t="shared" si="86"/>
        <v>11242</v>
      </c>
      <c r="D590" t="s">
        <v>13</v>
      </c>
      <c r="E590" t="str">
        <f t="shared" si="87"/>
        <v>25</v>
      </c>
      <c r="F590">
        <v>26591</v>
      </c>
      <c r="G590">
        <v>23853</v>
      </c>
      <c r="H590">
        <v>983</v>
      </c>
      <c r="I590" t="str">
        <f t="shared" si="84"/>
        <v>6</v>
      </c>
      <c r="J590" t="str">
        <f t="shared" si="85"/>
        <v>Open Vld</v>
      </c>
      <c r="K590">
        <v>308</v>
      </c>
      <c r="L590">
        <v>612</v>
      </c>
      <c r="M590">
        <v>920</v>
      </c>
      <c r="N590">
        <v>460</v>
      </c>
      <c r="O590">
        <v>1</v>
      </c>
      <c r="P590" t="str">
        <f>("6")</f>
        <v>6</v>
      </c>
      <c r="Q590" t="str">
        <f>("EL ALLALI Fahd")</f>
        <v>EL ALLALI Fahd</v>
      </c>
      <c r="R590">
        <v>58</v>
      </c>
      <c r="S590" t="s">
        <v>44</v>
      </c>
      <c r="T590">
        <v>0</v>
      </c>
      <c r="V590">
        <v>4</v>
      </c>
      <c r="W590">
        <v>58</v>
      </c>
      <c r="X590">
        <v>0</v>
      </c>
    </row>
    <row r="591" spans="1:24" x14ac:dyDescent="0.35">
      <c r="A591" t="s">
        <v>8</v>
      </c>
      <c r="B591" t="s">
        <v>9</v>
      </c>
      <c r="C591" t="str">
        <f t="shared" si="86"/>
        <v>11242</v>
      </c>
      <c r="D591" t="s">
        <v>13</v>
      </c>
      <c r="E591" t="str">
        <f t="shared" si="87"/>
        <v>25</v>
      </c>
      <c r="F591">
        <v>26591</v>
      </c>
      <c r="G591">
        <v>23853</v>
      </c>
      <c r="H591">
        <v>983</v>
      </c>
      <c r="I591" t="str">
        <f t="shared" si="84"/>
        <v>6</v>
      </c>
      <c r="J591" t="str">
        <f t="shared" si="85"/>
        <v>Open Vld</v>
      </c>
      <c r="K591">
        <v>308</v>
      </c>
      <c r="L591">
        <v>612</v>
      </c>
      <c r="M591">
        <v>920</v>
      </c>
      <c r="N591">
        <v>460</v>
      </c>
      <c r="O591">
        <v>1</v>
      </c>
      <c r="P591" t="str">
        <f>("7")</f>
        <v>7</v>
      </c>
      <c r="Q591" t="str">
        <f>("RENDERS Liza")</f>
        <v>RENDERS Liza</v>
      </c>
      <c r="R591">
        <v>55</v>
      </c>
      <c r="S591" t="s">
        <v>44</v>
      </c>
      <c r="T591">
        <v>0</v>
      </c>
      <c r="V591">
        <v>5</v>
      </c>
      <c r="W591">
        <v>55</v>
      </c>
      <c r="X591">
        <v>0</v>
      </c>
    </row>
    <row r="592" spans="1:24" x14ac:dyDescent="0.35">
      <c r="A592" t="s">
        <v>8</v>
      </c>
      <c r="B592" t="s">
        <v>9</v>
      </c>
      <c r="C592" t="str">
        <f t="shared" si="86"/>
        <v>11242</v>
      </c>
      <c r="D592" t="s">
        <v>13</v>
      </c>
      <c r="E592" t="str">
        <f t="shared" si="87"/>
        <v>25</v>
      </c>
      <c r="F592">
        <v>26591</v>
      </c>
      <c r="G592">
        <v>23853</v>
      </c>
      <c r="H592">
        <v>983</v>
      </c>
      <c r="I592" t="str">
        <f t="shared" si="84"/>
        <v>6</v>
      </c>
      <c r="J592" t="str">
        <f t="shared" si="85"/>
        <v>Open Vld</v>
      </c>
      <c r="K592">
        <v>308</v>
      </c>
      <c r="L592">
        <v>612</v>
      </c>
      <c r="M592">
        <v>920</v>
      </c>
      <c r="N592">
        <v>460</v>
      </c>
      <c r="O592">
        <v>1</v>
      </c>
      <c r="P592" t="str">
        <f>("8")</f>
        <v>8</v>
      </c>
      <c r="Q592" t="str">
        <f>("NGOM Alioune Badara")</f>
        <v>NGOM Alioune Badara</v>
      </c>
      <c r="R592">
        <v>44</v>
      </c>
      <c r="S592" t="s">
        <v>44</v>
      </c>
      <c r="T592">
        <v>0</v>
      </c>
      <c r="V592">
        <v>8</v>
      </c>
      <c r="W592">
        <v>44</v>
      </c>
      <c r="X592">
        <v>0</v>
      </c>
    </row>
    <row r="593" spans="1:24" x14ac:dyDescent="0.35">
      <c r="A593" t="s">
        <v>8</v>
      </c>
      <c r="B593" t="s">
        <v>9</v>
      </c>
      <c r="C593" t="str">
        <f t="shared" si="86"/>
        <v>11242</v>
      </c>
      <c r="D593" t="s">
        <v>13</v>
      </c>
      <c r="E593" t="str">
        <f t="shared" si="87"/>
        <v>25</v>
      </c>
      <c r="F593">
        <v>26591</v>
      </c>
      <c r="G593">
        <v>23853</v>
      </c>
      <c r="H593">
        <v>983</v>
      </c>
      <c r="I593" t="str">
        <f t="shared" si="84"/>
        <v>6</v>
      </c>
      <c r="J593" t="str">
        <f t="shared" si="85"/>
        <v>Open Vld</v>
      </c>
      <c r="K593">
        <v>308</v>
      </c>
      <c r="L593">
        <v>612</v>
      </c>
      <c r="M593">
        <v>920</v>
      </c>
      <c r="N593">
        <v>460</v>
      </c>
      <c r="O593">
        <v>1</v>
      </c>
      <c r="P593" t="str">
        <f>("9")</f>
        <v>9</v>
      </c>
      <c r="Q593" t="str">
        <f>("MARKEY Nele")</f>
        <v>MARKEY Nele</v>
      </c>
      <c r="R593">
        <v>36</v>
      </c>
      <c r="S593" t="s">
        <v>44</v>
      </c>
      <c r="T593">
        <v>0</v>
      </c>
      <c r="V593">
        <v>12</v>
      </c>
      <c r="W593">
        <v>36</v>
      </c>
      <c r="X593">
        <v>0</v>
      </c>
    </row>
    <row r="594" spans="1:24" x14ac:dyDescent="0.35">
      <c r="A594" t="s">
        <v>8</v>
      </c>
      <c r="B594" t="s">
        <v>9</v>
      </c>
      <c r="C594" t="str">
        <f t="shared" si="86"/>
        <v>11242</v>
      </c>
      <c r="D594" t="s">
        <v>13</v>
      </c>
      <c r="E594" t="str">
        <f t="shared" si="87"/>
        <v>25</v>
      </c>
      <c r="F594">
        <v>26591</v>
      </c>
      <c r="G594">
        <v>23853</v>
      </c>
      <c r="H594">
        <v>983</v>
      </c>
      <c r="I594" t="str">
        <f t="shared" si="84"/>
        <v>6</v>
      </c>
      <c r="J594" t="str">
        <f t="shared" si="85"/>
        <v>Open Vld</v>
      </c>
      <c r="K594">
        <v>308</v>
      </c>
      <c r="L594">
        <v>612</v>
      </c>
      <c r="M594">
        <v>920</v>
      </c>
      <c r="N594">
        <v>460</v>
      </c>
      <c r="O594">
        <v>1</v>
      </c>
      <c r="P594" t="str">
        <f>("10")</f>
        <v>10</v>
      </c>
      <c r="Q594" t="str">
        <f>("PEREMANS Tom")</f>
        <v>PEREMANS Tom</v>
      </c>
      <c r="R594">
        <v>36</v>
      </c>
      <c r="S594" t="s">
        <v>44</v>
      </c>
      <c r="T594">
        <v>0</v>
      </c>
      <c r="V594">
        <v>13</v>
      </c>
      <c r="W594">
        <v>36</v>
      </c>
      <c r="X594">
        <v>0</v>
      </c>
    </row>
    <row r="595" spans="1:24" x14ac:dyDescent="0.35">
      <c r="A595" t="s">
        <v>8</v>
      </c>
      <c r="B595" t="s">
        <v>9</v>
      </c>
      <c r="C595" t="str">
        <f t="shared" si="86"/>
        <v>11242</v>
      </c>
      <c r="D595" t="s">
        <v>13</v>
      </c>
      <c r="E595" t="str">
        <f t="shared" si="87"/>
        <v>25</v>
      </c>
      <c r="F595">
        <v>26591</v>
      </c>
      <c r="G595">
        <v>23853</v>
      </c>
      <c r="H595">
        <v>983</v>
      </c>
      <c r="I595" t="str">
        <f t="shared" si="84"/>
        <v>6</v>
      </c>
      <c r="J595" t="str">
        <f t="shared" si="85"/>
        <v>Open Vld</v>
      </c>
      <c r="K595">
        <v>308</v>
      </c>
      <c r="L595">
        <v>612</v>
      </c>
      <c r="M595">
        <v>920</v>
      </c>
      <c r="N595">
        <v>460</v>
      </c>
      <c r="O595">
        <v>1</v>
      </c>
      <c r="P595" t="str">
        <f>("11")</f>
        <v>11</v>
      </c>
      <c r="Q595" t="str">
        <f>("DE BRUYCKER Bob")</f>
        <v>DE BRUYCKER Bob</v>
      </c>
      <c r="R595">
        <v>29</v>
      </c>
      <c r="S595" t="s">
        <v>44</v>
      </c>
      <c r="T595">
        <v>0</v>
      </c>
      <c r="V595">
        <v>18</v>
      </c>
      <c r="W595">
        <v>29</v>
      </c>
      <c r="X595">
        <v>0</v>
      </c>
    </row>
    <row r="596" spans="1:24" x14ac:dyDescent="0.35">
      <c r="A596" t="s">
        <v>8</v>
      </c>
      <c r="B596" t="s">
        <v>9</v>
      </c>
      <c r="C596" t="str">
        <f t="shared" si="86"/>
        <v>11242</v>
      </c>
      <c r="D596" t="s">
        <v>13</v>
      </c>
      <c r="E596" t="str">
        <f t="shared" si="87"/>
        <v>25</v>
      </c>
      <c r="F596">
        <v>26591</v>
      </c>
      <c r="G596">
        <v>23853</v>
      </c>
      <c r="H596">
        <v>983</v>
      </c>
      <c r="I596" t="str">
        <f t="shared" si="84"/>
        <v>6</v>
      </c>
      <c r="J596" t="str">
        <f t="shared" si="85"/>
        <v>Open Vld</v>
      </c>
      <c r="K596">
        <v>308</v>
      </c>
      <c r="L596">
        <v>612</v>
      </c>
      <c r="M596">
        <v>920</v>
      </c>
      <c r="N596">
        <v>460</v>
      </c>
      <c r="O596">
        <v>1</v>
      </c>
      <c r="P596" t="str">
        <f>("12")</f>
        <v>12</v>
      </c>
      <c r="Q596" t="str">
        <f>("BAKER Mabel")</f>
        <v>BAKER Mabel</v>
      </c>
      <c r="R596">
        <v>30</v>
      </c>
      <c r="S596" t="s">
        <v>44</v>
      </c>
      <c r="T596">
        <v>0</v>
      </c>
      <c r="V596">
        <v>17</v>
      </c>
      <c r="W596">
        <v>30</v>
      </c>
      <c r="X596">
        <v>0</v>
      </c>
    </row>
    <row r="597" spans="1:24" x14ac:dyDescent="0.35">
      <c r="A597" t="s">
        <v>8</v>
      </c>
      <c r="B597" t="s">
        <v>9</v>
      </c>
      <c r="C597" t="str">
        <f t="shared" si="86"/>
        <v>11242</v>
      </c>
      <c r="D597" t="s">
        <v>13</v>
      </c>
      <c r="E597" t="str">
        <f t="shared" si="87"/>
        <v>25</v>
      </c>
      <c r="F597">
        <v>26591</v>
      </c>
      <c r="G597">
        <v>23853</v>
      </c>
      <c r="H597">
        <v>983</v>
      </c>
      <c r="I597" t="str">
        <f t="shared" si="84"/>
        <v>6</v>
      </c>
      <c r="J597" t="str">
        <f t="shared" si="85"/>
        <v>Open Vld</v>
      </c>
      <c r="K597">
        <v>308</v>
      </c>
      <c r="L597">
        <v>612</v>
      </c>
      <c r="M597">
        <v>920</v>
      </c>
      <c r="N597">
        <v>460</v>
      </c>
      <c r="O597">
        <v>1</v>
      </c>
      <c r="P597" t="str">
        <f>("13")</f>
        <v>13</v>
      </c>
      <c r="Q597" t="str">
        <f>("DE LOECKER Dimitri")</f>
        <v>DE LOECKER Dimitri</v>
      </c>
      <c r="R597">
        <v>35</v>
      </c>
      <c r="S597" t="s">
        <v>44</v>
      </c>
      <c r="T597">
        <v>0</v>
      </c>
      <c r="V597">
        <v>15</v>
      </c>
      <c r="W597">
        <v>35</v>
      </c>
      <c r="X597">
        <v>0</v>
      </c>
    </row>
    <row r="598" spans="1:24" x14ac:dyDescent="0.35">
      <c r="A598" t="s">
        <v>8</v>
      </c>
      <c r="B598" t="s">
        <v>9</v>
      </c>
      <c r="C598" t="str">
        <f t="shared" si="86"/>
        <v>11242</v>
      </c>
      <c r="D598" t="s">
        <v>13</v>
      </c>
      <c r="E598" t="str">
        <f t="shared" si="87"/>
        <v>25</v>
      </c>
      <c r="F598">
        <v>26591</v>
      </c>
      <c r="G598">
        <v>23853</v>
      </c>
      <c r="H598">
        <v>983</v>
      </c>
      <c r="I598" t="str">
        <f t="shared" si="84"/>
        <v>6</v>
      </c>
      <c r="J598" t="str">
        <f t="shared" si="85"/>
        <v>Open Vld</v>
      </c>
      <c r="K598">
        <v>308</v>
      </c>
      <c r="L598">
        <v>612</v>
      </c>
      <c r="M598">
        <v>920</v>
      </c>
      <c r="N598">
        <v>460</v>
      </c>
      <c r="O598">
        <v>1</v>
      </c>
      <c r="P598" t="str">
        <f>("14")</f>
        <v>14</v>
      </c>
      <c r="Q598" t="str">
        <f>("GEURDEN Jolijn")</f>
        <v>GEURDEN Jolijn</v>
      </c>
      <c r="R598">
        <v>27</v>
      </c>
      <c r="S598" t="s">
        <v>44</v>
      </c>
      <c r="T598">
        <v>0</v>
      </c>
      <c r="V598">
        <v>19</v>
      </c>
      <c r="W598">
        <v>27</v>
      </c>
      <c r="X598">
        <v>0</v>
      </c>
    </row>
    <row r="599" spans="1:24" x14ac:dyDescent="0.35">
      <c r="A599" t="s">
        <v>8</v>
      </c>
      <c r="B599" t="s">
        <v>9</v>
      </c>
      <c r="C599" t="str">
        <f t="shared" si="86"/>
        <v>11242</v>
      </c>
      <c r="D599" t="s">
        <v>13</v>
      </c>
      <c r="E599" t="str">
        <f t="shared" si="87"/>
        <v>25</v>
      </c>
      <c r="F599">
        <v>26591</v>
      </c>
      <c r="G599">
        <v>23853</v>
      </c>
      <c r="H599">
        <v>983</v>
      </c>
      <c r="I599" t="str">
        <f t="shared" si="84"/>
        <v>6</v>
      </c>
      <c r="J599" t="str">
        <f t="shared" si="85"/>
        <v>Open Vld</v>
      </c>
      <c r="K599">
        <v>308</v>
      </c>
      <c r="L599">
        <v>612</v>
      </c>
      <c r="M599">
        <v>920</v>
      </c>
      <c r="N599">
        <v>460</v>
      </c>
      <c r="O599">
        <v>1</v>
      </c>
      <c r="P599" t="str">
        <f>("15")</f>
        <v>15</v>
      </c>
      <c r="Q599" t="str">
        <f>("SPITZER Eva")</f>
        <v>SPITZER Eva</v>
      </c>
      <c r="R599">
        <v>32</v>
      </c>
      <c r="S599" t="s">
        <v>44</v>
      </c>
      <c r="T599">
        <v>0</v>
      </c>
      <c r="V599">
        <v>16</v>
      </c>
      <c r="W599">
        <v>32</v>
      </c>
      <c r="X599">
        <v>0</v>
      </c>
    </row>
    <row r="600" spans="1:24" x14ac:dyDescent="0.35">
      <c r="A600" t="s">
        <v>8</v>
      </c>
      <c r="B600" t="s">
        <v>9</v>
      </c>
      <c r="C600" t="str">
        <f t="shared" si="86"/>
        <v>11242</v>
      </c>
      <c r="D600" t="s">
        <v>13</v>
      </c>
      <c r="E600" t="str">
        <f t="shared" si="87"/>
        <v>25</v>
      </c>
      <c r="F600">
        <v>26591</v>
      </c>
      <c r="G600">
        <v>23853</v>
      </c>
      <c r="H600">
        <v>983</v>
      </c>
      <c r="I600" t="str">
        <f t="shared" si="84"/>
        <v>6</v>
      </c>
      <c r="J600" t="str">
        <f t="shared" si="85"/>
        <v>Open Vld</v>
      </c>
      <c r="K600">
        <v>308</v>
      </c>
      <c r="L600">
        <v>612</v>
      </c>
      <c r="M600">
        <v>920</v>
      </c>
      <c r="N600">
        <v>460</v>
      </c>
      <c r="O600">
        <v>1</v>
      </c>
      <c r="P600" t="str">
        <f>("16")</f>
        <v>16</v>
      </c>
      <c r="Q600" t="str">
        <f>("EL AJJANI Souad")</f>
        <v>EL AJJANI Souad</v>
      </c>
      <c r="R600">
        <v>43</v>
      </c>
      <c r="S600" t="s">
        <v>44</v>
      </c>
      <c r="T600">
        <v>0</v>
      </c>
      <c r="V600">
        <v>9</v>
      </c>
      <c r="W600">
        <v>43</v>
      </c>
      <c r="X600">
        <v>0</v>
      </c>
    </row>
    <row r="601" spans="1:24" x14ac:dyDescent="0.35">
      <c r="A601" t="s">
        <v>8</v>
      </c>
      <c r="B601" t="s">
        <v>9</v>
      </c>
      <c r="C601" t="str">
        <f t="shared" si="86"/>
        <v>11242</v>
      </c>
      <c r="D601" t="s">
        <v>13</v>
      </c>
      <c r="E601" t="str">
        <f t="shared" si="87"/>
        <v>25</v>
      </c>
      <c r="F601">
        <v>26591</v>
      </c>
      <c r="G601">
        <v>23853</v>
      </c>
      <c r="H601">
        <v>983</v>
      </c>
      <c r="I601" t="str">
        <f t="shared" si="84"/>
        <v>6</v>
      </c>
      <c r="J601" t="str">
        <f t="shared" si="85"/>
        <v>Open Vld</v>
      </c>
      <c r="K601">
        <v>308</v>
      </c>
      <c r="L601">
        <v>612</v>
      </c>
      <c r="M601">
        <v>920</v>
      </c>
      <c r="N601">
        <v>460</v>
      </c>
      <c r="O601">
        <v>1</v>
      </c>
      <c r="P601" t="str">
        <f>("17")</f>
        <v>17</v>
      </c>
      <c r="Q601" t="str">
        <f>("FREDEUS Marife")</f>
        <v>FREDEUS Marife</v>
      </c>
      <c r="R601">
        <v>22</v>
      </c>
      <c r="S601" t="s">
        <v>44</v>
      </c>
      <c r="T601">
        <v>0</v>
      </c>
      <c r="V601">
        <v>22</v>
      </c>
      <c r="W601">
        <v>22</v>
      </c>
      <c r="X601">
        <v>0</v>
      </c>
    </row>
    <row r="602" spans="1:24" x14ac:dyDescent="0.35">
      <c r="A602" t="s">
        <v>8</v>
      </c>
      <c r="B602" t="s">
        <v>9</v>
      </c>
      <c r="C602" t="str">
        <f t="shared" si="86"/>
        <v>11242</v>
      </c>
      <c r="D602" t="s">
        <v>13</v>
      </c>
      <c r="E602" t="str">
        <f t="shared" si="87"/>
        <v>25</v>
      </c>
      <c r="F602">
        <v>26591</v>
      </c>
      <c r="G602">
        <v>23853</v>
      </c>
      <c r="H602">
        <v>983</v>
      </c>
      <c r="I602" t="str">
        <f t="shared" si="84"/>
        <v>6</v>
      </c>
      <c r="J602" t="str">
        <f t="shared" si="85"/>
        <v>Open Vld</v>
      </c>
      <c r="K602">
        <v>308</v>
      </c>
      <c r="L602">
        <v>612</v>
      </c>
      <c r="M602">
        <v>920</v>
      </c>
      <c r="N602">
        <v>460</v>
      </c>
      <c r="O602">
        <v>1</v>
      </c>
      <c r="P602" t="str">
        <f>("18")</f>
        <v>18</v>
      </c>
      <c r="Q602" t="str">
        <f>("FREDEUS Jörgen")</f>
        <v>FREDEUS Jörgen</v>
      </c>
      <c r="R602">
        <v>22</v>
      </c>
      <c r="S602" t="s">
        <v>44</v>
      </c>
      <c r="T602">
        <v>0</v>
      </c>
      <c r="V602">
        <v>23</v>
      </c>
      <c r="W602">
        <v>22</v>
      </c>
      <c r="X602">
        <v>0</v>
      </c>
    </row>
    <row r="603" spans="1:24" x14ac:dyDescent="0.35">
      <c r="A603" t="s">
        <v>8</v>
      </c>
      <c r="B603" t="s">
        <v>9</v>
      </c>
      <c r="C603" t="str">
        <f t="shared" si="86"/>
        <v>11242</v>
      </c>
      <c r="D603" t="s">
        <v>13</v>
      </c>
      <c r="E603" t="str">
        <f t="shared" si="87"/>
        <v>25</v>
      </c>
      <c r="F603">
        <v>26591</v>
      </c>
      <c r="G603">
        <v>23853</v>
      </c>
      <c r="H603">
        <v>983</v>
      </c>
      <c r="I603" t="str">
        <f t="shared" si="84"/>
        <v>6</v>
      </c>
      <c r="J603" t="str">
        <f t="shared" si="85"/>
        <v>Open Vld</v>
      </c>
      <c r="K603">
        <v>308</v>
      </c>
      <c r="L603">
        <v>612</v>
      </c>
      <c r="M603">
        <v>920</v>
      </c>
      <c r="N603">
        <v>460</v>
      </c>
      <c r="O603">
        <v>1</v>
      </c>
      <c r="P603" t="str">
        <f>("19")</f>
        <v>19</v>
      </c>
      <c r="Q603" t="str">
        <f>("GEIRNAERT Marijke")</f>
        <v>GEIRNAERT Marijke</v>
      </c>
      <c r="R603">
        <v>27</v>
      </c>
      <c r="S603" t="s">
        <v>44</v>
      </c>
      <c r="T603">
        <v>0</v>
      </c>
      <c r="V603">
        <v>20</v>
      </c>
      <c r="W603">
        <v>27</v>
      </c>
      <c r="X603">
        <v>0</v>
      </c>
    </row>
    <row r="604" spans="1:24" x14ac:dyDescent="0.35">
      <c r="A604" t="s">
        <v>8</v>
      </c>
      <c r="B604" t="s">
        <v>9</v>
      </c>
      <c r="C604" t="str">
        <f t="shared" si="86"/>
        <v>11242</v>
      </c>
      <c r="D604" t="s">
        <v>13</v>
      </c>
      <c r="E604" t="str">
        <f t="shared" si="87"/>
        <v>25</v>
      </c>
      <c r="F604">
        <v>26591</v>
      </c>
      <c r="G604">
        <v>23853</v>
      </c>
      <c r="H604">
        <v>983</v>
      </c>
      <c r="I604" t="str">
        <f t="shared" si="84"/>
        <v>6</v>
      </c>
      <c r="J604" t="str">
        <f t="shared" si="85"/>
        <v>Open Vld</v>
      </c>
      <c r="K604">
        <v>308</v>
      </c>
      <c r="L604">
        <v>612</v>
      </c>
      <c r="M604">
        <v>920</v>
      </c>
      <c r="N604">
        <v>460</v>
      </c>
      <c r="O604">
        <v>1</v>
      </c>
      <c r="P604" t="str">
        <f>("20")</f>
        <v>20</v>
      </c>
      <c r="Q604" t="str">
        <f>("HENDERIECKX Annelies")</f>
        <v>HENDERIECKX Annelies</v>
      </c>
      <c r="R604">
        <v>41</v>
      </c>
      <c r="S604" t="s">
        <v>44</v>
      </c>
      <c r="T604">
        <v>0</v>
      </c>
      <c r="V604">
        <v>10</v>
      </c>
      <c r="W604">
        <v>41</v>
      </c>
      <c r="X604">
        <v>0</v>
      </c>
    </row>
    <row r="605" spans="1:24" x14ac:dyDescent="0.35">
      <c r="A605" t="s">
        <v>8</v>
      </c>
      <c r="B605" t="s">
        <v>9</v>
      </c>
      <c r="C605" t="str">
        <f t="shared" si="86"/>
        <v>11242</v>
      </c>
      <c r="D605" t="s">
        <v>13</v>
      </c>
      <c r="E605" t="str">
        <f t="shared" si="87"/>
        <v>25</v>
      </c>
      <c r="F605">
        <v>26591</v>
      </c>
      <c r="G605">
        <v>23853</v>
      </c>
      <c r="H605">
        <v>983</v>
      </c>
      <c r="I605" t="str">
        <f t="shared" si="84"/>
        <v>6</v>
      </c>
      <c r="J605" t="str">
        <f t="shared" si="85"/>
        <v>Open Vld</v>
      </c>
      <c r="K605">
        <v>308</v>
      </c>
      <c r="L605">
        <v>612</v>
      </c>
      <c r="M605">
        <v>920</v>
      </c>
      <c r="N605">
        <v>460</v>
      </c>
      <c r="O605">
        <v>1</v>
      </c>
      <c r="P605" t="str">
        <f>("21")</f>
        <v>21</v>
      </c>
      <c r="Q605" t="str">
        <f>("VEENKER Len")</f>
        <v>VEENKER Len</v>
      </c>
      <c r="R605">
        <v>25</v>
      </c>
      <c r="S605" t="s">
        <v>44</v>
      </c>
      <c r="T605">
        <v>0</v>
      </c>
      <c r="V605">
        <v>21</v>
      </c>
      <c r="W605">
        <v>25</v>
      </c>
      <c r="X605">
        <v>0</v>
      </c>
    </row>
    <row r="606" spans="1:24" x14ac:dyDescent="0.35">
      <c r="A606" t="s">
        <v>8</v>
      </c>
      <c r="B606" t="s">
        <v>9</v>
      </c>
      <c r="C606" t="str">
        <f t="shared" si="86"/>
        <v>11242</v>
      </c>
      <c r="D606" t="s">
        <v>13</v>
      </c>
      <c r="E606" t="str">
        <f t="shared" si="87"/>
        <v>25</v>
      </c>
      <c r="F606">
        <v>26591</v>
      </c>
      <c r="G606">
        <v>23853</v>
      </c>
      <c r="H606">
        <v>983</v>
      </c>
      <c r="I606" t="str">
        <f t="shared" si="84"/>
        <v>6</v>
      </c>
      <c r="J606" t="str">
        <f t="shared" si="85"/>
        <v>Open Vld</v>
      </c>
      <c r="K606">
        <v>308</v>
      </c>
      <c r="L606">
        <v>612</v>
      </c>
      <c r="M606">
        <v>920</v>
      </c>
      <c r="N606">
        <v>460</v>
      </c>
      <c r="O606">
        <v>1</v>
      </c>
      <c r="P606" t="str">
        <f>("22")</f>
        <v>22</v>
      </c>
      <c r="Q606" t="str">
        <f>("WIESE Ellen")</f>
        <v>WIESE Ellen</v>
      </c>
      <c r="R606">
        <v>37</v>
      </c>
      <c r="S606" t="s">
        <v>44</v>
      </c>
      <c r="T606">
        <v>0</v>
      </c>
      <c r="V606">
        <v>11</v>
      </c>
      <c r="W606">
        <v>37</v>
      </c>
      <c r="X606">
        <v>0</v>
      </c>
    </row>
    <row r="607" spans="1:24" x14ac:dyDescent="0.35">
      <c r="A607" t="s">
        <v>8</v>
      </c>
      <c r="B607" t="s">
        <v>9</v>
      </c>
      <c r="C607" t="str">
        <f t="shared" si="86"/>
        <v>11242</v>
      </c>
      <c r="D607" t="s">
        <v>13</v>
      </c>
      <c r="E607" t="str">
        <f t="shared" si="87"/>
        <v>25</v>
      </c>
      <c r="F607">
        <v>26591</v>
      </c>
      <c r="G607">
        <v>23853</v>
      </c>
      <c r="H607">
        <v>983</v>
      </c>
      <c r="I607" t="str">
        <f t="shared" si="84"/>
        <v>6</v>
      </c>
      <c r="J607" t="str">
        <f t="shared" si="85"/>
        <v>Open Vld</v>
      </c>
      <c r="K607">
        <v>308</v>
      </c>
      <c r="L607">
        <v>612</v>
      </c>
      <c r="M607">
        <v>920</v>
      </c>
      <c r="N607">
        <v>460</v>
      </c>
      <c r="O607">
        <v>1</v>
      </c>
      <c r="P607" t="str">
        <f>("23")</f>
        <v>23</v>
      </c>
      <c r="Q607" t="str">
        <f>("HEIREMANS Bart")</f>
        <v>HEIREMANS Bart</v>
      </c>
      <c r="R607">
        <v>36</v>
      </c>
      <c r="S607" t="s">
        <v>44</v>
      </c>
      <c r="T607">
        <v>0</v>
      </c>
      <c r="V607">
        <v>14</v>
      </c>
      <c r="W607">
        <v>36</v>
      </c>
      <c r="X607">
        <v>0</v>
      </c>
    </row>
    <row r="608" spans="1:24" x14ac:dyDescent="0.35">
      <c r="A608" t="s">
        <v>8</v>
      </c>
      <c r="B608" t="s">
        <v>9</v>
      </c>
      <c r="C608" t="str">
        <f t="shared" si="86"/>
        <v>11242</v>
      </c>
      <c r="D608" t="s">
        <v>13</v>
      </c>
      <c r="E608" t="str">
        <f t="shared" si="87"/>
        <v>25</v>
      </c>
      <c r="F608">
        <v>26591</v>
      </c>
      <c r="G608">
        <v>23853</v>
      </c>
      <c r="H608">
        <v>983</v>
      </c>
      <c r="I608" t="str">
        <f t="shared" si="84"/>
        <v>6</v>
      </c>
      <c r="J608" t="str">
        <f t="shared" si="85"/>
        <v>Open Vld</v>
      </c>
      <c r="K608">
        <v>308</v>
      </c>
      <c r="L608">
        <v>612</v>
      </c>
      <c r="M608">
        <v>920</v>
      </c>
      <c r="N608">
        <v>460</v>
      </c>
      <c r="O608">
        <v>1</v>
      </c>
      <c r="P608" t="str">
        <f>("24")</f>
        <v>24</v>
      </c>
      <c r="Q608" t="str">
        <f>("VAN TURNHOUT David")</f>
        <v>VAN TURNHOUT David</v>
      </c>
      <c r="R608">
        <v>22</v>
      </c>
      <c r="S608" t="s">
        <v>44</v>
      </c>
      <c r="T608">
        <v>0</v>
      </c>
      <c r="V608">
        <v>24</v>
      </c>
      <c r="W608">
        <v>22</v>
      </c>
      <c r="X608">
        <v>0</v>
      </c>
    </row>
    <row r="609" spans="1:24" x14ac:dyDescent="0.35">
      <c r="A609" t="s">
        <v>8</v>
      </c>
      <c r="B609" t="s">
        <v>9</v>
      </c>
      <c r="C609" t="str">
        <f t="shared" si="86"/>
        <v>11242</v>
      </c>
      <c r="D609" t="s">
        <v>13</v>
      </c>
      <c r="E609" t="str">
        <f t="shared" si="87"/>
        <v>25</v>
      </c>
      <c r="F609">
        <v>26591</v>
      </c>
      <c r="G609">
        <v>23853</v>
      </c>
      <c r="H609">
        <v>983</v>
      </c>
      <c r="I609" t="str">
        <f t="shared" si="84"/>
        <v>6</v>
      </c>
      <c r="J609" t="str">
        <f t="shared" si="85"/>
        <v>Open Vld</v>
      </c>
      <c r="K609">
        <v>308</v>
      </c>
      <c r="L609">
        <v>612</v>
      </c>
      <c r="M609">
        <v>920</v>
      </c>
      <c r="N609">
        <v>460</v>
      </c>
      <c r="O609">
        <v>1</v>
      </c>
      <c r="P609" t="str">
        <f>("25")</f>
        <v>25</v>
      </c>
      <c r="Q609" t="str">
        <f>("HEIREMANS Thomas")</f>
        <v>HEIREMANS Thomas</v>
      </c>
      <c r="R609">
        <v>62</v>
      </c>
      <c r="S609" t="s">
        <v>44</v>
      </c>
      <c r="T609">
        <v>0</v>
      </c>
      <c r="V609">
        <v>3</v>
      </c>
      <c r="W609">
        <v>62</v>
      </c>
      <c r="X609">
        <v>0</v>
      </c>
    </row>
    <row r="610" spans="1:24" x14ac:dyDescent="0.35">
      <c r="A610" t="s">
        <v>8</v>
      </c>
      <c r="B610" t="s">
        <v>9</v>
      </c>
      <c r="C610" t="str">
        <f t="shared" si="86"/>
        <v>11242</v>
      </c>
      <c r="D610" t="s">
        <v>13</v>
      </c>
      <c r="E610" t="str">
        <f t="shared" si="87"/>
        <v>25</v>
      </c>
      <c r="F610">
        <v>26591</v>
      </c>
      <c r="G610">
        <v>23853</v>
      </c>
      <c r="H610">
        <v>983</v>
      </c>
      <c r="I610" t="str">
        <f t="shared" ref="I610:I634" si="88">("7")</f>
        <v>7</v>
      </c>
      <c r="J610" t="str">
        <f t="shared" ref="J610:J634" si="89">("PVDA")</f>
        <v>PVDA</v>
      </c>
      <c r="K610">
        <v>1023</v>
      </c>
      <c r="L610">
        <v>2612</v>
      </c>
      <c r="M610">
        <v>3635</v>
      </c>
      <c r="N610">
        <v>2908</v>
      </c>
      <c r="O610">
        <v>4</v>
      </c>
      <c r="P610" t="str">
        <f>("1")</f>
        <v>1</v>
      </c>
      <c r="Q610" t="str">
        <f>("D'HAESE Jos")</f>
        <v>D'HAESE Jos</v>
      </c>
      <c r="R610">
        <v>972</v>
      </c>
      <c r="S610">
        <v>2336</v>
      </c>
      <c r="T610">
        <v>0</v>
      </c>
      <c r="U610">
        <v>1</v>
      </c>
    </row>
    <row r="611" spans="1:24" x14ac:dyDescent="0.35">
      <c r="A611" t="s">
        <v>8</v>
      </c>
      <c r="B611" t="s">
        <v>9</v>
      </c>
      <c r="C611" t="str">
        <f t="shared" si="86"/>
        <v>11242</v>
      </c>
      <c r="D611" t="s">
        <v>13</v>
      </c>
      <c r="E611" t="str">
        <f t="shared" si="87"/>
        <v>25</v>
      </c>
      <c r="F611">
        <v>26591</v>
      </c>
      <c r="G611">
        <v>23853</v>
      </c>
      <c r="H611">
        <v>983</v>
      </c>
      <c r="I611" t="str">
        <f t="shared" si="88"/>
        <v>7</v>
      </c>
      <c r="J611" t="str">
        <f t="shared" si="89"/>
        <v>PVDA</v>
      </c>
      <c r="K611">
        <v>1023</v>
      </c>
      <c r="L611">
        <v>2612</v>
      </c>
      <c r="M611">
        <v>3635</v>
      </c>
      <c r="N611">
        <v>2908</v>
      </c>
      <c r="O611">
        <v>4</v>
      </c>
      <c r="P611" t="str">
        <f>("2")</f>
        <v>2</v>
      </c>
      <c r="Q611" t="str">
        <f>("SHAYLA Sharmin")</f>
        <v>SHAYLA Sharmin</v>
      </c>
      <c r="R611">
        <v>415</v>
      </c>
      <c r="S611">
        <v>415</v>
      </c>
      <c r="T611">
        <v>0</v>
      </c>
      <c r="U611">
        <v>4</v>
      </c>
    </row>
    <row r="612" spans="1:24" x14ac:dyDescent="0.35">
      <c r="A612" t="s">
        <v>8</v>
      </c>
      <c r="B612" t="s">
        <v>9</v>
      </c>
      <c r="C612" t="str">
        <f t="shared" si="86"/>
        <v>11242</v>
      </c>
      <c r="D612" t="s">
        <v>13</v>
      </c>
      <c r="E612" t="str">
        <f t="shared" si="87"/>
        <v>25</v>
      </c>
      <c r="F612">
        <v>26591</v>
      </c>
      <c r="G612">
        <v>23853</v>
      </c>
      <c r="H612">
        <v>983</v>
      </c>
      <c r="I612" t="str">
        <f t="shared" si="88"/>
        <v>7</v>
      </c>
      <c r="J612" t="str">
        <f t="shared" si="89"/>
        <v>PVDA</v>
      </c>
      <c r="K612">
        <v>1023</v>
      </c>
      <c r="L612">
        <v>2612</v>
      </c>
      <c r="M612">
        <v>3635</v>
      </c>
      <c r="N612">
        <v>2908</v>
      </c>
      <c r="O612">
        <v>4</v>
      </c>
      <c r="P612" t="str">
        <f>("3")</f>
        <v>3</v>
      </c>
      <c r="Q612" t="str">
        <f>("DE WACHTER Christophe")</f>
        <v>DE WACHTER Christophe</v>
      </c>
      <c r="R612">
        <v>192</v>
      </c>
      <c r="S612" t="s">
        <v>44</v>
      </c>
      <c r="T612">
        <v>0</v>
      </c>
      <c r="V612">
        <v>1</v>
      </c>
      <c r="W612">
        <v>1556</v>
      </c>
      <c r="X612">
        <v>0</v>
      </c>
    </row>
    <row r="613" spans="1:24" x14ac:dyDescent="0.35">
      <c r="A613" t="s">
        <v>8</v>
      </c>
      <c r="B613" t="s">
        <v>9</v>
      </c>
      <c r="C613" t="str">
        <f t="shared" si="86"/>
        <v>11242</v>
      </c>
      <c r="D613" t="s">
        <v>13</v>
      </c>
      <c r="E613" t="str">
        <f t="shared" si="87"/>
        <v>25</v>
      </c>
      <c r="F613">
        <v>26591</v>
      </c>
      <c r="G613">
        <v>23853</v>
      </c>
      <c r="H613">
        <v>983</v>
      </c>
      <c r="I613" t="str">
        <f t="shared" si="88"/>
        <v>7</v>
      </c>
      <c r="J613" t="str">
        <f t="shared" si="89"/>
        <v>PVDA</v>
      </c>
      <c r="K613">
        <v>1023</v>
      </c>
      <c r="L613">
        <v>2612</v>
      </c>
      <c r="M613">
        <v>3635</v>
      </c>
      <c r="N613">
        <v>2908</v>
      </c>
      <c r="O613">
        <v>4</v>
      </c>
      <c r="P613" t="str">
        <f>("4")</f>
        <v>4</v>
      </c>
      <c r="Q613" t="str">
        <f>("BOERS Steven")</f>
        <v>BOERS Steven</v>
      </c>
      <c r="R613">
        <v>161</v>
      </c>
      <c r="S613" t="s">
        <v>44</v>
      </c>
      <c r="T613">
        <v>0</v>
      </c>
      <c r="V613">
        <v>4</v>
      </c>
      <c r="W613">
        <v>161</v>
      </c>
      <c r="X613">
        <v>0</v>
      </c>
    </row>
    <row r="614" spans="1:24" x14ac:dyDescent="0.35">
      <c r="A614" t="s">
        <v>8</v>
      </c>
      <c r="B614" t="s">
        <v>9</v>
      </c>
      <c r="C614" t="str">
        <f t="shared" si="86"/>
        <v>11242</v>
      </c>
      <c r="D614" t="s">
        <v>13</v>
      </c>
      <c r="E614" t="str">
        <f t="shared" si="87"/>
        <v>25</v>
      </c>
      <c r="F614">
        <v>26591</v>
      </c>
      <c r="G614">
        <v>23853</v>
      </c>
      <c r="H614">
        <v>983</v>
      </c>
      <c r="I614" t="str">
        <f t="shared" si="88"/>
        <v>7</v>
      </c>
      <c r="J614" t="str">
        <f t="shared" si="89"/>
        <v>PVDA</v>
      </c>
      <c r="K614">
        <v>1023</v>
      </c>
      <c r="L614">
        <v>2612</v>
      </c>
      <c r="M614">
        <v>3635</v>
      </c>
      <c r="N614">
        <v>2908</v>
      </c>
      <c r="O614">
        <v>4</v>
      </c>
      <c r="P614" t="str">
        <f>("5")</f>
        <v>5</v>
      </c>
      <c r="Q614" t="str">
        <f>("BOUSSACOUQ Said")</f>
        <v>BOUSSACOUQ Said</v>
      </c>
      <c r="R614">
        <v>707</v>
      </c>
      <c r="S614">
        <v>707</v>
      </c>
      <c r="T614">
        <v>0</v>
      </c>
      <c r="U614">
        <v>2</v>
      </c>
    </row>
    <row r="615" spans="1:24" x14ac:dyDescent="0.35">
      <c r="A615" t="s">
        <v>8</v>
      </c>
      <c r="B615" t="s">
        <v>9</v>
      </c>
      <c r="C615" t="str">
        <f t="shared" si="86"/>
        <v>11242</v>
      </c>
      <c r="D615" t="s">
        <v>13</v>
      </c>
      <c r="E615" t="str">
        <f t="shared" si="87"/>
        <v>25</v>
      </c>
      <c r="F615">
        <v>26591</v>
      </c>
      <c r="G615">
        <v>23853</v>
      </c>
      <c r="H615">
        <v>983</v>
      </c>
      <c r="I615" t="str">
        <f t="shared" si="88"/>
        <v>7</v>
      </c>
      <c r="J615" t="str">
        <f t="shared" si="89"/>
        <v>PVDA</v>
      </c>
      <c r="K615">
        <v>1023</v>
      </c>
      <c r="L615">
        <v>2612</v>
      </c>
      <c r="M615">
        <v>3635</v>
      </c>
      <c r="N615">
        <v>2908</v>
      </c>
      <c r="O615">
        <v>4</v>
      </c>
      <c r="P615" t="str">
        <f>("6")</f>
        <v>6</v>
      </c>
      <c r="Q615" t="str">
        <f>("VAN PARYS Nele")</f>
        <v>VAN PARYS Nele</v>
      </c>
      <c r="R615">
        <v>166</v>
      </c>
      <c r="S615" t="s">
        <v>44</v>
      </c>
      <c r="T615">
        <v>0</v>
      </c>
      <c r="V615">
        <v>3</v>
      </c>
      <c r="W615">
        <v>166</v>
      </c>
      <c r="X615">
        <v>0</v>
      </c>
    </row>
    <row r="616" spans="1:24" x14ac:dyDescent="0.35">
      <c r="A616" t="s">
        <v>8</v>
      </c>
      <c r="B616" t="s">
        <v>9</v>
      </c>
      <c r="C616" t="str">
        <f t="shared" si="86"/>
        <v>11242</v>
      </c>
      <c r="D616" t="s">
        <v>13</v>
      </c>
      <c r="E616" t="str">
        <f t="shared" si="87"/>
        <v>25</v>
      </c>
      <c r="F616">
        <v>26591</v>
      </c>
      <c r="G616">
        <v>23853</v>
      </c>
      <c r="H616">
        <v>983</v>
      </c>
      <c r="I616" t="str">
        <f t="shared" si="88"/>
        <v>7</v>
      </c>
      <c r="J616" t="str">
        <f t="shared" si="89"/>
        <v>PVDA</v>
      </c>
      <c r="K616">
        <v>1023</v>
      </c>
      <c r="L616">
        <v>2612</v>
      </c>
      <c r="M616">
        <v>3635</v>
      </c>
      <c r="N616">
        <v>2908</v>
      </c>
      <c r="O616">
        <v>4</v>
      </c>
      <c r="P616" t="str">
        <f>("7")</f>
        <v>7</v>
      </c>
      <c r="Q616" t="str">
        <f>("VAN DUPPEN Ben")</f>
        <v>VAN DUPPEN Ben</v>
      </c>
      <c r="R616">
        <v>215</v>
      </c>
      <c r="S616" t="s">
        <v>44</v>
      </c>
      <c r="T616">
        <v>0</v>
      </c>
      <c r="V616">
        <v>2</v>
      </c>
      <c r="W616">
        <v>215</v>
      </c>
      <c r="X616">
        <v>0</v>
      </c>
    </row>
    <row r="617" spans="1:24" x14ac:dyDescent="0.35">
      <c r="A617" t="s">
        <v>8</v>
      </c>
      <c r="B617" t="s">
        <v>9</v>
      </c>
      <c r="C617" t="str">
        <f t="shared" si="86"/>
        <v>11242</v>
      </c>
      <c r="D617" t="s">
        <v>13</v>
      </c>
      <c r="E617" t="str">
        <f t="shared" si="87"/>
        <v>25</v>
      </c>
      <c r="F617">
        <v>26591</v>
      </c>
      <c r="G617">
        <v>23853</v>
      </c>
      <c r="H617">
        <v>983</v>
      </c>
      <c r="I617" t="str">
        <f t="shared" si="88"/>
        <v>7</v>
      </c>
      <c r="J617" t="str">
        <f t="shared" si="89"/>
        <v>PVDA</v>
      </c>
      <c r="K617">
        <v>1023</v>
      </c>
      <c r="L617">
        <v>2612</v>
      </c>
      <c r="M617">
        <v>3635</v>
      </c>
      <c r="N617">
        <v>2908</v>
      </c>
      <c r="O617">
        <v>4</v>
      </c>
      <c r="P617" t="str">
        <f>("8")</f>
        <v>8</v>
      </c>
      <c r="Q617" t="str">
        <f>("DE BUCK Godelieve")</f>
        <v>DE BUCK Godelieve</v>
      </c>
      <c r="R617">
        <v>139</v>
      </c>
      <c r="S617" t="s">
        <v>44</v>
      </c>
      <c r="T617">
        <v>0</v>
      </c>
      <c r="V617">
        <v>7</v>
      </c>
      <c r="W617">
        <v>139</v>
      </c>
      <c r="X617">
        <v>0</v>
      </c>
    </row>
    <row r="618" spans="1:24" x14ac:dyDescent="0.35">
      <c r="A618" t="s">
        <v>8</v>
      </c>
      <c r="B618" t="s">
        <v>9</v>
      </c>
      <c r="C618" t="str">
        <f t="shared" si="86"/>
        <v>11242</v>
      </c>
      <c r="D618" t="s">
        <v>13</v>
      </c>
      <c r="E618" t="str">
        <f t="shared" si="87"/>
        <v>25</v>
      </c>
      <c r="F618">
        <v>26591</v>
      </c>
      <c r="G618">
        <v>23853</v>
      </c>
      <c r="H618">
        <v>983</v>
      </c>
      <c r="I618" t="str">
        <f t="shared" si="88"/>
        <v>7</v>
      </c>
      <c r="J618" t="str">
        <f t="shared" si="89"/>
        <v>PVDA</v>
      </c>
      <c r="K618">
        <v>1023</v>
      </c>
      <c r="L618">
        <v>2612</v>
      </c>
      <c r="M618">
        <v>3635</v>
      </c>
      <c r="N618">
        <v>2908</v>
      </c>
      <c r="O618">
        <v>4</v>
      </c>
      <c r="P618" t="str">
        <f>("9")</f>
        <v>9</v>
      </c>
      <c r="Q618" t="str">
        <f>("ENGELS Ludwig")</f>
        <v>ENGELS Ludwig</v>
      </c>
      <c r="R618">
        <v>96</v>
      </c>
      <c r="S618" t="s">
        <v>44</v>
      </c>
      <c r="T618">
        <v>0</v>
      </c>
      <c r="V618">
        <v>20</v>
      </c>
      <c r="W618">
        <v>96</v>
      </c>
      <c r="X618">
        <v>0</v>
      </c>
    </row>
    <row r="619" spans="1:24" x14ac:dyDescent="0.35">
      <c r="A619" t="s">
        <v>8</v>
      </c>
      <c r="B619" t="s">
        <v>9</v>
      </c>
      <c r="C619" t="str">
        <f t="shared" si="86"/>
        <v>11242</v>
      </c>
      <c r="D619" t="s">
        <v>13</v>
      </c>
      <c r="E619" t="str">
        <f t="shared" si="87"/>
        <v>25</v>
      </c>
      <c r="F619">
        <v>26591</v>
      </c>
      <c r="G619">
        <v>23853</v>
      </c>
      <c r="H619">
        <v>983</v>
      </c>
      <c r="I619" t="str">
        <f t="shared" si="88"/>
        <v>7</v>
      </c>
      <c r="J619" t="str">
        <f t="shared" si="89"/>
        <v>PVDA</v>
      </c>
      <c r="K619">
        <v>1023</v>
      </c>
      <c r="L619">
        <v>2612</v>
      </c>
      <c r="M619">
        <v>3635</v>
      </c>
      <c r="N619">
        <v>2908</v>
      </c>
      <c r="O619">
        <v>4</v>
      </c>
      <c r="P619" t="str">
        <f>("10")</f>
        <v>10</v>
      </c>
      <c r="Q619" t="str">
        <f>("BRYS Karina")</f>
        <v>BRYS Karina</v>
      </c>
      <c r="R619">
        <v>144</v>
      </c>
      <c r="S619" t="s">
        <v>44</v>
      </c>
      <c r="T619">
        <v>0</v>
      </c>
      <c r="V619">
        <v>6</v>
      </c>
      <c r="W619">
        <v>144</v>
      </c>
      <c r="X619">
        <v>0</v>
      </c>
    </row>
    <row r="620" spans="1:24" x14ac:dyDescent="0.35">
      <c r="A620" t="s">
        <v>8</v>
      </c>
      <c r="B620" t="s">
        <v>9</v>
      </c>
      <c r="C620" t="str">
        <f t="shared" ref="C620:C634" si="90">("11242")</f>
        <v>11242</v>
      </c>
      <c r="D620" t="s">
        <v>13</v>
      </c>
      <c r="E620" t="str">
        <f t="shared" ref="E620:E634" si="91">("25")</f>
        <v>25</v>
      </c>
      <c r="F620">
        <v>26591</v>
      </c>
      <c r="G620">
        <v>23853</v>
      </c>
      <c r="H620">
        <v>983</v>
      </c>
      <c r="I620" t="str">
        <f t="shared" si="88"/>
        <v>7</v>
      </c>
      <c r="J620" t="str">
        <f t="shared" si="89"/>
        <v>PVDA</v>
      </c>
      <c r="K620">
        <v>1023</v>
      </c>
      <c r="L620">
        <v>2612</v>
      </c>
      <c r="M620">
        <v>3635</v>
      </c>
      <c r="N620">
        <v>2908</v>
      </c>
      <c r="O620">
        <v>4</v>
      </c>
      <c r="P620" t="str">
        <f>("11")</f>
        <v>11</v>
      </c>
      <c r="Q620" t="str">
        <f>("CHRARID Bouchra")</f>
        <v>CHRARID Bouchra</v>
      </c>
      <c r="R620">
        <v>608</v>
      </c>
      <c r="S620">
        <v>608</v>
      </c>
      <c r="T620">
        <v>0</v>
      </c>
      <c r="U620">
        <v>3</v>
      </c>
    </row>
    <row r="621" spans="1:24" x14ac:dyDescent="0.35">
      <c r="A621" t="s">
        <v>8</v>
      </c>
      <c r="B621" t="s">
        <v>9</v>
      </c>
      <c r="C621" t="str">
        <f t="shared" si="90"/>
        <v>11242</v>
      </c>
      <c r="D621" t="s">
        <v>13</v>
      </c>
      <c r="E621" t="str">
        <f t="shared" si="91"/>
        <v>25</v>
      </c>
      <c r="F621">
        <v>26591</v>
      </c>
      <c r="G621">
        <v>23853</v>
      </c>
      <c r="H621">
        <v>983</v>
      </c>
      <c r="I621" t="str">
        <f t="shared" si="88"/>
        <v>7</v>
      </c>
      <c r="J621" t="str">
        <f t="shared" si="89"/>
        <v>PVDA</v>
      </c>
      <c r="K621">
        <v>1023</v>
      </c>
      <c r="L621">
        <v>2612</v>
      </c>
      <c r="M621">
        <v>3635</v>
      </c>
      <c r="N621">
        <v>2908</v>
      </c>
      <c r="O621">
        <v>4</v>
      </c>
      <c r="P621" t="str">
        <f>("12")</f>
        <v>12</v>
      </c>
      <c r="Q621" t="str">
        <f>("DEREYMAEKER Koen")</f>
        <v>DEREYMAEKER Koen</v>
      </c>
      <c r="R621">
        <v>105</v>
      </c>
      <c r="S621" t="s">
        <v>44</v>
      </c>
      <c r="T621">
        <v>0</v>
      </c>
      <c r="V621">
        <v>17</v>
      </c>
      <c r="W621">
        <v>105</v>
      </c>
      <c r="X621">
        <v>0</v>
      </c>
    </row>
    <row r="622" spans="1:24" x14ac:dyDescent="0.35">
      <c r="A622" t="s">
        <v>8</v>
      </c>
      <c r="B622" t="s">
        <v>9</v>
      </c>
      <c r="C622" t="str">
        <f t="shared" si="90"/>
        <v>11242</v>
      </c>
      <c r="D622" t="s">
        <v>13</v>
      </c>
      <c r="E622" t="str">
        <f t="shared" si="91"/>
        <v>25</v>
      </c>
      <c r="F622">
        <v>26591</v>
      </c>
      <c r="G622">
        <v>23853</v>
      </c>
      <c r="H622">
        <v>983</v>
      </c>
      <c r="I622" t="str">
        <f t="shared" si="88"/>
        <v>7</v>
      </c>
      <c r="J622" t="str">
        <f t="shared" si="89"/>
        <v>PVDA</v>
      </c>
      <c r="K622">
        <v>1023</v>
      </c>
      <c r="L622">
        <v>2612</v>
      </c>
      <c r="M622">
        <v>3635</v>
      </c>
      <c r="N622">
        <v>2908</v>
      </c>
      <c r="O622">
        <v>4</v>
      </c>
      <c r="P622" t="str">
        <f>("13")</f>
        <v>13</v>
      </c>
      <c r="Q622" t="str">
        <f>("OOSTEROP Johanna")</f>
        <v>OOSTEROP Johanna</v>
      </c>
      <c r="R622">
        <v>119</v>
      </c>
      <c r="S622" t="s">
        <v>44</v>
      </c>
      <c r="T622">
        <v>0</v>
      </c>
      <c r="V622">
        <v>8</v>
      </c>
      <c r="W622">
        <v>119</v>
      </c>
      <c r="X622">
        <v>0</v>
      </c>
    </row>
    <row r="623" spans="1:24" x14ac:dyDescent="0.35">
      <c r="A623" t="s">
        <v>8</v>
      </c>
      <c r="B623" t="s">
        <v>9</v>
      </c>
      <c r="C623" t="str">
        <f t="shared" si="90"/>
        <v>11242</v>
      </c>
      <c r="D623" t="s">
        <v>13</v>
      </c>
      <c r="E623" t="str">
        <f t="shared" si="91"/>
        <v>25</v>
      </c>
      <c r="F623">
        <v>26591</v>
      </c>
      <c r="G623">
        <v>23853</v>
      </c>
      <c r="H623">
        <v>983</v>
      </c>
      <c r="I623" t="str">
        <f t="shared" si="88"/>
        <v>7</v>
      </c>
      <c r="J623" t="str">
        <f t="shared" si="89"/>
        <v>PVDA</v>
      </c>
      <c r="K623">
        <v>1023</v>
      </c>
      <c r="L623">
        <v>2612</v>
      </c>
      <c r="M623">
        <v>3635</v>
      </c>
      <c r="N623">
        <v>2908</v>
      </c>
      <c r="O623">
        <v>4</v>
      </c>
      <c r="P623" t="str">
        <f>("14")</f>
        <v>14</v>
      </c>
      <c r="Q623" t="str">
        <f>("SOBADJIEW Emil")</f>
        <v>SOBADJIEW Emil</v>
      </c>
      <c r="R623">
        <v>119</v>
      </c>
      <c r="S623" t="s">
        <v>44</v>
      </c>
      <c r="T623">
        <v>0</v>
      </c>
      <c r="V623">
        <v>9</v>
      </c>
      <c r="W623">
        <v>119</v>
      </c>
      <c r="X623">
        <v>0</v>
      </c>
    </row>
    <row r="624" spans="1:24" x14ac:dyDescent="0.35">
      <c r="A624" t="s">
        <v>8</v>
      </c>
      <c r="B624" t="s">
        <v>9</v>
      </c>
      <c r="C624" t="str">
        <f t="shared" si="90"/>
        <v>11242</v>
      </c>
      <c r="D624" t="s">
        <v>13</v>
      </c>
      <c r="E624" t="str">
        <f t="shared" si="91"/>
        <v>25</v>
      </c>
      <c r="F624">
        <v>26591</v>
      </c>
      <c r="G624">
        <v>23853</v>
      </c>
      <c r="H624">
        <v>983</v>
      </c>
      <c r="I624" t="str">
        <f t="shared" si="88"/>
        <v>7</v>
      </c>
      <c r="J624" t="str">
        <f t="shared" si="89"/>
        <v>PVDA</v>
      </c>
      <c r="K624">
        <v>1023</v>
      </c>
      <c r="L624">
        <v>2612</v>
      </c>
      <c r="M624">
        <v>3635</v>
      </c>
      <c r="N624">
        <v>2908</v>
      </c>
      <c r="O624">
        <v>4</v>
      </c>
      <c r="P624" t="str">
        <f>("15")</f>
        <v>15</v>
      </c>
      <c r="Q624" t="str">
        <f>("JONCKHEERE Peggy")</f>
        <v>JONCKHEERE Peggy</v>
      </c>
      <c r="R624">
        <v>117</v>
      </c>
      <c r="S624" t="s">
        <v>44</v>
      </c>
      <c r="T624">
        <v>0</v>
      </c>
      <c r="V624">
        <v>11</v>
      </c>
      <c r="W624">
        <v>117</v>
      </c>
      <c r="X624">
        <v>0</v>
      </c>
    </row>
    <row r="625" spans="1:24" x14ac:dyDescent="0.35">
      <c r="A625" t="s">
        <v>8</v>
      </c>
      <c r="B625" t="s">
        <v>9</v>
      </c>
      <c r="C625" t="str">
        <f t="shared" si="90"/>
        <v>11242</v>
      </c>
      <c r="D625" t="s">
        <v>13</v>
      </c>
      <c r="E625" t="str">
        <f t="shared" si="91"/>
        <v>25</v>
      </c>
      <c r="F625">
        <v>26591</v>
      </c>
      <c r="G625">
        <v>23853</v>
      </c>
      <c r="H625">
        <v>983</v>
      </c>
      <c r="I625" t="str">
        <f t="shared" si="88"/>
        <v>7</v>
      </c>
      <c r="J625" t="str">
        <f t="shared" si="89"/>
        <v>PVDA</v>
      </c>
      <c r="K625">
        <v>1023</v>
      </c>
      <c r="L625">
        <v>2612</v>
      </c>
      <c r="M625">
        <v>3635</v>
      </c>
      <c r="N625">
        <v>2908</v>
      </c>
      <c r="O625">
        <v>4</v>
      </c>
      <c r="P625" t="str">
        <f>("16")</f>
        <v>16</v>
      </c>
      <c r="Q625" t="str">
        <f>("NAUWELAERS Frank")</f>
        <v>NAUWELAERS Frank</v>
      </c>
      <c r="R625">
        <v>106</v>
      </c>
      <c r="S625" t="s">
        <v>44</v>
      </c>
      <c r="T625">
        <v>0</v>
      </c>
      <c r="V625">
        <v>16</v>
      </c>
      <c r="W625">
        <v>106</v>
      </c>
      <c r="X625">
        <v>0</v>
      </c>
    </row>
    <row r="626" spans="1:24" x14ac:dyDescent="0.35">
      <c r="A626" t="s">
        <v>8</v>
      </c>
      <c r="B626" t="s">
        <v>9</v>
      </c>
      <c r="C626" t="str">
        <f t="shared" si="90"/>
        <v>11242</v>
      </c>
      <c r="D626" t="s">
        <v>13</v>
      </c>
      <c r="E626" t="str">
        <f t="shared" si="91"/>
        <v>25</v>
      </c>
      <c r="F626">
        <v>26591</v>
      </c>
      <c r="G626">
        <v>23853</v>
      </c>
      <c r="H626">
        <v>983</v>
      </c>
      <c r="I626" t="str">
        <f t="shared" si="88"/>
        <v>7</v>
      </c>
      <c r="J626" t="str">
        <f t="shared" si="89"/>
        <v>PVDA</v>
      </c>
      <c r="K626">
        <v>1023</v>
      </c>
      <c r="L626">
        <v>2612</v>
      </c>
      <c r="M626">
        <v>3635</v>
      </c>
      <c r="N626">
        <v>2908</v>
      </c>
      <c r="O626">
        <v>4</v>
      </c>
      <c r="P626" t="str">
        <f>("17")</f>
        <v>17</v>
      </c>
      <c r="Q626" t="str">
        <f>("BELMANS Marcel")</f>
        <v>BELMANS Marcel</v>
      </c>
      <c r="R626">
        <v>100</v>
      </c>
      <c r="S626" t="s">
        <v>44</v>
      </c>
      <c r="T626">
        <v>0</v>
      </c>
      <c r="V626">
        <v>18</v>
      </c>
      <c r="W626">
        <v>100</v>
      </c>
      <c r="X626">
        <v>0</v>
      </c>
    </row>
    <row r="627" spans="1:24" x14ac:dyDescent="0.35">
      <c r="A627" t="s">
        <v>8</v>
      </c>
      <c r="B627" t="s">
        <v>9</v>
      </c>
      <c r="C627" t="str">
        <f t="shared" si="90"/>
        <v>11242</v>
      </c>
      <c r="D627" t="s">
        <v>13</v>
      </c>
      <c r="E627" t="str">
        <f t="shared" si="91"/>
        <v>25</v>
      </c>
      <c r="F627">
        <v>26591</v>
      </c>
      <c r="G627">
        <v>23853</v>
      </c>
      <c r="H627">
        <v>983</v>
      </c>
      <c r="I627" t="str">
        <f t="shared" si="88"/>
        <v>7</v>
      </c>
      <c r="J627" t="str">
        <f t="shared" si="89"/>
        <v>PVDA</v>
      </c>
      <c r="K627">
        <v>1023</v>
      </c>
      <c r="L627">
        <v>2612</v>
      </c>
      <c r="M627">
        <v>3635</v>
      </c>
      <c r="N627">
        <v>2908</v>
      </c>
      <c r="O627">
        <v>4</v>
      </c>
      <c r="P627" t="str">
        <f>("18")</f>
        <v>18</v>
      </c>
      <c r="Q627" t="str">
        <f>("RAEYMAEKERS Martine")</f>
        <v>RAEYMAEKERS Martine</v>
      </c>
      <c r="R627">
        <v>107</v>
      </c>
      <c r="S627" t="s">
        <v>44</v>
      </c>
      <c r="T627">
        <v>0</v>
      </c>
      <c r="V627">
        <v>15</v>
      </c>
      <c r="W627">
        <v>107</v>
      </c>
      <c r="X627">
        <v>0</v>
      </c>
    </row>
    <row r="628" spans="1:24" x14ac:dyDescent="0.35">
      <c r="A628" t="s">
        <v>8</v>
      </c>
      <c r="B628" t="s">
        <v>9</v>
      </c>
      <c r="C628" t="str">
        <f t="shared" si="90"/>
        <v>11242</v>
      </c>
      <c r="D628" t="s">
        <v>13</v>
      </c>
      <c r="E628" t="str">
        <f t="shared" si="91"/>
        <v>25</v>
      </c>
      <c r="F628">
        <v>26591</v>
      </c>
      <c r="G628">
        <v>23853</v>
      </c>
      <c r="H628">
        <v>983</v>
      </c>
      <c r="I628" t="str">
        <f t="shared" si="88"/>
        <v>7</v>
      </c>
      <c r="J628" t="str">
        <f t="shared" si="89"/>
        <v>PVDA</v>
      </c>
      <c r="K628">
        <v>1023</v>
      </c>
      <c r="L628">
        <v>2612</v>
      </c>
      <c r="M628">
        <v>3635</v>
      </c>
      <c r="N628">
        <v>2908</v>
      </c>
      <c r="O628">
        <v>4</v>
      </c>
      <c r="P628" t="str">
        <f>("19")</f>
        <v>19</v>
      </c>
      <c r="Q628" t="str">
        <f>("BUDTS Geert")</f>
        <v>BUDTS Geert</v>
      </c>
      <c r="R628">
        <v>115</v>
      </c>
      <c r="S628" t="s">
        <v>44</v>
      </c>
      <c r="T628">
        <v>0</v>
      </c>
      <c r="V628">
        <v>12</v>
      </c>
      <c r="W628">
        <v>115</v>
      </c>
      <c r="X628">
        <v>0</v>
      </c>
    </row>
    <row r="629" spans="1:24" x14ac:dyDescent="0.35">
      <c r="A629" t="s">
        <v>8</v>
      </c>
      <c r="B629" t="s">
        <v>9</v>
      </c>
      <c r="C629" t="str">
        <f t="shared" si="90"/>
        <v>11242</v>
      </c>
      <c r="D629" t="s">
        <v>13</v>
      </c>
      <c r="E629" t="str">
        <f t="shared" si="91"/>
        <v>25</v>
      </c>
      <c r="F629">
        <v>26591</v>
      </c>
      <c r="G629">
        <v>23853</v>
      </c>
      <c r="H629">
        <v>983</v>
      </c>
      <c r="I629" t="str">
        <f t="shared" si="88"/>
        <v>7</v>
      </c>
      <c r="J629" t="str">
        <f t="shared" si="89"/>
        <v>PVDA</v>
      </c>
      <c r="K629">
        <v>1023</v>
      </c>
      <c r="L629">
        <v>2612</v>
      </c>
      <c r="M629">
        <v>3635</v>
      </c>
      <c r="N629">
        <v>2908</v>
      </c>
      <c r="O629">
        <v>4</v>
      </c>
      <c r="P629" t="str">
        <f>("20")</f>
        <v>20</v>
      </c>
      <c r="Q629" t="str">
        <f>("TEMMERMAN Leen")</f>
        <v>TEMMERMAN Leen</v>
      </c>
      <c r="R629">
        <v>114</v>
      </c>
      <c r="S629" t="s">
        <v>44</v>
      </c>
      <c r="T629">
        <v>0</v>
      </c>
      <c r="V629">
        <v>13</v>
      </c>
      <c r="W629">
        <v>114</v>
      </c>
      <c r="X629">
        <v>0</v>
      </c>
    </row>
    <row r="630" spans="1:24" x14ac:dyDescent="0.35">
      <c r="A630" t="s">
        <v>8</v>
      </c>
      <c r="B630" t="s">
        <v>9</v>
      </c>
      <c r="C630" t="str">
        <f t="shared" si="90"/>
        <v>11242</v>
      </c>
      <c r="D630" t="s">
        <v>13</v>
      </c>
      <c r="E630" t="str">
        <f t="shared" si="91"/>
        <v>25</v>
      </c>
      <c r="F630">
        <v>26591</v>
      </c>
      <c r="G630">
        <v>23853</v>
      </c>
      <c r="H630">
        <v>983</v>
      </c>
      <c r="I630" t="str">
        <f t="shared" si="88"/>
        <v>7</v>
      </c>
      <c r="J630" t="str">
        <f t="shared" si="89"/>
        <v>PVDA</v>
      </c>
      <c r="K630">
        <v>1023</v>
      </c>
      <c r="L630">
        <v>2612</v>
      </c>
      <c r="M630">
        <v>3635</v>
      </c>
      <c r="N630">
        <v>2908</v>
      </c>
      <c r="O630">
        <v>4</v>
      </c>
      <c r="P630" t="str">
        <f>("21")</f>
        <v>21</v>
      </c>
      <c r="Q630" t="str">
        <f>("DE POORTERE Gerrit")</f>
        <v>DE POORTERE Gerrit</v>
      </c>
      <c r="R630">
        <v>100</v>
      </c>
      <c r="S630" t="s">
        <v>44</v>
      </c>
      <c r="T630">
        <v>0</v>
      </c>
      <c r="V630">
        <v>19</v>
      </c>
      <c r="W630">
        <v>100</v>
      </c>
      <c r="X630">
        <v>0</v>
      </c>
    </row>
    <row r="631" spans="1:24" x14ac:dyDescent="0.35">
      <c r="A631" t="s">
        <v>8</v>
      </c>
      <c r="B631" t="s">
        <v>9</v>
      </c>
      <c r="C631" t="str">
        <f t="shared" si="90"/>
        <v>11242</v>
      </c>
      <c r="D631" t="s">
        <v>13</v>
      </c>
      <c r="E631" t="str">
        <f t="shared" si="91"/>
        <v>25</v>
      </c>
      <c r="F631">
        <v>26591</v>
      </c>
      <c r="G631">
        <v>23853</v>
      </c>
      <c r="H631">
        <v>983</v>
      </c>
      <c r="I631" t="str">
        <f t="shared" si="88"/>
        <v>7</v>
      </c>
      <c r="J631" t="str">
        <f t="shared" si="89"/>
        <v>PVDA</v>
      </c>
      <c r="K631">
        <v>1023</v>
      </c>
      <c r="L631">
        <v>2612</v>
      </c>
      <c r="M631">
        <v>3635</v>
      </c>
      <c r="N631">
        <v>2908</v>
      </c>
      <c r="O631">
        <v>4</v>
      </c>
      <c r="P631" t="str">
        <f>("22")</f>
        <v>22</v>
      </c>
      <c r="Q631" t="str">
        <f>("VAN GORP Joris")</f>
        <v>VAN GORP Joris</v>
      </c>
      <c r="R631">
        <v>89</v>
      </c>
      <c r="S631" t="s">
        <v>44</v>
      </c>
      <c r="T631">
        <v>0</v>
      </c>
      <c r="V631">
        <v>21</v>
      </c>
      <c r="W631">
        <v>89</v>
      </c>
      <c r="X631">
        <v>0</v>
      </c>
    </row>
    <row r="632" spans="1:24" x14ac:dyDescent="0.35">
      <c r="A632" t="s">
        <v>8</v>
      </c>
      <c r="B632" t="s">
        <v>9</v>
      </c>
      <c r="C632" t="str">
        <f t="shared" si="90"/>
        <v>11242</v>
      </c>
      <c r="D632" t="s">
        <v>13</v>
      </c>
      <c r="E632" t="str">
        <f t="shared" si="91"/>
        <v>25</v>
      </c>
      <c r="F632">
        <v>26591</v>
      </c>
      <c r="G632">
        <v>23853</v>
      </c>
      <c r="H632">
        <v>983</v>
      </c>
      <c r="I632" t="str">
        <f t="shared" si="88"/>
        <v>7</v>
      </c>
      <c r="J632" t="str">
        <f t="shared" si="89"/>
        <v>PVDA</v>
      </c>
      <c r="K632">
        <v>1023</v>
      </c>
      <c r="L632">
        <v>2612</v>
      </c>
      <c r="M632">
        <v>3635</v>
      </c>
      <c r="N632">
        <v>2908</v>
      </c>
      <c r="O632">
        <v>4</v>
      </c>
      <c r="P632" t="str">
        <f>("23")</f>
        <v>23</v>
      </c>
      <c r="Q632" t="str">
        <f>("BOVENDEERD Hilde")</f>
        <v>BOVENDEERD Hilde</v>
      </c>
      <c r="R632">
        <v>108</v>
      </c>
      <c r="S632" t="s">
        <v>44</v>
      </c>
      <c r="T632">
        <v>0</v>
      </c>
      <c r="V632">
        <v>14</v>
      </c>
      <c r="W632">
        <v>108</v>
      </c>
      <c r="X632">
        <v>0</v>
      </c>
    </row>
    <row r="633" spans="1:24" x14ac:dyDescent="0.35">
      <c r="A633" t="s">
        <v>8</v>
      </c>
      <c r="B633" t="s">
        <v>9</v>
      </c>
      <c r="C633" t="str">
        <f t="shared" si="90"/>
        <v>11242</v>
      </c>
      <c r="D633" t="s">
        <v>13</v>
      </c>
      <c r="E633" t="str">
        <f t="shared" si="91"/>
        <v>25</v>
      </c>
      <c r="F633">
        <v>26591</v>
      </c>
      <c r="G633">
        <v>23853</v>
      </c>
      <c r="H633">
        <v>983</v>
      </c>
      <c r="I633" t="str">
        <f t="shared" si="88"/>
        <v>7</v>
      </c>
      <c r="J633" t="str">
        <f t="shared" si="89"/>
        <v>PVDA</v>
      </c>
      <c r="K633">
        <v>1023</v>
      </c>
      <c r="L633">
        <v>2612</v>
      </c>
      <c r="M633">
        <v>3635</v>
      </c>
      <c r="N633">
        <v>2908</v>
      </c>
      <c r="O633">
        <v>4</v>
      </c>
      <c r="P633" t="str">
        <f>("24")</f>
        <v>24</v>
      </c>
      <c r="Q633" t="str">
        <f>("ROES Els")</f>
        <v>ROES Els</v>
      </c>
      <c r="R633">
        <v>118</v>
      </c>
      <c r="S633" t="s">
        <v>44</v>
      </c>
      <c r="T633">
        <v>0</v>
      </c>
      <c r="V633">
        <v>10</v>
      </c>
      <c r="W633">
        <v>118</v>
      </c>
      <c r="X633">
        <v>0</v>
      </c>
    </row>
    <row r="634" spans="1:24" x14ac:dyDescent="0.35">
      <c r="A634" t="s">
        <v>8</v>
      </c>
      <c r="B634" t="s">
        <v>9</v>
      </c>
      <c r="C634" t="str">
        <f t="shared" si="90"/>
        <v>11242</v>
      </c>
      <c r="D634" t="s">
        <v>13</v>
      </c>
      <c r="E634" t="str">
        <f t="shared" si="91"/>
        <v>25</v>
      </c>
      <c r="F634">
        <v>26591</v>
      </c>
      <c r="G634">
        <v>23853</v>
      </c>
      <c r="H634">
        <v>983</v>
      </c>
      <c r="I634" t="str">
        <f t="shared" si="88"/>
        <v>7</v>
      </c>
      <c r="J634" t="str">
        <f t="shared" si="89"/>
        <v>PVDA</v>
      </c>
      <c r="K634">
        <v>1023</v>
      </c>
      <c r="L634">
        <v>2612</v>
      </c>
      <c r="M634">
        <v>3635</v>
      </c>
      <c r="N634">
        <v>2908</v>
      </c>
      <c r="O634">
        <v>4</v>
      </c>
      <c r="P634" t="str">
        <f>("25")</f>
        <v>25</v>
      </c>
      <c r="Q634" t="str">
        <f>("SIMONS Liliane")</f>
        <v>SIMONS Liliane</v>
      </c>
      <c r="R634">
        <v>161</v>
      </c>
      <c r="S634" t="s">
        <v>44</v>
      </c>
      <c r="T634">
        <v>0</v>
      </c>
      <c r="V634">
        <v>5</v>
      </c>
      <c r="W634">
        <v>161</v>
      </c>
      <c r="X634">
        <v>0</v>
      </c>
    </row>
    <row r="635" spans="1:24" x14ac:dyDescent="0.35">
      <c r="A635" t="s">
        <v>8</v>
      </c>
      <c r="B635" t="s">
        <v>9</v>
      </c>
      <c r="C635" t="str">
        <f t="shared" ref="C635:C698" si="92">("11252")</f>
        <v>11252</v>
      </c>
      <c r="D635" t="s">
        <v>14</v>
      </c>
      <c r="E635" t="str">
        <f t="shared" ref="E635:E698" si="93">("29")</f>
        <v>29</v>
      </c>
      <c r="F635">
        <v>49717</v>
      </c>
      <c r="G635">
        <v>44678</v>
      </c>
      <c r="H635">
        <v>2069</v>
      </c>
      <c r="I635" t="str">
        <f t="shared" ref="I635:I663" si="94">("1")</f>
        <v>1</v>
      </c>
      <c r="J635" t="str">
        <f t="shared" ref="J635:J663" si="95">("sp.a")</f>
        <v>sp.a</v>
      </c>
      <c r="K635">
        <v>1340</v>
      </c>
      <c r="L635">
        <v>3009</v>
      </c>
      <c r="M635">
        <v>4349</v>
      </c>
      <c r="N635">
        <v>3262</v>
      </c>
      <c r="O635">
        <v>3</v>
      </c>
      <c r="P635" t="str">
        <f>("1")</f>
        <v>1</v>
      </c>
      <c r="Q635" t="str">
        <f>("VERCAMMEN Frank")</f>
        <v>VERCAMMEN Frank</v>
      </c>
      <c r="R635">
        <v>928</v>
      </c>
      <c r="S635">
        <v>2268</v>
      </c>
      <c r="T635">
        <v>0</v>
      </c>
      <c r="U635">
        <v>1</v>
      </c>
    </row>
    <row r="636" spans="1:24" x14ac:dyDescent="0.35">
      <c r="A636" t="s">
        <v>8</v>
      </c>
      <c r="B636" t="s">
        <v>9</v>
      </c>
      <c r="C636" t="str">
        <f t="shared" si="92"/>
        <v>11252</v>
      </c>
      <c r="D636" t="s">
        <v>14</v>
      </c>
      <c r="E636" t="str">
        <f t="shared" si="93"/>
        <v>29</v>
      </c>
      <c r="F636">
        <v>49717</v>
      </c>
      <c r="G636">
        <v>44678</v>
      </c>
      <c r="H636">
        <v>2069</v>
      </c>
      <c r="I636" t="str">
        <f t="shared" si="94"/>
        <v>1</v>
      </c>
      <c r="J636" t="str">
        <f t="shared" si="95"/>
        <v>sp.a</v>
      </c>
      <c r="K636">
        <v>1340</v>
      </c>
      <c r="L636">
        <v>3009</v>
      </c>
      <c r="M636">
        <v>4349</v>
      </c>
      <c r="N636">
        <v>3262</v>
      </c>
      <c r="O636">
        <v>3</v>
      </c>
      <c r="P636" t="str">
        <f>("2")</f>
        <v>2</v>
      </c>
      <c r="Q636" t="str">
        <f>("VERBERCKMOES Charisse")</f>
        <v>VERBERCKMOES Charisse</v>
      </c>
      <c r="R636">
        <v>260</v>
      </c>
      <c r="S636" t="s">
        <v>44</v>
      </c>
      <c r="T636">
        <v>0</v>
      </c>
      <c r="V636">
        <v>1</v>
      </c>
      <c r="W636">
        <v>1600</v>
      </c>
      <c r="X636">
        <v>0</v>
      </c>
    </row>
    <row r="637" spans="1:24" x14ac:dyDescent="0.35">
      <c r="A637" t="s">
        <v>8</v>
      </c>
      <c r="B637" t="s">
        <v>9</v>
      </c>
      <c r="C637" t="str">
        <f t="shared" si="92"/>
        <v>11252</v>
      </c>
      <c r="D637" t="s">
        <v>14</v>
      </c>
      <c r="E637" t="str">
        <f t="shared" si="93"/>
        <v>29</v>
      </c>
      <c r="F637">
        <v>49717</v>
      </c>
      <c r="G637">
        <v>44678</v>
      </c>
      <c r="H637">
        <v>2069</v>
      </c>
      <c r="I637" t="str">
        <f t="shared" si="94"/>
        <v>1</v>
      </c>
      <c r="J637" t="str">
        <f t="shared" si="95"/>
        <v>sp.a</v>
      </c>
      <c r="K637">
        <v>1340</v>
      </c>
      <c r="L637">
        <v>3009</v>
      </c>
      <c r="M637">
        <v>4349</v>
      </c>
      <c r="N637">
        <v>3262</v>
      </c>
      <c r="O637">
        <v>3</v>
      </c>
      <c r="P637" t="str">
        <f>("3")</f>
        <v>3</v>
      </c>
      <c r="Q637" t="str">
        <f>("GEUDENS Frank")</f>
        <v>GEUDENS Frank</v>
      </c>
      <c r="R637">
        <v>432</v>
      </c>
      <c r="S637">
        <v>432</v>
      </c>
      <c r="T637">
        <v>0</v>
      </c>
      <c r="U637">
        <v>2</v>
      </c>
    </row>
    <row r="638" spans="1:24" x14ac:dyDescent="0.35">
      <c r="A638" t="s">
        <v>8</v>
      </c>
      <c r="B638" t="s">
        <v>9</v>
      </c>
      <c r="C638" t="str">
        <f t="shared" si="92"/>
        <v>11252</v>
      </c>
      <c r="D638" t="s">
        <v>14</v>
      </c>
      <c r="E638" t="str">
        <f t="shared" si="93"/>
        <v>29</v>
      </c>
      <c r="F638">
        <v>49717</v>
      </c>
      <c r="G638">
        <v>44678</v>
      </c>
      <c r="H638">
        <v>2069</v>
      </c>
      <c r="I638" t="str">
        <f t="shared" si="94"/>
        <v>1</v>
      </c>
      <c r="J638" t="str">
        <f t="shared" si="95"/>
        <v>sp.a</v>
      </c>
      <c r="K638">
        <v>1340</v>
      </c>
      <c r="L638">
        <v>3009</v>
      </c>
      <c r="M638">
        <v>4349</v>
      </c>
      <c r="N638">
        <v>3262</v>
      </c>
      <c r="O638">
        <v>3</v>
      </c>
      <c r="P638" t="str">
        <f>("4")</f>
        <v>4</v>
      </c>
      <c r="Q638" t="str">
        <f>("VERBERCK Jaro")</f>
        <v>VERBERCK Jaro</v>
      </c>
      <c r="R638">
        <v>114</v>
      </c>
      <c r="S638" t="s">
        <v>44</v>
      </c>
      <c r="T638">
        <v>0</v>
      </c>
      <c r="V638">
        <v>9</v>
      </c>
      <c r="W638">
        <v>114</v>
      </c>
      <c r="X638">
        <v>0</v>
      </c>
    </row>
    <row r="639" spans="1:24" x14ac:dyDescent="0.35">
      <c r="A639" t="s">
        <v>8</v>
      </c>
      <c r="B639" t="s">
        <v>9</v>
      </c>
      <c r="C639" t="str">
        <f t="shared" si="92"/>
        <v>11252</v>
      </c>
      <c r="D639" t="s">
        <v>14</v>
      </c>
      <c r="E639" t="str">
        <f t="shared" si="93"/>
        <v>29</v>
      </c>
      <c r="F639">
        <v>49717</v>
      </c>
      <c r="G639">
        <v>44678</v>
      </c>
      <c r="H639">
        <v>2069</v>
      </c>
      <c r="I639" t="str">
        <f t="shared" si="94"/>
        <v>1</v>
      </c>
      <c r="J639" t="str">
        <f t="shared" si="95"/>
        <v>sp.a</v>
      </c>
      <c r="K639">
        <v>1340</v>
      </c>
      <c r="L639">
        <v>3009</v>
      </c>
      <c r="M639">
        <v>4349</v>
      </c>
      <c r="N639">
        <v>3262</v>
      </c>
      <c r="O639">
        <v>3</v>
      </c>
      <c r="P639" t="str">
        <f>("5")</f>
        <v>5</v>
      </c>
      <c r="Q639" t="str">
        <f>("AGYIN Meredith")</f>
        <v>AGYIN Meredith</v>
      </c>
      <c r="R639">
        <v>215</v>
      </c>
      <c r="S639" t="s">
        <v>44</v>
      </c>
      <c r="T639">
        <v>0</v>
      </c>
      <c r="V639">
        <v>3</v>
      </c>
      <c r="W639">
        <v>215</v>
      </c>
      <c r="X639">
        <v>0</v>
      </c>
    </row>
    <row r="640" spans="1:24" x14ac:dyDescent="0.35">
      <c r="A640" t="s">
        <v>8</v>
      </c>
      <c r="B640" t="s">
        <v>9</v>
      </c>
      <c r="C640" t="str">
        <f t="shared" si="92"/>
        <v>11252</v>
      </c>
      <c r="D640" t="s">
        <v>14</v>
      </c>
      <c r="E640" t="str">
        <f t="shared" si="93"/>
        <v>29</v>
      </c>
      <c r="F640">
        <v>49717</v>
      </c>
      <c r="G640">
        <v>44678</v>
      </c>
      <c r="H640">
        <v>2069</v>
      </c>
      <c r="I640" t="str">
        <f t="shared" si="94"/>
        <v>1</v>
      </c>
      <c r="J640" t="str">
        <f t="shared" si="95"/>
        <v>sp.a</v>
      </c>
      <c r="K640">
        <v>1340</v>
      </c>
      <c r="L640">
        <v>3009</v>
      </c>
      <c r="M640">
        <v>4349</v>
      </c>
      <c r="N640">
        <v>3262</v>
      </c>
      <c r="O640">
        <v>3</v>
      </c>
      <c r="P640" t="str">
        <f>("6")</f>
        <v>6</v>
      </c>
      <c r="Q640" t="str">
        <f>("GEELEN Shauni")</f>
        <v>GEELEN Shauni</v>
      </c>
      <c r="R640">
        <v>124</v>
      </c>
      <c r="S640" t="s">
        <v>44</v>
      </c>
      <c r="T640">
        <v>0</v>
      </c>
      <c r="V640">
        <v>7</v>
      </c>
      <c r="W640">
        <v>124</v>
      </c>
      <c r="X640">
        <v>0</v>
      </c>
    </row>
    <row r="641" spans="1:24" x14ac:dyDescent="0.35">
      <c r="A641" t="s">
        <v>8</v>
      </c>
      <c r="B641" t="s">
        <v>9</v>
      </c>
      <c r="C641" t="str">
        <f t="shared" si="92"/>
        <v>11252</v>
      </c>
      <c r="D641" t="s">
        <v>14</v>
      </c>
      <c r="E641" t="str">
        <f t="shared" si="93"/>
        <v>29</v>
      </c>
      <c r="F641">
        <v>49717</v>
      </c>
      <c r="G641">
        <v>44678</v>
      </c>
      <c r="H641">
        <v>2069</v>
      </c>
      <c r="I641" t="str">
        <f t="shared" si="94"/>
        <v>1</v>
      </c>
      <c r="J641" t="str">
        <f t="shared" si="95"/>
        <v>sp.a</v>
      </c>
      <c r="K641">
        <v>1340</v>
      </c>
      <c r="L641">
        <v>3009</v>
      </c>
      <c r="M641">
        <v>4349</v>
      </c>
      <c r="N641">
        <v>3262</v>
      </c>
      <c r="O641">
        <v>3</v>
      </c>
      <c r="P641" t="str">
        <f>("7")</f>
        <v>7</v>
      </c>
      <c r="Q641" t="str">
        <f>("FREDERICKX Ronny")</f>
        <v>FREDERICKX Ronny</v>
      </c>
      <c r="R641">
        <v>103</v>
      </c>
      <c r="S641" t="s">
        <v>44</v>
      </c>
      <c r="T641">
        <v>0</v>
      </c>
      <c r="V641">
        <v>11</v>
      </c>
      <c r="W641">
        <v>103</v>
      </c>
      <c r="X641">
        <v>0</v>
      </c>
    </row>
    <row r="642" spans="1:24" x14ac:dyDescent="0.35">
      <c r="A642" t="s">
        <v>8</v>
      </c>
      <c r="B642" t="s">
        <v>9</v>
      </c>
      <c r="C642" t="str">
        <f t="shared" si="92"/>
        <v>11252</v>
      </c>
      <c r="D642" t="s">
        <v>14</v>
      </c>
      <c r="E642" t="str">
        <f t="shared" si="93"/>
        <v>29</v>
      </c>
      <c r="F642">
        <v>49717</v>
      </c>
      <c r="G642">
        <v>44678</v>
      </c>
      <c r="H642">
        <v>2069</v>
      </c>
      <c r="I642" t="str">
        <f t="shared" si="94"/>
        <v>1</v>
      </c>
      <c r="J642" t="str">
        <f t="shared" si="95"/>
        <v>sp.a</v>
      </c>
      <c r="K642">
        <v>1340</v>
      </c>
      <c r="L642">
        <v>3009</v>
      </c>
      <c r="M642">
        <v>4349</v>
      </c>
      <c r="N642">
        <v>3262</v>
      </c>
      <c r="O642">
        <v>3</v>
      </c>
      <c r="P642" t="str">
        <f>("8")</f>
        <v>8</v>
      </c>
      <c r="Q642" t="str">
        <f>("MARCHOUH Mohamed")</f>
        <v>MARCHOUH Mohamed</v>
      </c>
      <c r="R642">
        <v>346</v>
      </c>
      <c r="S642" t="s">
        <v>44</v>
      </c>
      <c r="T642">
        <v>0</v>
      </c>
      <c r="V642">
        <v>2</v>
      </c>
      <c r="W642">
        <v>346</v>
      </c>
      <c r="X642">
        <v>0</v>
      </c>
    </row>
    <row r="643" spans="1:24" x14ac:dyDescent="0.35">
      <c r="A643" t="s">
        <v>8</v>
      </c>
      <c r="B643" t="s">
        <v>9</v>
      </c>
      <c r="C643" t="str">
        <f t="shared" si="92"/>
        <v>11252</v>
      </c>
      <c r="D643" t="s">
        <v>14</v>
      </c>
      <c r="E643" t="str">
        <f t="shared" si="93"/>
        <v>29</v>
      </c>
      <c r="F643">
        <v>49717</v>
      </c>
      <c r="G643">
        <v>44678</v>
      </c>
      <c r="H643">
        <v>2069</v>
      </c>
      <c r="I643" t="str">
        <f t="shared" si="94"/>
        <v>1</v>
      </c>
      <c r="J643" t="str">
        <f t="shared" si="95"/>
        <v>sp.a</v>
      </c>
      <c r="K643">
        <v>1340</v>
      </c>
      <c r="L643">
        <v>3009</v>
      </c>
      <c r="M643">
        <v>4349</v>
      </c>
      <c r="N643">
        <v>3262</v>
      </c>
      <c r="O643">
        <v>3</v>
      </c>
      <c r="P643" t="str">
        <f>("9")</f>
        <v>9</v>
      </c>
      <c r="Q643" t="str">
        <f>("DE WOLF Eva")</f>
        <v>DE WOLF Eva</v>
      </c>
      <c r="R643">
        <v>166</v>
      </c>
      <c r="S643" t="s">
        <v>44</v>
      </c>
      <c r="T643">
        <v>0</v>
      </c>
      <c r="V643">
        <v>5</v>
      </c>
      <c r="W643">
        <v>166</v>
      </c>
      <c r="X643">
        <v>0</v>
      </c>
    </row>
    <row r="644" spans="1:24" x14ac:dyDescent="0.35">
      <c r="A644" t="s">
        <v>8</v>
      </c>
      <c r="B644" t="s">
        <v>9</v>
      </c>
      <c r="C644" t="str">
        <f t="shared" si="92"/>
        <v>11252</v>
      </c>
      <c r="D644" t="s">
        <v>14</v>
      </c>
      <c r="E644" t="str">
        <f t="shared" si="93"/>
        <v>29</v>
      </c>
      <c r="F644">
        <v>49717</v>
      </c>
      <c r="G644">
        <v>44678</v>
      </c>
      <c r="H644">
        <v>2069</v>
      </c>
      <c r="I644" t="str">
        <f t="shared" si="94"/>
        <v>1</v>
      </c>
      <c r="J644" t="str">
        <f t="shared" si="95"/>
        <v>sp.a</v>
      </c>
      <c r="K644">
        <v>1340</v>
      </c>
      <c r="L644">
        <v>3009</v>
      </c>
      <c r="M644">
        <v>4349</v>
      </c>
      <c r="N644">
        <v>3262</v>
      </c>
      <c r="O644">
        <v>3</v>
      </c>
      <c r="P644" t="str">
        <f>("10")</f>
        <v>10</v>
      </c>
      <c r="Q644" t="str">
        <f>("VOSKANYAN Hasmik")</f>
        <v>VOSKANYAN Hasmik</v>
      </c>
      <c r="R644">
        <v>112</v>
      </c>
      <c r="S644" t="s">
        <v>44</v>
      </c>
      <c r="T644">
        <v>0</v>
      </c>
      <c r="V644">
        <v>10</v>
      </c>
      <c r="W644">
        <v>112</v>
      </c>
      <c r="X644">
        <v>0</v>
      </c>
    </row>
    <row r="645" spans="1:24" x14ac:dyDescent="0.35">
      <c r="A645" t="s">
        <v>8</v>
      </c>
      <c r="B645" t="s">
        <v>9</v>
      </c>
      <c r="C645" t="str">
        <f t="shared" si="92"/>
        <v>11252</v>
      </c>
      <c r="D645" t="s">
        <v>14</v>
      </c>
      <c r="E645" t="str">
        <f t="shared" si="93"/>
        <v>29</v>
      </c>
      <c r="F645">
        <v>49717</v>
      </c>
      <c r="G645">
        <v>44678</v>
      </c>
      <c r="H645">
        <v>2069</v>
      </c>
      <c r="I645" t="str">
        <f t="shared" si="94"/>
        <v>1</v>
      </c>
      <c r="J645" t="str">
        <f t="shared" si="95"/>
        <v>sp.a</v>
      </c>
      <c r="K645">
        <v>1340</v>
      </c>
      <c r="L645">
        <v>3009</v>
      </c>
      <c r="M645">
        <v>4349</v>
      </c>
      <c r="N645">
        <v>3262</v>
      </c>
      <c r="O645">
        <v>3</v>
      </c>
      <c r="P645" t="str">
        <f>("11")</f>
        <v>11</v>
      </c>
      <c r="Q645" t="str">
        <f>("KAERTS Robert")</f>
        <v>KAERTS Robert</v>
      </c>
      <c r="R645">
        <v>103</v>
      </c>
      <c r="S645" t="s">
        <v>44</v>
      </c>
      <c r="T645">
        <v>0</v>
      </c>
      <c r="V645">
        <v>12</v>
      </c>
      <c r="W645">
        <v>103</v>
      </c>
      <c r="X645">
        <v>0</v>
      </c>
    </row>
    <row r="646" spans="1:24" x14ac:dyDescent="0.35">
      <c r="A646" t="s">
        <v>8</v>
      </c>
      <c r="B646" t="s">
        <v>9</v>
      </c>
      <c r="C646" t="str">
        <f t="shared" si="92"/>
        <v>11252</v>
      </c>
      <c r="D646" t="s">
        <v>14</v>
      </c>
      <c r="E646" t="str">
        <f t="shared" si="93"/>
        <v>29</v>
      </c>
      <c r="F646">
        <v>49717</v>
      </c>
      <c r="G646">
        <v>44678</v>
      </c>
      <c r="H646">
        <v>2069</v>
      </c>
      <c r="I646" t="str">
        <f t="shared" si="94"/>
        <v>1</v>
      </c>
      <c r="J646" t="str">
        <f t="shared" si="95"/>
        <v>sp.a</v>
      </c>
      <c r="K646">
        <v>1340</v>
      </c>
      <c r="L646">
        <v>3009</v>
      </c>
      <c r="M646">
        <v>4349</v>
      </c>
      <c r="N646">
        <v>3262</v>
      </c>
      <c r="O646">
        <v>3</v>
      </c>
      <c r="P646" t="str">
        <f>("12")</f>
        <v>12</v>
      </c>
      <c r="Q646" t="str">
        <f>("REYNAERT John")</f>
        <v>REYNAERT John</v>
      </c>
      <c r="R646">
        <v>74</v>
      </c>
      <c r="S646" t="s">
        <v>44</v>
      </c>
      <c r="T646">
        <v>0</v>
      </c>
      <c r="V646">
        <v>20</v>
      </c>
      <c r="W646">
        <v>74</v>
      </c>
      <c r="X646">
        <v>0</v>
      </c>
    </row>
    <row r="647" spans="1:24" x14ac:dyDescent="0.35">
      <c r="A647" t="s">
        <v>8</v>
      </c>
      <c r="B647" t="s">
        <v>9</v>
      </c>
      <c r="C647" t="str">
        <f t="shared" si="92"/>
        <v>11252</v>
      </c>
      <c r="D647" t="s">
        <v>14</v>
      </c>
      <c r="E647" t="str">
        <f t="shared" si="93"/>
        <v>29</v>
      </c>
      <c r="F647">
        <v>49717</v>
      </c>
      <c r="G647">
        <v>44678</v>
      </c>
      <c r="H647">
        <v>2069</v>
      </c>
      <c r="I647" t="str">
        <f t="shared" si="94"/>
        <v>1</v>
      </c>
      <c r="J647" t="str">
        <f t="shared" si="95"/>
        <v>sp.a</v>
      </c>
      <c r="K647">
        <v>1340</v>
      </c>
      <c r="L647">
        <v>3009</v>
      </c>
      <c r="M647">
        <v>4349</v>
      </c>
      <c r="N647">
        <v>3262</v>
      </c>
      <c r="O647">
        <v>3</v>
      </c>
      <c r="P647" t="str">
        <f>("13")</f>
        <v>13</v>
      </c>
      <c r="Q647" t="str">
        <f>("KEGELAERS Eefje")</f>
        <v>KEGELAERS Eefje</v>
      </c>
      <c r="R647">
        <v>92</v>
      </c>
      <c r="S647" t="s">
        <v>44</v>
      </c>
      <c r="T647">
        <v>0</v>
      </c>
      <c r="V647">
        <v>15</v>
      </c>
      <c r="W647">
        <v>92</v>
      </c>
      <c r="X647">
        <v>0</v>
      </c>
    </row>
    <row r="648" spans="1:24" x14ac:dyDescent="0.35">
      <c r="A648" t="s">
        <v>8</v>
      </c>
      <c r="B648" t="s">
        <v>9</v>
      </c>
      <c r="C648" t="str">
        <f t="shared" si="92"/>
        <v>11252</v>
      </c>
      <c r="D648" t="s">
        <v>14</v>
      </c>
      <c r="E648" t="str">
        <f t="shared" si="93"/>
        <v>29</v>
      </c>
      <c r="F648">
        <v>49717</v>
      </c>
      <c r="G648">
        <v>44678</v>
      </c>
      <c r="H648">
        <v>2069</v>
      </c>
      <c r="I648" t="str">
        <f t="shared" si="94"/>
        <v>1</v>
      </c>
      <c r="J648" t="str">
        <f t="shared" si="95"/>
        <v>sp.a</v>
      </c>
      <c r="K648">
        <v>1340</v>
      </c>
      <c r="L648">
        <v>3009</v>
      </c>
      <c r="M648">
        <v>4349</v>
      </c>
      <c r="N648">
        <v>3262</v>
      </c>
      <c r="O648">
        <v>3</v>
      </c>
      <c r="P648" t="str">
        <f>("14")</f>
        <v>14</v>
      </c>
      <c r="Q648" t="str">
        <f>("DE PRINS Vera")</f>
        <v>DE PRINS Vera</v>
      </c>
      <c r="R648">
        <v>97</v>
      </c>
      <c r="S648" t="s">
        <v>44</v>
      </c>
      <c r="T648">
        <v>0</v>
      </c>
      <c r="V648">
        <v>14</v>
      </c>
      <c r="W648">
        <v>97</v>
      </c>
      <c r="X648">
        <v>0</v>
      </c>
    </row>
    <row r="649" spans="1:24" x14ac:dyDescent="0.35">
      <c r="A649" t="s">
        <v>8</v>
      </c>
      <c r="B649" t="s">
        <v>9</v>
      </c>
      <c r="C649" t="str">
        <f t="shared" si="92"/>
        <v>11252</v>
      </c>
      <c r="D649" t="s">
        <v>14</v>
      </c>
      <c r="E649" t="str">
        <f t="shared" si="93"/>
        <v>29</v>
      </c>
      <c r="F649">
        <v>49717</v>
      </c>
      <c r="G649">
        <v>44678</v>
      </c>
      <c r="H649">
        <v>2069</v>
      </c>
      <c r="I649" t="str">
        <f t="shared" si="94"/>
        <v>1</v>
      </c>
      <c r="J649" t="str">
        <f t="shared" si="95"/>
        <v>sp.a</v>
      </c>
      <c r="K649">
        <v>1340</v>
      </c>
      <c r="L649">
        <v>3009</v>
      </c>
      <c r="M649">
        <v>4349</v>
      </c>
      <c r="N649">
        <v>3262</v>
      </c>
      <c r="O649">
        <v>3</v>
      </c>
      <c r="P649" t="str">
        <f>("15")</f>
        <v>15</v>
      </c>
      <c r="Q649" t="str">
        <f>("JACOBS Luce")</f>
        <v>JACOBS Luce</v>
      </c>
      <c r="R649">
        <v>102</v>
      </c>
      <c r="S649" t="s">
        <v>44</v>
      </c>
      <c r="T649">
        <v>0</v>
      </c>
      <c r="V649">
        <v>13</v>
      </c>
      <c r="W649">
        <v>102</v>
      </c>
      <c r="X649">
        <v>0</v>
      </c>
    </row>
    <row r="650" spans="1:24" x14ac:dyDescent="0.35">
      <c r="A650" t="s">
        <v>8</v>
      </c>
      <c r="B650" t="s">
        <v>9</v>
      </c>
      <c r="C650" t="str">
        <f t="shared" si="92"/>
        <v>11252</v>
      </c>
      <c r="D650" t="s">
        <v>14</v>
      </c>
      <c r="E650" t="str">
        <f t="shared" si="93"/>
        <v>29</v>
      </c>
      <c r="F650">
        <v>49717</v>
      </c>
      <c r="G650">
        <v>44678</v>
      </c>
      <c r="H650">
        <v>2069</v>
      </c>
      <c r="I650" t="str">
        <f t="shared" si="94"/>
        <v>1</v>
      </c>
      <c r="J650" t="str">
        <f t="shared" si="95"/>
        <v>sp.a</v>
      </c>
      <c r="K650">
        <v>1340</v>
      </c>
      <c r="L650">
        <v>3009</v>
      </c>
      <c r="M650">
        <v>4349</v>
      </c>
      <c r="N650">
        <v>3262</v>
      </c>
      <c r="O650">
        <v>3</v>
      </c>
      <c r="P650" t="str">
        <f>("16")</f>
        <v>16</v>
      </c>
      <c r="Q650" t="str">
        <f>("BEKKERS Hans")</f>
        <v>BEKKERS Hans</v>
      </c>
      <c r="R650">
        <v>146</v>
      </c>
      <c r="S650" t="s">
        <v>44</v>
      </c>
      <c r="T650">
        <v>0</v>
      </c>
      <c r="V650">
        <v>6</v>
      </c>
      <c r="W650">
        <v>146</v>
      </c>
      <c r="X650">
        <v>0</v>
      </c>
    </row>
    <row r="651" spans="1:24" x14ac:dyDescent="0.35">
      <c r="A651" t="s">
        <v>8</v>
      </c>
      <c r="B651" t="s">
        <v>9</v>
      </c>
      <c r="C651" t="str">
        <f t="shared" si="92"/>
        <v>11252</v>
      </c>
      <c r="D651" t="s">
        <v>14</v>
      </c>
      <c r="E651" t="str">
        <f t="shared" si="93"/>
        <v>29</v>
      </c>
      <c r="F651">
        <v>49717</v>
      </c>
      <c r="G651">
        <v>44678</v>
      </c>
      <c r="H651">
        <v>2069</v>
      </c>
      <c r="I651" t="str">
        <f t="shared" si="94"/>
        <v>1</v>
      </c>
      <c r="J651" t="str">
        <f t="shared" si="95"/>
        <v>sp.a</v>
      </c>
      <c r="K651">
        <v>1340</v>
      </c>
      <c r="L651">
        <v>3009</v>
      </c>
      <c r="M651">
        <v>4349</v>
      </c>
      <c r="N651">
        <v>3262</v>
      </c>
      <c r="O651">
        <v>3</v>
      </c>
      <c r="P651" t="str">
        <f>("17")</f>
        <v>17</v>
      </c>
      <c r="Q651" t="str">
        <f>("WOLFARTH Luciana")</f>
        <v>WOLFARTH Luciana</v>
      </c>
      <c r="R651">
        <v>51</v>
      </c>
      <c r="S651" t="s">
        <v>44</v>
      </c>
      <c r="T651">
        <v>0</v>
      </c>
      <c r="V651">
        <v>25</v>
      </c>
      <c r="W651">
        <v>51</v>
      </c>
      <c r="X651">
        <v>0</v>
      </c>
    </row>
    <row r="652" spans="1:24" x14ac:dyDescent="0.35">
      <c r="A652" t="s">
        <v>8</v>
      </c>
      <c r="B652" t="s">
        <v>9</v>
      </c>
      <c r="C652" t="str">
        <f t="shared" si="92"/>
        <v>11252</v>
      </c>
      <c r="D652" t="s">
        <v>14</v>
      </c>
      <c r="E652" t="str">
        <f t="shared" si="93"/>
        <v>29</v>
      </c>
      <c r="F652">
        <v>49717</v>
      </c>
      <c r="G652">
        <v>44678</v>
      </c>
      <c r="H652">
        <v>2069</v>
      </c>
      <c r="I652" t="str">
        <f t="shared" si="94"/>
        <v>1</v>
      </c>
      <c r="J652" t="str">
        <f t="shared" si="95"/>
        <v>sp.a</v>
      </c>
      <c r="K652">
        <v>1340</v>
      </c>
      <c r="L652">
        <v>3009</v>
      </c>
      <c r="M652">
        <v>4349</v>
      </c>
      <c r="N652">
        <v>3262</v>
      </c>
      <c r="O652">
        <v>3</v>
      </c>
      <c r="P652" t="str">
        <f>("18")</f>
        <v>18</v>
      </c>
      <c r="Q652" t="str">
        <f>("VAN GEEL Julie")</f>
        <v>VAN GEEL Julie</v>
      </c>
      <c r="R652">
        <v>80</v>
      </c>
      <c r="S652" t="s">
        <v>44</v>
      </c>
      <c r="T652">
        <v>0</v>
      </c>
      <c r="V652">
        <v>18</v>
      </c>
      <c r="W652">
        <v>80</v>
      </c>
      <c r="X652">
        <v>0</v>
      </c>
    </row>
    <row r="653" spans="1:24" x14ac:dyDescent="0.35">
      <c r="A653" t="s">
        <v>8</v>
      </c>
      <c r="B653" t="s">
        <v>9</v>
      </c>
      <c r="C653" t="str">
        <f t="shared" si="92"/>
        <v>11252</v>
      </c>
      <c r="D653" t="s">
        <v>14</v>
      </c>
      <c r="E653" t="str">
        <f t="shared" si="93"/>
        <v>29</v>
      </c>
      <c r="F653">
        <v>49717</v>
      </c>
      <c r="G653">
        <v>44678</v>
      </c>
      <c r="H653">
        <v>2069</v>
      </c>
      <c r="I653" t="str">
        <f t="shared" si="94"/>
        <v>1</v>
      </c>
      <c r="J653" t="str">
        <f t="shared" si="95"/>
        <v>sp.a</v>
      </c>
      <c r="K653">
        <v>1340</v>
      </c>
      <c r="L653">
        <v>3009</v>
      </c>
      <c r="M653">
        <v>4349</v>
      </c>
      <c r="N653">
        <v>3262</v>
      </c>
      <c r="O653">
        <v>3</v>
      </c>
      <c r="P653" t="str">
        <f>("19")</f>
        <v>19</v>
      </c>
      <c r="Q653" t="str">
        <f>("VAN DE VONDEL Eriq")</f>
        <v>VAN DE VONDEL Eriq</v>
      </c>
      <c r="R653">
        <v>65</v>
      </c>
      <c r="S653" t="s">
        <v>44</v>
      </c>
      <c r="T653">
        <v>0</v>
      </c>
      <c r="V653">
        <v>23</v>
      </c>
      <c r="W653">
        <v>65</v>
      </c>
      <c r="X653">
        <v>0</v>
      </c>
    </row>
    <row r="654" spans="1:24" x14ac:dyDescent="0.35">
      <c r="A654" t="s">
        <v>8</v>
      </c>
      <c r="B654" t="s">
        <v>9</v>
      </c>
      <c r="C654" t="str">
        <f t="shared" si="92"/>
        <v>11252</v>
      </c>
      <c r="D654" t="s">
        <v>14</v>
      </c>
      <c r="E654" t="str">
        <f t="shared" si="93"/>
        <v>29</v>
      </c>
      <c r="F654">
        <v>49717</v>
      </c>
      <c r="G654">
        <v>44678</v>
      </c>
      <c r="H654">
        <v>2069</v>
      </c>
      <c r="I654" t="str">
        <f t="shared" si="94"/>
        <v>1</v>
      </c>
      <c r="J654" t="str">
        <f t="shared" si="95"/>
        <v>sp.a</v>
      </c>
      <c r="K654">
        <v>1340</v>
      </c>
      <c r="L654">
        <v>3009</v>
      </c>
      <c r="M654">
        <v>4349</v>
      </c>
      <c r="N654">
        <v>3262</v>
      </c>
      <c r="O654">
        <v>3</v>
      </c>
      <c r="P654" t="str">
        <f>("20")</f>
        <v>20</v>
      </c>
      <c r="Q654" t="str">
        <f>("LOMBAERTS Tim")</f>
        <v>LOMBAERTS Tim</v>
      </c>
      <c r="R654">
        <v>69</v>
      </c>
      <c r="S654" t="s">
        <v>44</v>
      </c>
      <c r="T654">
        <v>0</v>
      </c>
      <c r="V654">
        <v>22</v>
      </c>
      <c r="W654">
        <v>69</v>
      </c>
      <c r="X654">
        <v>0</v>
      </c>
    </row>
    <row r="655" spans="1:24" x14ac:dyDescent="0.35">
      <c r="A655" t="s">
        <v>8</v>
      </c>
      <c r="B655" t="s">
        <v>9</v>
      </c>
      <c r="C655" t="str">
        <f t="shared" si="92"/>
        <v>11252</v>
      </c>
      <c r="D655" t="s">
        <v>14</v>
      </c>
      <c r="E655" t="str">
        <f t="shared" si="93"/>
        <v>29</v>
      </c>
      <c r="F655">
        <v>49717</v>
      </c>
      <c r="G655">
        <v>44678</v>
      </c>
      <c r="H655">
        <v>2069</v>
      </c>
      <c r="I655" t="str">
        <f t="shared" si="94"/>
        <v>1</v>
      </c>
      <c r="J655" t="str">
        <f t="shared" si="95"/>
        <v>sp.a</v>
      </c>
      <c r="K655">
        <v>1340</v>
      </c>
      <c r="L655">
        <v>3009</v>
      </c>
      <c r="M655">
        <v>4349</v>
      </c>
      <c r="N655">
        <v>3262</v>
      </c>
      <c r="O655">
        <v>3</v>
      </c>
      <c r="P655" t="str">
        <f>("21")</f>
        <v>21</v>
      </c>
      <c r="Q655" t="str">
        <f>("CHORTI Saliha")</f>
        <v>CHORTI Saliha</v>
      </c>
      <c r="R655">
        <v>122</v>
      </c>
      <c r="S655" t="s">
        <v>44</v>
      </c>
      <c r="T655">
        <v>0</v>
      </c>
      <c r="V655">
        <v>8</v>
      </c>
      <c r="W655">
        <v>122</v>
      </c>
      <c r="X655">
        <v>0</v>
      </c>
    </row>
    <row r="656" spans="1:24" x14ac:dyDescent="0.35">
      <c r="A656" t="s">
        <v>8</v>
      </c>
      <c r="B656" t="s">
        <v>9</v>
      </c>
      <c r="C656" t="str">
        <f t="shared" si="92"/>
        <v>11252</v>
      </c>
      <c r="D656" t="s">
        <v>14</v>
      </c>
      <c r="E656" t="str">
        <f t="shared" si="93"/>
        <v>29</v>
      </c>
      <c r="F656">
        <v>49717</v>
      </c>
      <c r="G656">
        <v>44678</v>
      </c>
      <c r="H656">
        <v>2069</v>
      </c>
      <c r="I656" t="str">
        <f t="shared" si="94"/>
        <v>1</v>
      </c>
      <c r="J656" t="str">
        <f t="shared" si="95"/>
        <v>sp.a</v>
      </c>
      <c r="K656">
        <v>1340</v>
      </c>
      <c r="L656">
        <v>3009</v>
      </c>
      <c r="M656">
        <v>4349</v>
      </c>
      <c r="N656">
        <v>3262</v>
      </c>
      <c r="O656">
        <v>3</v>
      </c>
      <c r="P656" t="str">
        <f>("22")</f>
        <v>22</v>
      </c>
      <c r="Q656" t="str">
        <f>("VAN LA PARRA Marita")</f>
        <v>VAN LA PARRA Marita</v>
      </c>
      <c r="R656">
        <v>76</v>
      </c>
      <c r="S656" t="s">
        <v>44</v>
      </c>
      <c r="T656">
        <v>0</v>
      </c>
      <c r="V656">
        <v>19</v>
      </c>
      <c r="W656">
        <v>76</v>
      </c>
      <c r="X656">
        <v>0</v>
      </c>
    </row>
    <row r="657" spans="1:24" x14ac:dyDescent="0.35">
      <c r="A657" t="s">
        <v>8</v>
      </c>
      <c r="B657" t="s">
        <v>9</v>
      </c>
      <c r="C657" t="str">
        <f t="shared" si="92"/>
        <v>11252</v>
      </c>
      <c r="D657" t="s">
        <v>14</v>
      </c>
      <c r="E657" t="str">
        <f t="shared" si="93"/>
        <v>29</v>
      </c>
      <c r="F657">
        <v>49717</v>
      </c>
      <c r="G657">
        <v>44678</v>
      </c>
      <c r="H657">
        <v>2069</v>
      </c>
      <c r="I657" t="str">
        <f t="shared" si="94"/>
        <v>1</v>
      </c>
      <c r="J657" t="str">
        <f t="shared" si="95"/>
        <v>sp.a</v>
      </c>
      <c r="K657">
        <v>1340</v>
      </c>
      <c r="L657">
        <v>3009</v>
      </c>
      <c r="M657">
        <v>4349</v>
      </c>
      <c r="N657">
        <v>3262</v>
      </c>
      <c r="O657">
        <v>3</v>
      </c>
      <c r="P657" t="str">
        <f>("23")</f>
        <v>23</v>
      </c>
      <c r="Q657" t="str">
        <f>("SOPHIE Jelle")</f>
        <v>SOPHIE Jelle</v>
      </c>
      <c r="R657">
        <v>74</v>
      </c>
      <c r="S657" t="s">
        <v>44</v>
      </c>
      <c r="T657">
        <v>0</v>
      </c>
      <c r="V657">
        <v>21</v>
      </c>
      <c r="W657">
        <v>74</v>
      </c>
      <c r="X657">
        <v>0</v>
      </c>
    </row>
    <row r="658" spans="1:24" x14ac:dyDescent="0.35">
      <c r="A658" t="s">
        <v>8</v>
      </c>
      <c r="B658" t="s">
        <v>9</v>
      </c>
      <c r="C658" t="str">
        <f t="shared" si="92"/>
        <v>11252</v>
      </c>
      <c r="D658" t="s">
        <v>14</v>
      </c>
      <c r="E658" t="str">
        <f t="shared" si="93"/>
        <v>29</v>
      </c>
      <c r="F658">
        <v>49717</v>
      </c>
      <c r="G658">
        <v>44678</v>
      </c>
      <c r="H658">
        <v>2069</v>
      </c>
      <c r="I658" t="str">
        <f t="shared" si="94"/>
        <v>1</v>
      </c>
      <c r="J658" t="str">
        <f t="shared" si="95"/>
        <v>sp.a</v>
      </c>
      <c r="K658">
        <v>1340</v>
      </c>
      <c r="L658">
        <v>3009</v>
      </c>
      <c r="M658">
        <v>4349</v>
      </c>
      <c r="N658">
        <v>3262</v>
      </c>
      <c r="O658">
        <v>3</v>
      </c>
      <c r="P658" t="str">
        <f>("24")</f>
        <v>24</v>
      </c>
      <c r="Q658" t="str">
        <f>("PHLIX Anton")</f>
        <v>PHLIX Anton</v>
      </c>
      <c r="R658">
        <v>46</v>
      </c>
      <c r="S658" t="s">
        <v>44</v>
      </c>
      <c r="T658">
        <v>0</v>
      </c>
      <c r="V658">
        <v>26</v>
      </c>
      <c r="W658">
        <v>46</v>
      </c>
      <c r="X658">
        <v>0</v>
      </c>
    </row>
    <row r="659" spans="1:24" x14ac:dyDescent="0.35">
      <c r="A659" t="s">
        <v>8</v>
      </c>
      <c r="B659" t="s">
        <v>9</v>
      </c>
      <c r="C659" t="str">
        <f t="shared" si="92"/>
        <v>11252</v>
      </c>
      <c r="D659" t="s">
        <v>14</v>
      </c>
      <c r="E659" t="str">
        <f t="shared" si="93"/>
        <v>29</v>
      </c>
      <c r="F659">
        <v>49717</v>
      </c>
      <c r="G659">
        <v>44678</v>
      </c>
      <c r="H659">
        <v>2069</v>
      </c>
      <c r="I659" t="str">
        <f t="shared" si="94"/>
        <v>1</v>
      </c>
      <c r="J659" t="str">
        <f t="shared" si="95"/>
        <v>sp.a</v>
      </c>
      <c r="K659">
        <v>1340</v>
      </c>
      <c r="L659">
        <v>3009</v>
      </c>
      <c r="M659">
        <v>4349</v>
      </c>
      <c r="N659">
        <v>3262</v>
      </c>
      <c r="O659">
        <v>3</v>
      </c>
      <c r="P659" t="str">
        <f>("25")</f>
        <v>25</v>
      </c>
      <c r="Q659" t="str">
        <f>("PHLIX Geertrui")</f>
        <v>PHLIX Geertrui</v>
      </c>
      <c r="R659">
        <v>52</v>
      </c>
      <c r="S659" t="s">
        <v>44</v>
      </c>
      <c r="T659">
        <v>0</v>
      </c>
      <c r="V659">
        <v>24</v>
      </c>
      <c r="W659">
        <v>52</v>
      </c>
      <c r="X659">
        <v>0</v>
      </c>
    </row>
    <row r="660" spans="1:24" x14ac:dyDescent="0.35">
      <c r="A660" t="s">
        <v>8</v>
      </c>
      <c r="B660" t="s">
        <v>9</v>
      </c>
      <c r="C660" t="str">
        <f t="shared" si="92"/>
        <v>11252</v>
      </c>
      <c r="D660" t="s">
        <v>14</v>
      </c>
      <c r="E660" t="str">
        <f t="shared" si="93"/>
        <v>29</v>
      </c>
      <c r="F660">
        <v>49717</v>
      </c>
      <c r="G660">
        <v>44678</v>
      </c>
      <c r="H660">
        <v>2069</v>
      </c>
      <c r="I660" t="str">
        <f t="shared" si="94"/>
        <v>1</v>
      </c>
      <c r="J660" t="str">
        <f t="shared" si="95"/>
        <v>sp.a</v>
      </c>
      <c r="K660">
        <v>1340</v>
      </c>
      <c r="L660">
        <v>3009</v>
      </c>
      <c r="M660">
        <v>4349</v>
      </c>
      <c r="N660">
        <v>3262</v>
      </c>
      <c r="O660">
        <v>3</v>
      </c>
      <c r="P660" t="str">
        <f>("26")</f>
        <v>26</v>
      </c>
      <c r="Q660" t="str">
        <f>("HERMANS Roland")</f>
        <v>HERMANS Roland</v>
      </c>
      <c r="R660">
        <v>81</v>
      </c>
      <c r="S660" t="s">
        <v>44</v>
      </c>
      <c r="T660">
        <v>0</v>
      </c>
      <c r="V660">
        <v>17</v>
      </c>
      <c r="W660">
        <v>81</v>
      </c>
      <c r="X660">
        <v>0</v>
      </c>
    </row>
    <row r="661" spans="1:24" x14ac:dyDescent="0.35">
      <c r="A661" t="s">
        <v>8</v>
      </c>
      <c r="B661" t="s">
        <v>9</v>
      </c>
      <c r="C661" t="str">
        <f t="shared" si="92"/>
        <v>11252</v>
      </c>
      <c r="D661" t="s">
        <v>14</v>
      </c>
      <c r="E661" t="str">
        <f t="shared" si="93"/>
        <v>29</v>
      </c>
      <c r="F661">
        <v>49717</v>
      </c>
      <c r="G661">
        <v>44678</v>
      </c>
      <c r="H661">
        <v>2069</v>
      </c>
      <c r="I661" t="str">
        <f t="shared" si="94"/>
        <v>1</v>
      </c>
      <c r="J661" t="str">
        <f t="shared" si="95"/>
        <v>sp.a</v>
      </c>
      <c r="K661">
        <v>1340</v>
      </c>
      <c r="L661">
        <v>3009</v>
      </c>
      <c r="M661">
        <v>4349</v>
      </c>
      <c r="N661">
        <v>3262</v>
      </c>
      <c r="O661">
        <v>3</v>
      </c>
      <c r="P661" t="str">
        <f>("27")</f>
        <v>27</v>
      </c>
      <c r="Q661" t="str">
        <f>("DE BRAEKELL Jeannine")</f>
        <v>DE BRAEKELL Jeannine</v>
      </c>
      <c r="R661">
        <v>84</v>
      </c>
      <c r="S661" t="s">
        <v>44</v>
      </c>
      <c r="T661">
        <v>0</v>
      </c>
      <c r="V661">
        <v>16</v>
      </c>
      <c r="W661">
        <v>84</v>
      </c>
      <c r="X661">
        <v>0</v>
      </c>
    </row>
    <row r="662" spans="1:24" x14ac:dyDescent="0.35">
      <c r="A662" t="s">
        <v>8</v>
      </c>
      <c r="B662" t="s">
        <v>9</v>
      </c>
      <c r="C662" t="str">
        <f t="shared" si="92"/>
        <v>11252</v>
      </c>
      <c r="D662" t="s">
        <v>14</v>
      </c>
      <c r="E662" t="str">
        <f t="shared" si="93"/>
        <v>29</v>
      </c>
      <c r="F662">
        <v>49717</v>
      </c>
      <c r="G662">
        <v>44678</v>
      </c>
      <c r="H662">
        <v>2069</v>
      </c>
      <c r="I662" t="str">
        <f t="shared" si="94"/>
        <v>1</v>
      </c>
      <c r="J662" t="str">
        <f t="shared" si="95"/>
        <v>sp.a</v>
      </c>
      <c r="K662">
        <v>1340</v>
      </c>
      <c r="L662">
        <v>3009</v>
      </c>
      <c r="M662">
        <v>4349</v>
      </c>
      <c r="N662">
        <v>3262</v>
      </c>
      <c r="O662">
        <v>3</v>
      </c>
      <c r="P662" t="str">
        <f>("28")</f>
        <v>28</v>
      </c>
      <c r="Q662" t="str">
        <f>("VAN DORST Wendy")</f>
        <v>VAN DORST Wendy</v>
      </c>
      <c r="R662">
        <v>173</v>
      </c>
      <c r="S662" t="s">
        <v>44</v>
      </c>
      <c r="T662">
        <v>0</v>
      </c>
      <c r="V662">
        <v>4</v>
      </c>
      <c r="W662">
        <v>173</v>
      </c>
      <c r="X662">
        <v>0</v>
      </c>
    </row>
    <row r="663" spans="1:24" x14ac:dyDescent="0.35">
      <c r="A663" t="s">
        <v>8</v>
      </c>
      <c r="B663" t="s">
        <v>9</v>
      </c>
      <c r="C663" t="str">
        <f t="shared" si="92"/>
        <v>11252</v>
      </c>
      <c r="D663" t="s">
        <v>14</v>
      </c>
      <c r="E663" t="str">
        <f t="shared" si="93"/>
        <v>29</v>
      </c>
      <c r="F663">
        <v>49717</v>
      </c>
      <c r="G663">
        <v>44678</v>
      </c>
      <c r="H663">
        <v>2069</v>
      </c>
      <c r="I663" t="str">
        <f t="shared" si="94"/>
        <v>1</v>
      </c>
      <c r="J663" t="str">
        <f t="shared" si="95"/>
        <v>sp.a</v>
      </c>
      <c r="K663">
        <v>1340</v>
      </c>
      <c r="L663">
        <v>3009</v>
      </c>
      <c r="M663">
        <v>4349</v>
      </c>
      <c r="N663">
        <v>3262</v>
      </c>
      <c r="O663">
        <v>3</v>
      </c>
      <c r="P663" t="str">
        <f>("29")</f>
        <v>29</v>
      </c>
      <c r="Q663" t="str">
        <f>("BACHAR Karim")</f>
        <v>BACHAR Karim</v>
      </c>
      <c r="R663">
        <v>409</v>
      </c>
      <c r="S663">
        <v>409</v>
      </c>
      <c r="T663">
        <v>0</v>
      </c>
      <c r="U663">
        <v>3</v>
      </c>
    </row>
    <row r="664" spans="1:24" x14ac:dyDescent="0.35">
      <c r="A664" t="s">
        <v>8</v>
      </c>
      <c r="B664" t="s">
        <v>9</v>
      </c>
      <c r="C664" t="str">
        <f t="shared" si="92"/>
        <v>11252</v>
      </c>
      <c r="D664" t="s">
        <v>14</v>
      </c>
      <c r="E664" t="str">
        <f t="shared" si="93"/>
        <v>29</v>
      </c>
      <c r="F664">
        <v>49717</v>
      </c>
      <c r="G664">
        <v>44678</v>
      </c>
      <c r="H664">
        <v>2069</v>
      </c>
      <c r="I664" t="str">
        <f t="shared" ref="I664:I692" si="96">("2")</f>
        <v>2</v>
      </c>
      <c r="J664" t="str">
        <f t="shared" ref="J664:J692" si="97">("N-VA")</f>
        <v>N-VA</v>
      </c>
      <c r="K664">
        <v>6975</v>
      </c>
      <c r="L664">
        <v>8255</v>
      </c>
      <c r="M664">
        <v>15230</v>
      </c>
      <c r="N664">
        <v>14059</v>
      </c>
      <c r="O664">
        <v>12</v>
      </c>
      <c r="P664" t="str">
        <f>("1")</f>
        <v>1</v>
      </c>
      <c r="Q664" t="str">
        <f>("SEKERIS Tjerk")</f>
        <v>SEKERIS Tjerk</v>
      </c>
      <c r="R664">
        <v>3028</v>
      </c>
      <c r="S664">
        <v>14059</v>
      </c>
      <c r="T664">
        <v>16869</v>
      </c>
      <c r="U664">
        <v>1</v>
      </c>
    </row>
    <row r="665" spans="1:24" x14ac:dyDescent="0.35">
      <c r="A665" t="s">
        <v>8</v>
      </c>
      <c r="B665" t="s">
        <v>9</v>
      </c>
      <c r="C665" t="str">
        <f t="shared" si="92"/>
        <v>11252</v>
      </c>
      <c r="D665" t="s">
        <v>14</v>
      </c>
      <c r="E665" t="str">
        <f t="shared" si="93"/>
        <v>29</v>
      </c>
      <c r="F665">
        <v>49717</v>
      </c>
      <c r="G665">
        <v>44678</v>
      </c>
      <c r="H665">
        <v>2069</v>
      </c>
      <c r="I665" t="str">
        <f t="shared" si="96"/>
        <v>2</v>
      </c>
      <c r="J665" t="str">
        <f t="shared" si="97"/>
        <v>N-VA</v>
      </c>
      <c r="K665">
        <v>6975</v>
      </c>
      <c r="L665">
        <v>8255</v>
      </c>
      <c r="M665">
        <v>15230</v>
      </c>
      <c r="N665">
        <v>14059</v>
      </c>
      <c r="O665">
        <v>12</v>
      </c>
      <c r="P665" t="str">
        <f>("2")</f>
        <v>2</v>
      </c>
      <c r="Q665" t="str">
        <f>("BRYDENBACH Elke")</f>
        <v>BRYDENBACH Elke</v>
      </c>
      <c r="R665">
        <v>1809</v>
      </c>
      <c r="S665">
        <v>14059</v>
      </c>
      <c r="T665">
        <v>4619</v>
      </c>
      <c r="U665">
        <v>2</v>
      </c>
    </row>
    <row r="666" spans="1:24" x14ac:dyDescent="0.35">
      <c r="A666" t="s">
        <v>8</v>
      </c>
      <c r="B666" t="s">
        <v>9</v>
      </c>
      <c r="C666" t="str">
        <f t="shared" si="92"/>
        <v>11252</v>
      </c>
      <c r="D666" t="s">
        <v>14</v>
      </c>
      <c r="E666" t="str">
        <f t="shared" si="93"/>
        <v>29</v>
      </c>
      <c r="F666">
        <v>49717</v>
      </c>
      <c r="G666">
        <v>44678</v>
      </c>
      <c r="H666">
        <v>2069</v>
      </c>
      <c r="I666" t="str">
        <f t="shared" si="96"/>
        <v>2</v>
      </c>
      <c r="J666" t="str">
        <f t="shared" si="97"/>
        <v>N-VA</v>
      </c>
      <c r="K666">
        <v>6975</v>
      </c>
      <c r="L666">
        <v>8255</v>
      </c>
      <c r="M666">
        <v>15230</v>
      </c>
      <c r="N666">
        <v>14059</v>
      </c>
      <c r="O666">
        <v>12</v>
      </c>
      <c r="P666" t="str">
        <f>("3")</f>
        <v>3</v>
      </c>
      <c r="Q666" t="str">
        <f>("VAN ACKER Philip")</f>
        <v>VAN ACKER Philip</v>
      </c>
      <c r="R666">
        <v>1180</v>
      </c>
      <c r="S666">
        <v>5799</v>
      </c>
      <c r="T666">
        <v>0</v>
      </c>
      <c r="U666">
        <v>3</v>
      </c>
    </row>
    <row r="667" spans="1:24" x14ac:dyDescent="0.35">
      <c r="A667" t="s">
        <v>8</v>
      </c>
      <c r="B667" t="s">
        <v>9</v>
      </c>
      <c r="C667" t="str">
        <f t="shared" si="92"/>
        <v>11252</v>
      </c>
      <c r="D667" t="s">
        <v>14</v>
      </c>
      <c r="E667" t="str">
        <f t="shared" si="93"/>
        <v>29</v>
      </c>
      <c r="F667">
        <v>49717</v>
      </c>
      <c r="G667">
        <v>44678</v>
      </c>
      <c r="H667">
        <v>2069</v>
      </c>
      <c r="I667" t="str">
        <f t="shared" si="96"/>
        <v>2</v>
      </c>
      <c r="J667" t="str">
        <f t="shared" si="97"/>
        <v>N-VA</v>
      </c>
      <c r="K667">
        <v>6975</v>
      </c>
      <c r="L667">
        <v>8255</v>
      </c>
      <c r="M667">
        <v>15230</v>
      </c>
      <c r="N667">
        <v>14059</v>
      </c>
      <c r="O667">
        <v>12</v>
      </c>
      <c r="P667" t="str">
        <f>("4")</f>
        <v>4</v>
      </c>
      <c r="Q667" t="str">
        <f>("CARNIER Natascha")</f>
        <v>CARNIER Natascha</v>
      </c>
      <c r="R667">
        <v>562</v>
      </c>
      <c r="S667">
        <v>562</v>
      </c>
      <c r="T667">
        <v>0</v>
      </c>
      <c r="U667">
        <v>5</v>
      </c>
    </row>
    <row r="668" spans="1:24" x14ac:dyDescent="0.35">
      <c r="A668" t="s">
        <v>8</v>
      </c>
      <c r="B668" t="s">
        <v>9</v>
      </c>
      <c r="C668" t="str">
        <f t="shared" si="92"/>
        <v>11252</v>
      </c>
      <c r="D668" t="s">
        <v>14</v>
      </c>
      <c r="E668" t="str">
        <f t="shared" si="93"/>
        <v>29</v>
      </c>
      <c r="F668">
        <v>49717</v>
      </c>
      <c r="G668">
        <v>44678</v>
      </c>
      <c r="H668">
        <v>2069</v>
      </c>
      <c r="I668" t="str">
        <f t="shared" si="96"/>
        <v>2</v>
      </c>
      <c r="J668" t="str">
        <f t="shared" si="97"/>
        <v>N-VA</v>
      </c>
      <c r="K668">
        <v>6975</v>
      </c>
      <c r="L668">
        <v>8255</v>
      </c>
      <c r="M668">
        <v>15230</v>
      </c>
      <c r="N668">
        <v>14059</v>
      </c>
      <c r="O668">
        <v>12</v>
      </c>
      <c r="P668" t="str">
        <f>("5")</f>
        <v>5</v>
      </c>
      <c r="Q668" t="str">
        <f>("BRAAM Jeff")</f>
        <v>BRAAM Jeff</v>
      </c>
      <c r="R668">
        <v>420</v>
      </c>
      <c r="S668">
        <v>420</v>
      </c>
      <c r="T668">
        <v>0</v>
      </c>
      <c r="U668">
        <v>8</v>
      </c>
    </row>
    <row r="669" spans="1:24" x14ac:dyDescent="0.35">
      <c r="A669" t="s">
        <v>8</v>
      </c>
      <c r="B669" t="s">
        <v>9</v>
      </c>
      <c r="C669" t="str">
        <f t="shared" si="92"/>
        <v>11252</v>
      </c>
      <c r="D669" t="s">
        <v>14</v>
      </c>
      <c r="E669" t="str">
        <f t="shared" si="93"/>
        <v>29</v>
      </c>
      <c r="F669">
        <v>49717</v>
      </c>
      <c r="G669">
        <v>44678</v>
      </c>
      <c r="H669">
        <v>2069</v>
      </c>
      <c r="I669" t="str">
        <f t="shared" si="96"/>
        <v>2</v>
      </c>
      <c r="J669" t="str">
        <f t="shared" si="97"/>
        <v>N-VA</v>
      </c>
      <c r="K669">
        <v>6975</v>
      </c>
      <c r="L669">
        <v>8255</v>
      </c>
      <c r="M669">
        <v>15230</v>
      </c>
      <c r="N669">
        <v>14059</v>
      </c>
      <c r="O669">
        <v>12</v>
      </c>
      <c r="P669" t="str">
        <f>("6")</f>
        <v>6</v>
      </c>
      <c r="Q669" t="str">
        <f>("VAN ALSENOY Freya")</f>
        <v>VAN ALSENOY Freya</v>
      </c>
      <c r="R669">
        <v>493</v>
      </c>
      <c r="S669">
        <v>493</v>
      </c>
      <c r="T669">
        <v>0</v>
      </c>
      <c r="U669">
        <v>6</v>
      </c>
    </row>
    <row r="670" spans="1:24" x14ac:dyDescent="0.35">
      <c r="A670" t="s">
        <v>8</v>
      </c>
      <c r="B670" t="s">
        <v>9</v>
      </c>
      <c r="C670" t="str">
        <f t="shared" si="92"/>
        <v>11252</v>
      </c>
      <c r="D670" t="s">
        <v>14</v>
      </c>
      <c r="E670" t="str">
        <f t="shared" si="93"/>
        <v>29</v>
      </c>
      <c r="F670">
        <v>49717</v>
      </c>
      <c r="G670">
        <v>44678</v>
      </c>
      <c r="H670">
        <v>2069</v>
      </c>
      <c r="I670" t="str">
        <f t="shared" si="96"/>
        <v>2</v>
      </c>
      <c r="J670" t="str">
        <f t="shared" si="97"/>
        <v>N-VA</v>
      </c>
      <c r="K670">
        <v>6975</v>
      </c>
      <c r="L670">
        <v>8255</v>
      </c>
      <c r="M670">
        <v>15230</v>
      </c>
      <c r="N670">
        <v>14059</v>
      </c>
      <c r="O670">
        <v>12</v>
      </c>
      <c r="P670" t="str">
        <f>("7")</f>
        <v>7</v>
      </c>
      <c r="Q670" t="str">
        <f>("STEPHENS Robert")</f>
        <v>STEPHENS Robert</v>
      </c>
      <c r="R670">
        <v>370</v>
      </c>
      <c r="S670" t="s">
        <v>44</v>
      </c>
      <c r="T670">
        <v>0</v>
      </c>
      <c r="V670">
        <v>1</v>
      </c>
      <c r="W670">
        <v>14059</v>
      </c>
      <c r="X670">
        <v>14211</v>
      </c>
    </row>
    <row r="671" spans="1:24" x14ac:dyDescent="0.35">
      <c r="A671" t="s">
        <v>8</v>
      </c>
      <c r="B671" t="s">
        <v>9</v>
      </c>
      <c r="C671" t="str">
        <f t="shared" si="92"/>
        <v>11252</v>
      </c>
      <c r="D671" t="s">
        <v>14</v>
      </c>
      <c r="E671" t="str">
        <f t="shared" si="93"/>
        <v>29</v>
      </c>
      <c r="F671">
        <v>49717</v>
      </c>
      <c r="G671">
        <v>44678</v>
      </c>
      <c r="H671">
        <v>2069</v>
      </c>
      <c r="I671" t="str">
        <f t="shared" si="96"/>
        <v>2</v>
      </c>
      <c r="J671" t="str">
        <f t="shared" si="97"/>
        <v>N-VA</v>
      </c>
      <c r="K671">
        <v>6975</v>
      </c>
      <c r="L671">
        <v>8255</v>
      </c>
      <c r="M671">
        <v>15230</v>
      </c>
      <c r="N671">
        <v>14059</v>
      </c>
      <c r="O671">
        <v>12</v>
      </c>
      <c r="P671" t="str">
        <f>("8")</f>
        <v>8</v>
      </c>
      <c r="Q671" t="str">
        <f>("SPUESENS Veronique")</f>
        <v>SPUESENS Veronique</v>
      </c>
      <c r="R671">
        <v>410</v>
      </c>
      <c r="S671">
        <v>410</v>
      </c>
      <c r="T671">
        <v>0</v>
      </c>
      <c r="U671">
        <v>9</v>
      </c>
    </row>
    <row r="672" spans="1:24" x14ac:dyDescent="0.35">
      <c r="A672" t="s">
        <v>8</v>
      </c>
      <c r="B672" t="s">
        <v>9</v>
      </c>
      <c r="C672" t="str">
        <f t="shared" si="92"/>
        <v>11252</v>
      </c>
      <c r="D672" t="s">
        <v>14</v>
      </c>
      <c r="E672" t="str">
        <f t="shared" si="93"/>
        <v>29</v>
      </c>
      <c r="F672">
        <v>49717</v>
      </c>
      <c r="G672">
        <v>44678</v>
      </c>
      <c r="H672">
        <v>2069</v>
      </c>
      <c r="I672" t="str">
        <f t="shared" si="96"/>
        <v>2</v>
      </c>
      <c r="J672" t="str">
        <f t="shared" si="97"/>
        <v>N-VA</v>
      </c>
      <c r="K672">
        <v>6975</v>
      </c>
      <c r="L672">
        <v>8255</v>
      </c>
      <c r="M672">
        <v>15230</v>
      </c>
      <c r="N672">
        <v>14059</v>
      </c>
      <c r="O672">
        <v>12</v>
      </c>
      <c r="P672" t="str">
        <f>("9")</f>
        <v>9</v>
      </c>
      <c r="Q672" t="str">
        <f>("GOETSTOUWERS Maarten")</f>
        <v>GOETSTOUWERS Maarten</v>
      </c>
      <c r="R672">
        <v>376</v>
      </c>
      <c r="S672">
        <v>376</v>
      </c>
      <c r="T672">
        <v>0</v>
      </c>
      <c r="U672">
        <v>11</v>
      </c>
    </row>
    <row r="673" spans="1:24" x14ac:dyDescent="0.35">
      <c r="A673" t="s">
        <v>8</v>
      </c>
      <c r="B673" t="s">
        <v>9</v>
      </c>
      <c r="C673" t="str">
        <f t="shared" si="92"/>
        <v>11252</v>
      </c>
      <c r="D673" t="s">
        <v>14</v>
      </c>
      <c r="E673" t="str">
        <f t="shared" si="93"/>
        <v>29</v>
      </c>
      <c r="F673">
        <v>49717</v>
      </c>
      <c r="G673">
        <v>44678</v>
      </c>
      <c r="H673">
        <v>2069</v>
      </c>
      <c r="I673" t="str">
        <f t="shared" si="96"/>
        <v>2</v>
      </c>
      <c r="J673" t="str">
        <f t="shared" si="97"/>
        <v>N-VA</v>
      </c>
      <c r="K673">
        <v>6975</v>
      </c>
      <c r="L673">
        <v>8255</v>
      </c>
      <c r="M673">
        <v>15230</v>
      </c>
      <c r="N673">
        <v>14059</v>
      </c>
      <c r="O673">
        <v>12</v>
      </c>
      <c r="P673" t="str">
        <f>("10")</f>
        <v>10</v>
      </c>
      <c r="Q673" t="str">
        <f>("MARUOKE Janet")</f>
        <v>MARUOKE Janet</v>
      </c>
      <c r="R673">
        <v>280</v>
      </c>
      <c r="S673" t="s">
        <v>44</v>
      </c>
      <c r="T673">
        <v>0</v>
      </c>
      <c r="V673">
        <v>2</v>
      </c>
      <c r="W673">
        <v>14059</v>
      </c>
      <c r="X673">
        <v>432</v>
      </c>
    </row>
    <row r="674" spans="1:24" x14ac:dyDescent="0.35">
      <c r="A674" t="s">
        <v>8</v>
      </c>
      <c r="B674" t="s">
        <v>9</v>
      </c>
      <c r="C674" t="str">
        <f t="shared" si="92"/>
        <v>11252</v>
      </c>
      <c r="D674" t="s">
        <v>14</v>
      </c>
      <c r="E674" t="str">
        <f t="shared" si="93"/>
        <v>29</v>
      </c>
      <c r="F674">
        <v>49717</v>
      </c>
      <c r="G674">
        <v>44678</v>
      </c>
      <c r="H674">
        <v>2069</v>
      </c>
      <c r="I674" t="str">
        <f t="shared" si="96"/>
        <v>2</v>
      </c>
      <c r="J674" t="str">
        <f t="shared" si="97"/>
        <v>N-VA</v>
      </c>
      <c r="K674">
        <v>6975</v>
      </c>
      <c r="L674">
        <v>8255</v>
      </c>
      <c r="M674">
        <v>15230</v>
      </c>
      <c r="N674">
        <v>14059</v>
      </c>
      <c r="O674">
        <v>12</v>
      </c>
      <c r="P674" t="str">
        <f>("11")</f>
        <v>11</v>
      </c>
      <c r="Q674" t="str">
        <f>("VAN GILS Jens")</f>
        <v>VAN GILS Jens</v>
      </c>
      <c r="R674">
        <v>322</v>
      </c>
      <c r="S674" t="s">
        <v>44</v>
      </c>
      <c r="T674">
        <v>0</v>
      </c>
      <c r="V674">
        <v>3</v>
      </c>
      <c r="W674">
        <v>754</v>
      </c>
      <c r="X674">
        <v>0</v>
      </c>
    </row>
    <row r="675" spans="1:24" x14ac:dyDescent="0.35">
      <c r="A675" t="s">
        <v>8</v>
      </c>
      <c r="B675" t="s">
        <v>9</v>
      </c>
      <c r="C675" t="str">
        <f t="shared" si="92"/>
        <v>11252</v>
      </c>
      <c r="D675" t="s">
        <v>14</v>
      </c>
      <c r="E675" t="str">
        <f t="shared" si="93"/>
        <v>29</v>
      </c>
      <c r="F675">
        <v>49717</v>
      </c>
      <c r="G675">
        <v>44678</v>
      </c>
      <c r="H675">
        <v>2069</v>
      </c>
      <c r="I675" t="str">
        <f t="shared" si="96"/>
        <v>2</v>
      </c>
      <c r="J675" t="str">
        <f t="shared" si="97"/>
        <v>N-VA</v>
      </c>
      <c r="K675">
        <v>6975</v>
      </c>
      <c r="L675">
        <v>8255</v>
      </c>
      <c r="M675">
        <v>15230</v>
      </c>
      <c r="N675">
        <v>14059</v>
      </c>
      <c r="O675">
        <v>12</v>
      </c>
      <c r="P675" t="str">
        <f>("12")</f>
        <v>12</v>
      </c>
      <c r="Q675" t="str">
        <f>("DE WEIRT Irene")</f>
        <v>DE WEIRT Irene</v>
      </c>
      <c r="R675">
        <v>328</v>
      </c>
      <c r="S675" t="s">
        <v>44</v>
      </c>
      <c r="T675">
        <v>0</v>
      </c>
      <c r="V675">
        <v>7</v>
      </c>
      <c r="W675">
        <v>328</v>
      </c>
      <c r="X675">
        <v>0</v>
      </c>
    </row>
    <row r="676" spans="1:24" x14ac:dyDescent="0.35">
      <c r="A676" t="s">
        <v>8</v>
      </c>
      <c r="B676" t="s">
        <v>9</v>
      </c>
      <c r="C676" t="str">
        <f t="shared" si="92"/>
        <v>11252</v>
      </c>
      <c r="D676" t="s">
        <v>14</v>
      </c>
      <c r="E676" t="str">
        <f t="shared" si="93"/>
        <v>29</v>
      </c>
      <c r="F676">
        <v>49717</v>
      </c>
      <c r="G676">
        <v>44678</v>
      </c>
      <c r="H676">
        <v>2069</v>
      </c>
      <c r="I676" t="str">
        <f t="shared" si="96"/>
        <v>2</v>
      </c>
      <c r="J676" t="str">
        <f t="shared" si="97"/>
        <v>N-VA</v>
      </c>
      <c r="K676">
        <v>6975</v>
      </c>
      <c r="L676">
        <v>8255</v>
      </c>
      <c r="M676">
        <v>15230</v>
      </c>
      <c r="N676">
        <v>14059</v>
      </c>
      <c r="O676">
        <v>12</v>
      </c>
      <c r="P676" t="str">
        <f>("13")</f>
        <v>13</v>
      </c>
      <c r="Q676" t="str">
        <f>("ENGELEN Kevin")</f>
        <v>ENGELEN Kevin</v>
      </c>
      <c r="R676">
        <v>376</v>
      </c>
      <c r="S676">
        <v>376</v>
      </c>
      <c r="T676">
        <v>0</v>
      </c>
      <c r="U676">
        <v>12</v>
      </c>
    </row>
    <row r="677" spans="1:24" x14ac:dyDescent="0.35">
      <c r="A677" t="s">
        <v>8</v>
      </c>
      <c r="B677" t="s">
        <v>9</v>
      </c>
      <c r="C677" t="str">
        <f t="shared" si="92"/>
        <v>11252</v>
      </c>
      <c r="D677" t="s">
        <v>14</v>
      </c>
      <c r="E677" t="str">
        <f t="shared" si="93"/>
        <v>29</v>
      </c>
      <c r="F677">
        <v>49717</v>
      </c>
      <c r="G677">
        <v>44678</v>
      </c>
      <c r="H677">
        <v>2069</v>
      </c>
      <c r="I677" t="str">
        <f t="shared" si="96"/>
        <v>2</v>
      </c>
      <c r="J677" t="str">
        <f t="shared" si="97"/>
        <v>N-VA</v>
      </c>
      <c r="K677">
        <v>6975</v>
      </c>
      <c r="L677">
        <v>8255</v>
      </c>
      <c r="M677">
        <v>15230</v>
      </c>
      <c r="N677">
        <v>14059</v>
      </c>
      <c r="O677">
        <v>12</v>
      </c>
      <c r="P677" t="str">
        <f>("14")</f>
        <v>14</v>
      </c>
      <c r="Q677" t="str">
        <f>("VAN HUFFELEN Mascha")</f>
        <v>VAN HUFFELEN Mascha</v>
      </c>
      <c r="R677">
        <v>322</v>
      </c>
      <c r="S677" t="s">
        <v>44</v>
      </c>
      <c r="T677">
        <v>0</v>
      </c>
      <c r="V677">
        <v>8</v>
      </c>
      <c r="W677">
        <v>322</v>
      </c>
      <c r="X677">
        <v>0</v>
      </c>
    </row>
    <row r="678" spans="1:24" x14ac:dyDescent="0.35">
      <c r="A678" t="s">
        <v>8</v>
      </c>
      <c r="B678" t="s">
        <v>9</v>
      </c>
      <c r="C678" t="str">
        <f t="shared" si="92"/>
        <v>11252</v>
      </c>
      <c r="D678" t="s">
        <v>14</v>
      </c>
      <c r="E678" t="str">
        <f t="shared" si="93"/>
        <v>29</v>
      </c>
      <c r="F678">
        <v>49717</v>
      </c>
      <c r="G678">
        <v>44678</v>
      </c>
      <c r="H678">
        <v>2069</v>
      </c>
      <c r="I678" t="str">
        <f t="shared" si="96"/>
        <v>2</v>
      </c>
      <c r="J678" t="str">
        <f t="shared" si="97"/>
        <v>N-VA</v>
      </c>
      <c r="K678">
        <v>6975</v>
      </c>
      <c r="L678">
        <v>8255</v>
      </c>
      <c r="M678">
        <v>15230</v>
      </c>
      <c r="N678">
        <v>14059</v>
      </c>
      <c r="O678">
        <v>12</v>
      </c>
      <c r="P678" t="str">
        <f>("15")</f>
        <v>15</v>
      </c>
      <c r="Q678" t="str">
        <f>("HOECKX Alain")</f>
        <v>HOECKX Alain</v>
      </c>
      <c r="R678">
        <v>353</v>
      </c>
      <c r="S678" t="s">
        <v>44</v>
      </c>
      <c r="T678">
        <v>0</v>
      </c>
      <c r="V678">
        <v>4</v>
      </c>
      <c r="W678">
        <v>353</v>
      </c>
      <c r="X678">
        <v>0</v>
      </c>
    </row>
    <row r="679" spans="1:24" x14ac:dyDescent="0.35">
      <c r="A679" t="s">
        <v>8</v>
      </c>
      <c r="B679" t="s">
        <v>9</v>
      </c>
      <c r="C679" t="str">
        <f t="shared" si="92"/>
        <v>11252</v>
      </c>
      <c r="D679" t="s">
        <v>14</v>
      </c>
      <c r="E679" t="str">
        <f t="shared" si="93"/>
        <v>29</v>
      </c>
      <c r="F679">
        <v>49717</v>
      </c>
      <c r="G679">
        <v>44678</v>
      </c>
      <c r="H679">
        <v>2069</v>
      </c>
      <c r="I679" t="str">
        <f t="shared" si="96"/>
        <v>2</v>
      </c>
      <c r="J679" t="str">
        <f t="shared" si="97"/>
        <v>N-VA</v>
      </c>
      <c r="K679">
        <v>6975</v>
      </c>
      <c r="L679">
        <v>8255</v>
      </c>
      <c r="M679">
        <v>15230</v>
      </c>
      <c r="N679">
        <v>14059</v>
      </c>
      <c r="O679">
        <v>12</v>
      </c>
      <c r="P679" t="str">
        <f>("16")</f>
        <v>16</v>
      </c>
      <c r="Q679" t="str">
        <f>("ZGNILEC Malgorzata")</f>
        <v>ZGNILEC Malgorzata</v>
      </c>
      <c r="R679">
        <v>381</v>
      </c>
      <c r="S679">
        <v>381</v>
      </c>
      <c r="T679">
        <v>0</v>
      </c>
      <c r="U679">
        <v>10</v>
      </c>
    </row>
    <row r="680" spans="1:24" x14ac:dyDescent="0.35">
      <c r="A680" t="s">
        <v>8</v>
      </c>
      <c r="B680" t="s">
        <v>9</v>
      </c>
      <c r="C680" t="str">
        <f t="shared" si="92"/>
        <v>11252</v>
      </c>
      <c r="D680" t="s">
        <v>14</v>
      </c>
      <c r="E680" t="str">
        <f t="shared" si="93"/>
        <v>29</v>
      </c>
      <c r="F680">
        <v>49717</v>
      </c>
      <c r="G680">
        <v>44678</v>
      </c>
      <c r="H680">
        <v>2069</v>
      </c>
      <c r="I680" t="str">
        <f t="shared" si="96"/>
        <v>2</v>
      </c>
      <c r="J680" t="str">
        <f t="shared" si="97"/>
        <v>N-VA</v>
      </c>
      <c r="K680">
        <v>6975</v>
      </c>
      <c r="L680">
        <v>8255</v>
      </c>
      <c r="M680">
        <v>15230</v>
      </c>
      <c r="N680">
        <v>14059</v>
      </c>
      <c r="O680">
        <v>12</v>
      </c>
      <c r="P680" t="str">
        <f>("17")</f>
        <v>17</v>
      </c>
      <c r="Q680" t="str">
        <f>("PENDERS Filip")</f>
        <v>PENDERS Filip</v>
      </c>
      <c r="R680">
        <v>257</v>
      </c>
      <c r="S680" t="s">
        <v>44</v>
      </c>
      <c r="T680">
        <v>0</v>
      </c>
      <c r="V680">
        <v>14</v>
      </c>
      <c r="W680">
        <v>257</v>
      </c>
      <c r="X680">
        <v>0</v>
      </c>
    </row>
    <row r="681" spans="1:24" x14ac:dyDescent="0.35">
      <c r="A681" t="s">
        <v>8</v>
      </c>
      <c r="B681" t="s">
        <v>9</v>
      </c>
      <c r="C681" t="str">
        <f t="shared" si="92"/>
        <v>11252</v>
      </c>
      <c r="D681" t="s">
        <v>14</v>
      </c>
      <c r="E681" t="str">
        <f t="shared" si="93"/>
        <v>29</v>
      </c>
      <c r="F681">
        <v>49717</v>
      </c>
      <c r="G681">
        <v>44678</v>
      </c>
      <c r="H681">
        <v>2069</v>
      </c>
      <c r="I681" t="str">
        <f t="shared" si="96"/>
        <v>2</v>
      </c>
      <c r="J681" t="str">
        <f t="shared" si="97"/>
        <v>N-VA</v>
      </c>
      <c r="K681">
        <v>6975</v>
      </c>
      <c r="L681">
        <v>8255</v>
      </c>
      <c r="M681">
        <v>15230</v>
      </c>
      <c r="N681">
        <v>14059</v>
      </c>
      <c r="O681">
        <v>12</v>
      </c>
      <c r="P681" t="str">
        <f>("18")</f>
        <v>18</v>
      </c>
      <c r="Q681" t="str">
        <f>("STOOP Sonja")</f>
        <v>STOOP Sonja</v>
      </c>
      <c r="R681">
        <v>316</v>
      </c>
      <c r="S681" t="s">
        <v>44</v>
      </c>
      <c r="T681">
        <v>0</v>
      </c>
      <c r="V681">
        <v>10</v>
      </c>
      <c r="W681">
        <v>316</v>
      </c>
      <c r="X681">
        <v>0</v>
      </c>
    </row>
    <row r="682" spans="1:24" x14ac:dyDescent="0.35">
      <c r="A682" t="s">
        <v>8</v>
      </c>
      <c r="B682" t="s">
        <v>9</v>
      </c>
      <c r="C682" t="str">
        <f t="shared" si="92"/>
        <v>11252</v>
      </c>
      <c r="D682" t="s">
        <v>14</v>
      </c>
      <c r="E682" t="str">
        <f t="shared" si="93"/>
        <v>29</v>
      </c>
      <c r="F682">
        <v>49717</v>
      </c>
      <c r="G682">
        <v>44678</v>
      </c>
      <c r="H682">
        <v>2069</v>
      </c>
      <c r="I682" t="str">
        <f t="shared" si="96"/>
        <v>2</v>
      </c>
      <c r="J682" t="str">
        <f t="shared" si="97"/>
        <v>N-VA</v>
      </c>
      <c r="K682">
        <v>6975</v>
      </c>
      <c r="L682">
        <v>8255</v>
      </c>
      <c r="M682">
        <v>15230</v>
      </c>
      <c r="N682">
        <v>14059</v>
      </c>
      <c r="O682">
        <v>12</v>
      </c>
      <c r="P682" t="str">
        <f>("19")</f>
        <v>19</v>
      </c>
      <c r="Q682" t="str">
        <f>("PETÖ Xander")</f>
        <v>PETÖ Xander</v>
      </c>
      <c r="R682">
        <v>249</v>
      </c>
      <c r="S682" t="s">
        <v>44</v>
      </c>
      <c r="T682">
        <v>0</v>
      </c>
      <c r="V682">
        <v>15</v>
      </c>
      <c r="W682">
        <v>249</v>
      </c>
      <c r="X682">
        <v>0</v>
      </c>
    </row>
    <row r="683" spans="1:24" x14ac:dyDescent="0.35">
      <c r="A683" t="s">
        <v>8</v>
      </c>
      <c r="B683" t="s">
        <v>9</v>
      </c>
      <c r="C683" t="str">
        <f t="shared" si="92"/>
        <v>11252</v>
      </c>
      <c r="D683" t="s">
        <v>14</v>
      </c>
      <c r="E683" t="str">
        <f t="shared" si="93"/>
        <v>29</v>
      </c>
      <c r="F683">
        <v>49717</v>
      </c>
      <c r="G683">
        <v>44678</v>
      </c>
      <c r="H683">
        <v>2069</v>
      </c>
      <c r="I683" t="str">
        <f t="shared" si="96"/>
        <v>2</v>
      </c>
      <c r="J683" t="str">
        <f t="shared" si="97"/>
        <v>N-VA</v>
      </c>
      <c r="K683">
        <v>6975</v>
      </c>
      <c r="L683">
        <v>8255</v>
      </c>
      <c r="M683">
        <v>15230</v>
      </c>
      <c r="N683">
        <v>14059</v>
      </c>
      <c r="O683">
        <v>12</v>
      </c>
      <c r="P683" t="str">
        <f>("20")</f>
        <v>20</v>
      </c>
      <c r="Q683" t="str">
        <f>("DEWINTER Peggy")</f>
        <v>DEWINTER Peggy</v>
      </c>
      <c r="R683">
        <v>453</v>
      </c>
      <c r="S683">
        <v>453</v>
      </c>
      <c r="T683">
        <v>0</v>
      </c>
      <c r="U683">
        <v>7</v>
      </c>
    </row>
    <row r="684" spans="1:24" x14ac:dyDescent="0.35">
      <c r="A684" t="s">
        <v>8</v>
      </c>
      <c r="B684" t="s">
        <v>9</v>
      </c>
      <c r="C684" t="str">
        <f t="shared" si="92"/>
        <v>11252</v>
      </c>
      <c r="D684" t="s">
        <v>14</v>
      </c>
      <c r="E684" t="str">
        <f t="shared" si="93"/>
        <v>29</v>
      </c>
      <c r="F684">
        <v>49717</v>
      </c>
      <c r="G684">
        <v>44678</v>
      </c>
      <c r="H684">
        <v>2069</v>
      </c>
      <c r="I684" t="str">
        <f t="shared" si="96"/>
        <v>2</v>
      </c>
      <c r="J684" t="str">
        <f t="shared" si="97"/>
        <v>N-VA</v>
      </c>
      <c r="K684">
        <v>6975</v>
      </c>
      <c r="L684">
        <v>8255</v>
      </c>
      <c r="M684">
        <v>15230</v>
      </c>
      <c r="N684">
        <v>14059</v>
      </c>
      <c r="O684">
        <v>12</v>
      </c>
      <c r="P684" t="str">
        <f>("21")</f>
        <v>21</v>
      </c>
      <c r="Q684" t="str">
        <f>("ADRIAENSEN Wout")</f>
        <v>ADRIAENSEN Wout</v>
      </c>
      <c r="R684">
        <v>238</v>
      </c>
      <c r="S684" t="s">
        <v>44</v>
      </c>
      <c r="T684">
        <v>0</v>
      </c>
      <c r="V684">
        <v>16</v>
      </c>
      <c r="W684">
        <v>238</v>
      </c>
      <c r="X684">
        <v>0</v>
      </c>
    </row>
    <row r="685" spans="1:24" x14ac:dyDescent="0.35">
      <c r="A685" t="s">
        <v>8</v>
      </c>
      <c r="B685" t="s">
        <v>9</v>
      </c>
      <c r="C685" t="str">
        <f t="shared" si="92"/>
        <v>11252</v>
      </c>
      <c r="D685" t="s">
        <v>14</v>
      </c>
      <c r="E685" t="str">
        <f t="shared" si="93"/>
        <v>29</v>
      </c>
      <c r="F685">
        <v>49717</v>
      </c>
      <c r="G685">
        <v>44678</v>
      </c>
      <c r="H685">
        <v>2069</v>
      </c>
      <c r="I685" t="str">
        <f t="shared" si="96"/>
        <v>2</v>
      </c>
      <c r="J685" t="str">
        <f t="shared" si="97"/>
        <v>N-VA</v>
      </c>
      <c r="K685">
        <v>6975</v>
      </c>
      <c r="L685">
        <v>8255</v>
      </c>
      <c r="M685">
        <v>15230</v>
      </c>
      <c r="N685">
        <v>14059</v>
      </c>
      <c r="O685">
        <v>12</v>
      </c>
      <c r="P685" t="str">
        <f>("22")</f>
        <v>22</v>
      </c>
      <c r="Q685" t="str">
        <f>("GEDOPT Viviane")</f>
        <v>GEDOPT Viviane</v>
      </c>
      <c r="R685">
        <v>321</v>
      </c>
      <c r="S685" t="s">
        <v>44</v>
      </c>
      <c r="T685">
        <v>0</v>
      </c>
      <c r="V685">
        <v>9</v>
      </c>
      <c r="W685">
        <v>321</v>
      </c>
      <c r="X685">
        <v>0</v>
      </c>
    </row>
    <row r="686" spans="1:24" x14ac:dyDescent="0.35">
      <c r="A686" t="s">
        <v>8</v>
      </c>
      <c r="B686" t="s">
        <v>9</v>
      </c>
      <c r="C686" t="str">
        <f t="shared" si="92"/>
        <v>11252</v>
      </c>
      <c r="D686" t="s">
        <v>14</v>
      </c>
      <c r="E686" t="str">
        <f t="shared" si="93"/>
        <v>29</v>
      </c>
      <c r="F686">
        <v>49717</v>
      </c>
      <c r="G686">
        <v>44678</v>
      </c>
      <c r="H686">
        <v>2069</v>
      </c>
      <c r="I686" t="str">
        <f t="shared" si="96"/>
        <v>2</v>
      </c>
      <c r="J686" t="str">
        <f t="shared" si="97"/>
        <v>N-VA</v>
      </c>
      <c r="K686">
        <v>6975</v>
      </c>
      <c r="L686">
        <v>8255</v>
      </c>
      <c r="M686">
        <v>15230</v>
      </c>
      <c r="N686">
        <v>14059</v>
      </c>
      <c r="O686">
        <v>12</v>
      </c>
      <c r="P686" t="str">
        <f>("23")</f>
        <v>23</v>
      </c>
      <c r="Q686" t="str">
        <f>("POLS Jorg")</f>
        <v>POLS Jorg</v>
      </c>
      <c r="R686">
        <v>228</v>
      </c>
      <c r="S686" t="s">
        <v>44</v>
      </c>
      <c r="T686">
        <v>0</v>
      </c>
      <c r="V686">
        <v>17</v>
      </c>
      <c r="W686">
        <v>228</v>
      </c>
      <c r="X686">
        <v>0</v>
      </c>
    </row>
    <row r="687" spans="1:24" x14ac:dyDescent="0.35">
      <c r="A687" t="s">
        <v>8</v>
      </c>
      <c r="B687" t="s">
        <v>9</v>
      </c>
      <c r="C687" t="str">
        <f t="shared" si="92"/>
        <v>11252</v>
      </c>
      <c r="D687" t="s">
        <v>14</v>
      </c>
      <c r="E687" t="str">
        <f t="shared" si="93"/>
        <v>29</v>
      </c>
      <c r="F687">
        <v>49717</v>
      </c>
      <c r="G687">
        <v>44678</v>
      </c>
      <c r="H687">
        <v>2069</v>
      </c>
      <c r="I687" t="str">
        <f t="shared" si="96"/>
        <v>2</v>
      </c>
      <c r="J687" t="str">
        <f t="shared" si="97"/>
        <v>N-VA</v>
      </c>
      <c r="K687">
        <v>6975</v>
      </c>
      <c r="L687">
        <v>8255</v>
      </c>
      <c r="M687">
        <v>15230</v>
      </c>
      <c r="N687">
        <v>14059</v>
      </c>
      <c r="O687">
        <v>12</v>
      </c>
      <c r="P687" t="str">
        <f>("24")</f>
        <v>24</v>
      </c>
      <c r="Q687" t="str">
        <f>("NOVAK Irina")</f>
        <v>NOVAK Irina</v>
      </c>
      <c r="R687">
        <v>273</v>
      </c>
      <c r="S687" t="s">
        <v>44</v>
      </c>
      <c r="T687">
        <v>0</v>
      </c>
      <c r="V687">
        <v>12</v>
      </c>
      <c r="W687">
        <v>273</v>
      </c>
      <c r="X687">
        <v>0</v>
      </c>
    </row>
    <row r="688" spans="1:24" x14ac:dyDescent="0.35">
      <c r="A688" t="s">
        <v>8</v>
      </c>
      <c r="B688" t="s">
        <v>9</v>
      </c>
      <c r="C688" t="str">
        <f t="shared" si="92"/>
        <v>11252</v>
      </c>
      <c r="D688" t="s">
        <v>14</v>
      </c>
      <c r="E688" t="str">
        <f t="shared" si="93"/>
        <v>29</v>
      </c>
      <c r="F688">
        <v>49717</v>
      </c>
      <c r="G688">
        <v>44678</v>
      </c>
      <c r="H688">
        <v>2069</v>
      </c>
      <c r="I688" t="str">
        <f t="shared" si="96"/>
        <v>2</v>
      </c>
      <c r="J688" t="str">
        <f t="shared" si="97"/>
        <v>N-VA</v>
      </c>
      <c r="K688">
        <v>6975</v>
      </c>
      <c r="L688">
        <v>8255</v>
      </c>
      <c r="M688">
        <v>15230</v>
      </c>
      <c r="N688">
        <v>14059</v>
      </c>
      <c r="O688">
        <v>12</v>
      </c>
      <c r="P688" t="str">
        <f>("25")</f>
        <v>25</v>
      </c>
      <c r="Q688" t="str">
        <f>("CABELLO SEPULVEDA Greg")</f>
        <v>CABELLO SEPULVEDA Greg</v>
      </c>
      <c r="R688">
        <v>259</v>
      </c>
      <c r="S688" t="s">
        <v>44</v>
      </c>
      <c r="T688">
        <v>0</v>
      </c>
      <c r="V688">
        <v>13</v>
      </c>
      <c r="W688">
        <v>259</v>
      </c>
      <c r="X688">
        <v>0</v>
      </c>
    </row>
    <row r="689" spans="1:24" x14ac:dyDescent="0.35">
      <c r="A689" t="s">
        <v>8</v>
      </c>
      <c r="B689" t="s">
        <v>9</v>
      </c>
      <c r="C689" t="str">
        <f t="shared" si="92"/>
        <v>11252</v>
      </c>
      <c r="D689" t="s">
        <v>14</v>
      </c>
      <c r="E689" t="str">
        <f t="shared" si="93"/>
        <v>29</v>
      </c>
      <c r="F689">
        <v>49717</v>
      </c>
      <c r="G689">
        <v>44678</v>
      </c>
      <c r="H689">
        <v>2069</v>
      </c>
      <c r="I689" t="str">
        <f t="shared" si="96"/>
        <v>2</v>
      </c>
      <c r="J689" t="str">
        <f t="shared" si="97"/>
        <v>N-VA</v>
      </c>
      <c r="K689">
        <v>6975</v>
      </c>
      <c r="L689">
        <v>8255</v>
      </c>
      <c r="M689">
        <v>15230</v>
      </c>
      <c r="N689">
        <v>14059</v>
      </c>
      <c r="O689">
        <v>12</v>
      </c>
      <c r="P689" t="str">
        <f>("26")</f>
        <v>26</v>
      </c>
      <c r="Q689" t="str">
        <f>("SERESIA Ellen")</f>
        <v>SERESIA Ellen</v>
      </c>
      <c r="R689">
        <v>285</v>
      </c>
      <c r="S689" t="s">
        <v>44</v>
      </c>
      <c r="T689">
        <v>0</v>
      </c>
      <c r="V689">
        <v>11</v>
      </c>
      <c r="W689">
        <v>285</v>
      </c>
      <c r="X689">
        <v>0</v>
      </c>
    </row>
    <row r="690" spans="1:24" x14ac:dyDescent="0.35">
      <c r="A690" t="s">
        <v>8</v>
      </c>
      <c r="B690" t="s">
        <v>9</v>
      </c>
      <c r="C690" t="str">
        <f t="shared" si="92"/>
        <v>11252</v>
      </c>
      <c r="D690" t="s">
        <v>14</v>
      </c>
      <c r="E690" t="str">
        <f t="shared" si="93"/>
        <v>29</v>
      </c>
      <c r="F690">
        <v>49717</v>
      </c>
      <c r="G690">
        <v>44678</v>
      </c>
      <c r="H690">
        <v>2069</v>
      </c>
      <c r="I690" t="str">
        <f t="shared" si="96"/>
        <v>2</v>
      </c>
      <c r="J690" t="str">
        <f t="shared" si="97"/>
        <v>N-VA</v>
      </c>
      <c r="K690">
        <v>6975</v>
      </c>
      <c r="L690">
        <v>8255</v>
      </c>
      <c r="M690">
        <v>15230</v>
      </c>
      <c r="N690">
        <v>14059</v>
      </c>
      <c r="O690">
        <v>12</v>
      </c>
      <c r="P690" t="str">
        <f>("27")</f>
        <v>27</v>
      </c>
      <c r="Q690" t="str">
        <f>("MAES Koen")</f>
        <v>MAES Koen</v>
      </c>
      <c r="R690">
        <v>348</v>
      </c>
      <c r="S690" t="s">
        <v>44</v>
      </c>
      <c r="T690">
        <v>0</v>
      </c>
      <c r="V690">
        <v>5</v>
      </c>
      <c r="W690">
        <v>348</v>
      </c>
      <c r="X690">
        <v>0</v>
      </c>
    </row>
    <row r="691" spans="1:24" x14ac:dyDescent="0.35">
      <c r="A691" t="s">
        <v>8</v>
      </c>
      <c r="B691" t="s">
        <v>9</v>
      </c>
      <c r="C691" t="str">
        <f t="shared" si="92"/>
        <v>11252</v>
      </c>
      <c r="D691" t="s">
        <v>14</v>
      </c>
      <c r="E691" t="str">
        <f t="shared" si="93"/>
        <v>29</v>
      </c>
      <c r="F691">
        <v>49717</v>
      </c>
      <c r="G691">
        <v>44678</v>
      </c>
      <c r="H691">
        <v>2069</v>
      </c>
      <c r="I691" t="str">
        <f t="shared" si="96"/>
        <v>2</v>
      </c>
      <c r="J691" t="str">
        <f t="shared" si="97"/>
        <v>N-VA</v>
      </c>
      <c r="K691">
        <v>6975</v>
      </c>
      <c r="L691">
        <v>8255</v>
      </c>
      <c r="M691">
        <v>15230</v>
      </c>
      <c r="N691">
        <v>14059</v>
      </c>
      <c r="O691">
        <v>12</v>
      </c>
      <c r="P691" t="str">
        <f>("28")</f>
        <v>28</v>
      </c>
      <c r="Q691" t="str">
        <f>("VAN EESTER Linda")</f>
        <v>VAN EESTER Linda</v>
      </c>
      <c r="R691">
        <v>331</v>
      </c>
      <c r="S691" t="s">
        <v>44</v>
      </c>
      <c r="T691">
        <v>0</v>
      </c>
      <c r="V691">
        <v>6</v>
      </c>
      <c r="W691">
        <v>331</v>
      </c>
      <c r="X691">
        <v>0</v>
      </c>
    </row>
    <row r="692" spans="1:24" x14ac:dyDescent="0.35">
      <c r="A692" t="s">
        <v>8</v>
      </c>
      <c r="B692" t="s">
        <v>9</v>
      </c>
      <c r="C692" t="str">
        <f t="shared" si="92"/>
        <v>11252</v>
      </c>
      <c r="D692" t="s">
        <v>14</v>
      </c>
      <c r="E692" t="str">
        <f t="shared" si="93"/>
        <v>29</v>
      </c>
      <c r="F692">
        <v>49717</v>
      </c>
      <c r="G692">
        <v>44678</v>
      </c>
      <c r="H692">
        <v>2069</v>
      </c>
      <c r="I692" t="str">
        <f t="shared" si="96"/>
        <v>2</v>
      </c>
      <c r="J692" t="str">
        <f t="shared" si="97"/>
        <v>N-VA</v>
      </c>
      <c r="K692">
        <v>6975</v>
      </c>
      <c r="L692">
        <v>8255</v>
      </c>
      <c r="M692">
        <v>15230</v>
      </c>
      <c r="N692">
        <v>14059</v>
      </c>
      <c r="O692">
        <v>12</v>
      </c>
      <c r="P692" t="str">
        <f>("29")</f>
        <v>29</v>
      </c>
      <c r="Q692" t="str">
        <f>("WOUTERS Peter")</f>
        <v>WOUTERS Peter</v>
      </c>
      <c r="R692">
        <v>1230</v>
      </c>
      <c r="S692">
        <v>1230</v>
      </c>
      <c r="T692">
        <v>0</v>
      </c>
      <c r="U692">
        <v>4</v>
      </c>
    </row>
    <row r="693" spans="1:24" x14ac:dyDescent="0.35">
      <c r="A693" t="s">
        <v>8</v>
      </c>
      <c r="B693" t="s">
        <v>9</v>
      </c>
      <c r="C693" t="str">
        <f t="shared" si="92"/>
        <v>11252</v>
      </c>
      <c r="D693" t="s">
        <v>14</v>
      </c>
      <c r="E693" t="str">
        <f t="shared" si="93"/>
        <v>29</v>
      </c>
      <c r="F693">
        <v>49717</v>
      </c>
      <c r="G693">
        <v>44678</v>
      </c>
      <c r="H693">
        <v>2069</v>
      </c>
      <c r="I693" t="str">
        <f t="shared" ref="I693:I721" si="98">("3")</f>
        <v>3</v>
      </c>
      <c r="J693" t="str">
        <f t="shared" ref="J693:J721" si="99">("CD&amp;V")</f>
        <v>CD&amp;V</v>
      </c>
      <c r="K693">
        <v>713</v>
      </c>
      <c r="L693">
        <v>1790</v>
      </c>
      <c r="M693">
        <v>2503</v>
      </c>
      <c r="N693">
        <v>1252</v>
      </c>
      <c r="O693">
        <v>1</v>
      </c>
      <c r="P693" t="str">
        <f>("1")</f>
        <v>1</v>
      </c>
      <c r="Q693" t="str">
        <f>("AARAB Hassan")</f>
        <v>AARAB Hassan</v>
      </c>
      <c r="R693">
        <v>547</v>
      </c>
      <c r="S693">
        <v>785</v>
      </c>
      <c r="T693">
        <v>0</v>
      </c>
      <c r="U693">
        <v>1</v>
      </c>
    </row>
    <row r="694" spans="1:24" x14ac:dyDescent="0.35">
      <c r="A694" t="s">
        <v>8</v>
      </c>
      <c r="B694" t="s">
        <v>9</v>
      </c>
      <c r="C694" t="str">
        <f t="shared" si="92"/>
        <v>11252</v>
      </c>
      <c r="D694" t="s">
        <v>14</v>
      </c>
      <c r="E694" t="str">
        <f t="shared" si="93"/>
        <v>29</v>
      </c>
      <c r="F694">
        <v>49717</v>
      </c>
      <c r="G694">
        <v>44678</v>
      </c>
      <c r="H694">
        <v>2069</v>
      </c>
      <c r="I694" t="str">
        <f t="shared" si="98"/>
        <v>3</v>
      </c>
      <c r="J694" t="str">
        <f t="shared" si="99"/>
        <v>CD&amp;V</v>
      </c>
      <c r="K694">
        <v>713</v>
      </c>
      <c r="L694">
        <v>1790</v>
      </c>
      <c r="M694">
        <v>2503</v>
      </c>
      <c r="N694">
        <v>1252</v>
      </c>
      <c r="O694">
        <v>1</v>
      </c>
      <c r="P694" t="str">
        <f>("2")</f>
        <v>2</v>
      </c>
      <c r="Q694" t="str">
        <f>("PROOST Mia")</f>
        <v>PROOST Mia</v>
      </c>
      <c r="R694">
        <v>253</v>
      </c>
      <c r="S694" t="s">
        <v>44</v>
      </c>
      <c r="T694">
        <v>0</v>
      </c>
      <c r="V694">
        <v>1</v>
      </c>
      <c r="W694">
        <v>491</v>
      </c>
      <c r="X694">
        <v>0</v>
      </c>
    </row>
    <row r="695" spans="1:24" x14ac:dyDescent="0.35">
      <c r="A695" t="s">
        <v>8</v>
      </c>
      <c r="B695" t="s">
        <v>9</v>
      </c>
      <c r="C695" t="str">
        <f t="shared" si="92"/>
        <v>11252</v>
      </c>
      <c r="D695" t="s">
        <v>14</v>
      </c>
      <c r="E695" t="str">
        <f t="shared" si="93"/>
        <v>29</v>
      </c>
      <c r="F695">
        <v>49717</v>
      </c>
      <c r="G695">
        <v>44678</v>
      </c>
      <c r="H695">
        <v>2069</v>
      </c>
      <c r="I695" t="str">
        <f t="shared" si="98"/>
        <v>3</v>
      </c>
      <c r="J695" t="str">
        <f t="shared" si="99"/>
        <v>CD&amp;V</v>
      </c>
      <c r="K695">
        <v>713</v>
      </c>
      <c r="L695">
        <v>1790</v>
      </c>
      <c r="M695">
        <v>2503</v>
      </c>
      <c r="N695">
        <v>1252</v>
      </c>
      <c r="O695">
        <v>1</v>
      </c>
      <c r="P695" t="str">
        <f>("3")</f>
        <v>3</v>
      </c>
      <c r="Q695" t="str">
        <f>("VAN BAUWEL Stijn")</f>
        <v>VAN BAUWEL Stijn</v>
      </c>
      <c r="R695">
        <v>192</v>
      </c>
      <c r="S695" t="s">
        <v>44</v>
      </c>
      <c r="T695">
        <v>0</v>
      </c>
      <c r="V695">
        <v>3</v>
      </c>
      <c r="W695">
        <v>192</v>
      </c>
      <c r="X695">
        <v>0</v>
      </c>
    </row>
    <row r="696" spans="1:24" x14ac:dyDescent="0.35">
      <c r="A696" t="s">
        <v>8</v>
      </c>
      <c r="B696" t="s">
        <v>9</v>
      </c>
      <c r="C696" t="str">
        <f t="shared" si="92"/>
        <v>11252</v>
      </c>
      <c r="D696" t="s">
        <v>14</v>
      </c>
      <c r="E696" t="str">
        <f t="shared" si="93"/>
        <v>29</v>
      </c>
      <c r="F696">
        <v>49717</v>
      </c>
      <c r="G696">
        <v>44678</v>
      </c>
      <c r="H696">
        <v>2069</v>
      </c>
      <c r="I696" t="str">
        <f t="shared" si="98"/>
        <v>3</v>
      </c>
      <c r="J696" t="str">
        <f t="shared" si="99"/>
        <v>CD&amp;V</v>
      </c>
      <c r="K696">
        <v>713</v>
      </c>
      <c r="L696">
        <v>1790</v>
      </c>
      <c r="M696">
        <v>2503</v>
      </c>
      <c r="N696">
        <v>1252</v>
      </c>
      <c r="O696">
        <v>1</v>
      </c>
      <c r="P696" t="str">
        <f>("4")</f>
        <v>4</v>
      </c>
      <c r="Q696" t="str">
        <f>("STEPANOVA Lina")</f>
        <v>STEPANOVA Lina</v>
      </c>
      <c r="R696">
        <v>104</v>
      </c>
      <c r="S696" t="s">
        <v>44</v>
      </c>
      <c r="T696">
        <v>0</v>
      </c>
      <c r="V696">
        <v>7</v>
      </c>
      <c r="W696">
        <v>104</v>
      </c>
      <c r="X696">
        <v>0</v>
      </c>
    </row>
    <row r="697" spans="1:24" x14ac:dyDescent="0.35">
      <c r="A697" t="s">
        <v>8</v>
      </c>
      <c r="B697" t="s">
        <v>9</v>
      </c>
      <c r="C697" t="str">
        <f t="shared" si="92"/>
        <v>11252</v>
      </c>
      <c r="D697" t="s">
        <v>14</v>
      </c>
      <c r="E697" t="str">
        <f t="shared" si="93"/>
        <v>29</v>
      </c>
      <c r="F697">
        <v>49717</v>
      </c>
      <c r="G697">
        <v>44678</v>
      </c>
      <c r="H697">
        <v>2069</v>
      </c>
      <c r="I697" t="str">
        <f t="shared" si="98"/>
        <v>3</v>
      </c>
      <c r="J697" t="str">
        <f t="shared" si="99"/>
        <v>CD&amp;V</v>
      </c>
      <c r="K697">
        <v>713</v>
      </c>
      <c r="L697">
        <v>1790</v>
      </c>
      <c r="M697">
        <v>2503</v>
      </c>
      <c r="N697">
        <v>1252</v>
      </c>
      <c r="O697">
        <v>1</v>
      </c>
      <c r="P697" t="str">
        <f>("5")</f>
        <v>5</v>
      </c>
      <c r="Q697" t="str">
        <f>("WEYTS Benjamin")</f>
        <v>WEYTS Benjamin</v>
      </c>
      <c r="R697">
        <v>138</v>
      </c>
      <c r="S697" t="s">
        <v>44</v>
      </c>
      <c r="T697">
        <v>0</v>
      </c>
      <c r="V697">
        <v>4</v>
      </c>
      <c r="W697">
        <v>138</v>
      </c>
      <c r="X697">
        <v>0</v>
      </c>
    </row>
    <row r="698" spans="1:24" x14ac:dyDescent="0.35">
      <c r="A698" t="s">
        <v>8</v>
      </c>
      <c r="B698" t="s">
        <v>9</v>
      </c>
      <c r="C698" t="str">
        <f t="shared" si="92"/>
        <v>11252</v>
      </c>
      <c r="D698" t="s">
        <v>14</v>
      </c>
      <c r="E698" t="str">
        <f t="shared" si="93"/>
        <v>29</v>
      </c>
      <c r="F698">
        <v>49717</v>
      </c>
      <c r="G698">
        <v>44678</v>
      </c>
      <c r="H698">
        <v>2069</v>
      </c>
      <c r="I698" t="str">
        <f t="shared" si="98"/>
        <v>3</v>
      </c>
      <c r="J698" t="str">
        <f t="shared" si="99"/>
        <v>CD&amp;V</v>
      </c>
      <c r="K698">
        <v>713</v>
      </c>
      <c r="L698">
        <v>1790</v>
      </c>
      <c r="M698">
        <v>2503</v>
      </c>
      <c r="N698">
        <v>1252</v>
      </c>
      <c r="O698">
        <v>1</v>
      </c>
      <c r="P698" t="str">
        <f>("6")</f>
        <v>6</v>
      </c>
      <c r="Q698" t="str">
        <f>("OOMS Rit")</f>
        <v>OOMS Rit</v>
      </c>
      <c r="R698">
        <v>89</v>
      </c>
      <c r="S698" t="s">
        <v>44</v>
      </c>
      <c r="T698">
        <v>0</v>
      </c>
      <c r="V698">
        <v>9</v>
      </c>
      <c r="W698">
        <v>89</v>
      </c>
      <c r="X698">
        <v>0</v>
      </c>
    </row>
    <row r="699" spans="1:24" x14ac:dyDescent="0.35">
      <c r="A699" t="s">
        <v>8</v>
      </c>
      <c r="B699" t="s">
        <v>9</v>
      </c>
      <c r="C699" t="str">
        <f t="shared" ref="C699:C762" si="100">("11252")</f>
        <v>11252</v>
      </c>
      <c r="D699" t="s">
        <v>14</v>
      </c>
      <c r="E699" t="str">
        <f t="shared" ref="E699:E762" si="101">("29")</f>
        <v>29</v>
      </c>
      <c r="F699">
        <v>49717</v>
      </c>
      <c r="G699">
        <v>44678</v>
      </c>
      <c r="H699">
        <v>2069</v>
      </c>
      <c r="I699" t="str">
        <f t="shared" si="98"/>
        <v>3</v>
      </c>
      <c r="J699" t="str">
        <f t="shared" si="99"/>
        <v>CD&amp;V</v>
      </c>
      <c r="K699">
        <v>713</v>
      </c>
      <c r="L699">
        <v>1790</v>
      </c>
      <c r="M699">
        <v>2503</v>
      </c>
      <c r="N699">
        <v>1252</v>
      </c>
      <c r="O699">
        <v>1</v>
      </c>
      <c r="P699" t="str">
        <f>("7")</f>
        <v>7</v>
      </c>
      <c r="Q699" t="str">
        <f>("MUSITU LUFUNGULA Willy")</f>
        <v>MUSITU LUFUNGULA Willy</v>
      </c>
      <c r="R699">
        <v>83</v>
      </c>
      <c r="S699" t="s">
        <v>44</v>
      </c>
      <c r="T699">
        <v>0</v>
      </c>
      <c r="V699">
        <v>10</v>
      </c>
      <c r="W699">
        <v>83</v>
      </c>
      <c r="X699">
        <v>0</v>
      </c>
    </row>
    <row r="700" spans="1:24" x14ac:dyDescent="0.35">
      <c r="A700" t="s">
        <v>8</v>
      </c>
      <c r="B700" t="s">
        <v>9</v>
      </c>
      <c r="C700" t="str">
        <f t="shared" si="100"/>
        <v>11252</v>
      </c>
      <c r="D700" t="s">
        <v>14</v>
      </c>
      <c r="E700" t="str">
        <f t="shared" si="101"/>
        <v>29</v>
      </c>
      <c r="F700">
        <v>49717</v>
      </c>
      <c r="G700">
        <v>44678</v>
      </c>
      <c r="H700">
        <v>2069</v>
      </c>
      <c r="I700" t="str">
        <f t="shared" si="98"/>
        <v>3</v>
      </c>
      <c r="J700" t="str">
        <f t="shared" si="99"/>
        <v>CD&amp;V</v>
      </c>
      <c r="K700">
        <v>713</v>
      </c>
      <c r="L700">
        <v>1790</v>
      </c>
      <c r="M700">
        <v>2503</v>
      </c>
      <c r="N700">
        <v>1252</v>
      </c>
      <c r="O700">
        <v>1</v>
      </c>
      <c r="P700" t="str">
        <f>("8")</f>
        <v>8</v>
      </c>
      <c r="Q700" t="str">
        <f>("DAEMS Gina")</f>
        <v>DAEMS Gina</v>
      </c>
      <c r="R700">
        <v>112</v>
      </c>
      <c r="S700" t="s">
        <v>44</v>
      </c>
      <c r="T700">
        <v>0</v>
      </c>
      <c r="V700">
        <v>5</v>
      </c>
      <c r="W700">
        <v>112</v>
      </c>
      <c r="X700">
        <v>0</v>
      </c>
    </row>
    <row r="701" spans="1:24" x14ac:dyDescent="0.35">
      <c r="A701" t="s">
        <v>8</v>
      </c>
      <c r="B701" t="s">
        <v>9</v>
      </c>
      <c r="C701" t="str">
        <f t="shared" si="100"/>
        <v>11252</v>
      </c>
      <c r="D701" t="s">
        <v>14</v>
      </c>
      <c r="E701" t="str">
        <f t="shared" si="101"/>
        <v>29</v>
      </c>
      <c r="F701">
        <v>49717</v>
      </c>
      <c r="G701">
        <v>44678</v>
      </c>
      <c r="H701">
        <v>2069</v>
      </c>
      <c r="I701" t="str">
        <f t="shared" si="98"/>
        <v>3</v>
      </c>
      <c r="J701" t="str">
        <f t="shared" si="99"/>
        <v>CD&amp;V</v>
      </c>
      <c r="K701">
        <v>713</v>
      </c>
      <c r="L701">
        <v>1790</v>
      </c>
      <c r="M701">
        <v>2503</v>
      </c>
      <c r="N701">
        <v>1252</v>
      </c>
      <c r="O701">
        <v>1</v>
      </c>
      <c r="P701" t="str">
        <f>("9")</f>
        <v>9</v>
      </c>
      <c r="Q701" t="str">
        <f>("BABALLAH Saloua")</f>
        <v>BABALLAH Saloua</v>
      </c>
      <c r="R701">
        <v>66</v>
      </c>
      <c r="S701" t="s">
        <v>44</v>
      </c>
      <c r="T701">
        <v>0</v>
      </c>
      <c r="V701">
        <v>14</v>
      </c>
      <c r="W701">
        <v>66</v>
      </c>
      <c r="X701">
        <v>0</v>
      </c>
    </row>
    <row r="702" spans="1:24" x14ac:dyDescent="0.35">
      <c r="A702" t="s">
        <v>8</v>
      </c>
      <c r="B702" t="s">
        <v>9</v>
      </c>
      <c r="C702" t="str">
        <f t="shared" si="100"/>
        <v>11252</v>
      </c>
      <c r="D702" t="s">
        <v>14</v>
      </c>
      <c r="E702" t="str">
        <f t="shared" si="101"/>
        <v>29</v>
      </c>
      <c r="F702">
        <v>49717</v>
      </c>
      <c r="G702">
        <v>44678</v>
      </c>
      <c r="H702">
        <v>2069</v>
      </c>
      <c r="I702" t="str">
        <f t="shared" si="98"/>
        <v>3</v>
      </c>
      <c r="J702" t="str">
        <f t="shared" si="99"/>
        <v>CD&amp;V</v>
      </c>
      <c r="K702">
        <v>713</v>
      </c>
      <c r="L702">
        <v>1790</v>
      </c>
      <c r="M702">
        <v>2503</v>
      </c>
      <c r="N702">
        <v>1252</v>
      </c>
      <c r="O702">
        <v>1</v>
      </c>
      <c r="P702" t="str">
        <f>("10")</f>
        <v>10</v>
      </c>
      <c r="Q702" t="str">
        <f>("BACHMADOVA Ellina")</f>
        <v>BACHMADOVA Ellina</v>
      </c>
      <c r="R702">
        <v>64</v>
      </c>
      <c r="S702" t="s">
        <v>44</v>
      </c>
      <c r="T702">
        <v>0</v>
      </c>
      <c r="V702">
        <v>16</v>
      </c>
      <c r="W702">
        <v>64</v>
      </c>
      <c r="X702">
        <v>0</v>
      </c>
    </row>
    <row r="703" spans="1:24" x14ac:dyDescent="0.35">
      <c r="A703" t="s">
        <v>8</v>
      </c>
      <c r="B703" t="s">
        <v>9</v>
      </c>
      <c r="C703" t="str">
        <f t="shared" si="100"/>
        <v>11252</v>
      </c>
      <c r="D703" t="s">
        <v>14</v>
      </c>
      <c r="E703" t="str">
        <f t="shared" si="101"/>
        <v>29</v>
      </c>
      <c r="F703">
        <v>49717</v>
      </c>
      <c r="G703">
        <v>44678</v>
      </c>
      <c r="H703">
        <v>2069</v>
      </c>
      <c r="I703" t="str">
        <f t="shared" si="98"/>
        <v>3</v>
      </c>
      <c r="J703" t="str">
        <f t="shared" si="99"/>
        <v>CD&amp;V</v>
      </c>
      <c r="K703">
        <v>713</v>
      </c>
      <c r="L703">
        <v>1790</v>
      </c>
      <c r="M703">
        <v>2503</v>
      </c>
      <c r="N703">
        <v>1252</v>
      </c>
      <c r="O703">
        <v>1</v>
      </c>
      <c r="P703" t="str">
        <f>("11")</f>
        <v>11</v>
      </c>
      <c r="Q703" t="str">
        <f>("LIBERTON Betty")</f>
        <v>LIBERTON Betty</v>
      </c>
      <c r="R703">
        <v>51</v>
      </c>
      <c r="S703" t="s">
        <v>44</v>
      </c>
      <c r="T703">
        <v>0</v>
      </c>
      <c r="V703">
        <v>19</v>
      </c>
      <c r="W703">
        <v>51</v>
      </c>
      <c r="X703">
        <v>0</v>
      </c>
    </row>
    <row r="704" spans="1:24" x14ac:dyDescent="0.35">
      <c r="A704" t="s">
        <v>8</v>
      </c>
      <c r="B704" t="s">
        <v>9</v>
      </c>
      <c r="C704" t="str">
        <f t="shared" si="100"/>
        <v>11252</v>
      </c>
      <c r="D704" t="s">
        <v>14</v>
      </c>
      <c r="E704" t="str">
        <f t="shared" si="101"/>
        <v>29</v>
      </c>
      <c r="F704">
        <v>49717</v>
      </c>
      <c r="G704">
        <v>44678</v>
      </c>
      <c r="H704">
        <v>2069</v>
      </c>
      <c r="I704" t="str">
        <f t="shared" si="98"/>
        <v>3</v>
      </c>
      <c r="J704" t="str">
        <f t="shared" si="99"/>
        <v>CD&amp;V</v>
      </c>
      <c r="K704">
        <v>713</v>
      </c>
      <c r="L704">
        <v>1790</v>
      </c>
      <c r="M704">
        <v>2503</v>
      </c>
      <c r="N704">
        <v>1252</v>
      </c>
      <c r="O704">
        <v>1</v>
      </c>
      <c r="P704" t="str">
        <f>("12")</f>
        <v>12</v>
      </c>
      <c r="Q704" t="str">
        <f>("VAN BRUSSEL-KETELS Simone")</f>
        <v>VAN BRUSSEL-KETELS Simone</v>
      </c>
      <c r="R704">
        <v>68</v>
      </c>
      <c r="S704" t="s">
        <v>44</v>
      </c>
      <c r="T704">
        <v>0</v>
      </c>
      <c r="V704">
        <v>13</v>
      </c>
      <c r="W704">
        <v>68</v>
      </c>
      <c r="X704">
        <v>0</v>
      </c>
    </row>
    <row r="705" spans="1:24" x14ac:dyDescent="0.35">
      <c r="A705" t="s">
        <v>8</v>
      </c>
      <c r="B705" t="s">
        <v>9</v>
      </c>
      <c r="C705" t="str">
        <f t="shared" si="100"/>
        <v>11252</v>
      </c>
      <c r="D705" t="s">
        <v>14</v>
      </c>
      <c r="E705" t="str">
        <f t="shared" si="101"/>
        <v>29</v>
      </c>
      <c r="F705">
        <v>49717</v>
      </c>
      <c r="G705">
        <v>44678</v>
      </c>
      <c r="H705">
        <v>2069</v>
      </c>
      <c r="I705" t="str">
        <f t="shared" si="98"/>
        <v>3</v>
      </c>
      <c r="J705" t="str">
        <f t="shared" si="99"/>
        <v>CD&amp;V</v>
      </c>
      <c r="K705">
        <v>713</v>
      </c>
      <c r="L705">
        <v>1790</v>
      </c>
      <c r="M705">
        <v>2503</v>
      </c>
      <c r="N705">
        <v>1252</v>
      </c>
      <c r="O705">
        <v>1</v>
      </c>
      <c r="P705" t="str">
        <f>("13")</f>
        <v>13</v>
      </c>
      <c r="Q705" t="str">
        <f>("GIELEN Jef")</f>
        <v>GIELEN Jef</v>
      </c>
      <c r="R705">
        <v>52</v>
      </c>
      <c r="S705" t="s">
        <v>44</v>
      </c>
      <c r="T705">
        <v>0</v>
      </c>
      <c r="V705">
        <v>18</v>
      </c>
      <c r="W705">
        <v>52</v>
      </c>
      <c r="X705">
        <v>0</v>
      </c>
    </row>
    <row r="706" spans="1:24" x14ac:dyDescent="0.35">
      <c r="A706" t="s">
        <v>8</v>
      </c>
      <c r="B706" t="s">
        <v>9</v>
      </c>
      <c r="C706" t="str">
        <f t="shared" si="100"/>
        <v>11252</v>
      </c>
      <c r="D706" t="s">
        <v>14</v>
      </c>
      <c r="E706" t="str">
        <f t="shared" si="101"/>
        <v>29</v>
      </c>
      <c r="F706">
        <v>49717</v>
      </c>
      <c r="G706">
        <v>44678</v>
      </c>
      <c r="H706">
        <v>2069</v>
      </c>
      <c r="I706" t="str">
        <f t="shared" si="98"/>
        <v>3</v>
      </c>
      <c r="J706" t="str">
        <f t="shared" si="99"/>
        <v>CD&amp;V</v>
      </c>
      <c r="K706">
        <v>713</v>
      </c>
      <c r="L706">
        <v>1790</v>
      </c>
      <c r="M706">
        <v>2503</v>
      </c>
      <c r="N706">
        <v>1252</v>
      </c>
      <c r="O706">
        <v>1</v>
      </c>
      <c r="P706" t="str">
        <f>("14")</f>
        <v>14</v>
      </c>
      <c r="Q706" t="str">
        <f>("VAN DEN BRANDEN Monique")</f>
        <v>VAN DEN BRANDEN Monique</v>
      </c>
      <c r="R706">
        <v>80</v>
      </c>
      <c r="S706" t="s">
        <v>44</v>
      </c>
      <c r="T706">
        <v>0</v>
      </c>
      <c r="V706">
        <v>11</v>
      </c>
      <c r="W706">
        <v>80</v>
      </c>
      <c r="X706">
        <v>0</v>
      </c>
    </row>
    <row r="707" spans="1:24" x14ac:dyDescent="0.35">
      <c r="A707" t="s">
        <v>8</v>
      </c>
      <c r="B707" t="s">
        <v>9</v>
      </c>
      <c r="C707" t="str">
        <f t="shared" si="100"/>
        <v>11252</v>
      </c>
      <c r="D707" t="s">
        <v>14</v>
      </c>
      <c r="E707" t="str">
        <f t="shared" si="101"/>
        <v>29</v>
      </c>
      <c r="F707">
        <v>49717</v>
      </c>
      <c r="G707">
        <v>44678</v>
      </c>
      <c r="H707">
        <v>2069</v>
      </c>
      <c r="I707" t="str">
        <f t="shared" si="98"/>
        <v>3</v>
      </c>
      <c r="J707" t="str">
        <f t="shared" si="99"/>
        <v>CD&amp;V</v>
      </c>
      <c r="K707">
        <v>713</v>
      </c>
      <c r="L707">
        <v>1790</v>
      </c>
      <c r="M707">
        <v>2503</v>
      </c>
      <c r="N707">
        <v>1252</v>
      </c>
      <c r="O707">
        <v>1</v>
      </c>
      <c r="P707" t="str">
        <f>("15")</f>
        <v>15</v>
      </c>
      <c r="Q707" t="str">
        <f>("OUADI Nasraddine")</f>
        <v>OUADI Nasraddine</v>
      </c>
      <c r="R707">
        <v>90</v>
      </c>
      <c r="S707" t="s">
        <v>44</v>
      </c>
      <c r="T707">
        <v>0</v>
      </c>
      <c r="V707">
        <v>8</v>
      </c>
      <c r="W707">
        <v>90</v>
      </c>
      <c r="X707">
        <v>0</v>
      </c>
    </row>
    <row r="708" spans="1:24" x14ac:dyDescent="0.35">
      <c r="A708" t="s">
        <v>8</v>
      </c>
      <c r="B708" t="s">
        <v>9</v>
      </c>
      <c r="C708" t="str">
        <f t="shared" si="100"/>
        <v>11252</v>
      </c>
      <c r="D708" t="s">
        <v>14</v>
      </c>
      <c r="E708" t="str">
        <f t="shared" si="101"/>
        <v>29</v>
      </c>
      <c r="F708">
        <v>49717</v>
      </c>
      <c r="G708">
        <v>44678</v>
      </c>
      <c r="H708">
        <v>2069</v>
      </c>
      <c r="I708" t="str">
        <f t="shared" si="98"/>
        <v>3</v>
      </c>
      <c r="J708" t="str">
        <f t="shared" si="99"/>
        <v>CD&amp;V</v>
      </c>
      <c r="K708">
        <v>713</v>
      </c>
      <c r="L708">
        <v>1790</v>
      </c>
      <c r="M708">
        <v>2503</v>
      </c>
      <c r="N708">
        <v>1252</v>
      </c>
      <c r="O708">
        <v>1</v>
      </c>
      <c r="P708" t="str">
        <f>("16")</f>
        <v>16</v>
      </c>
      <c r="Q708" t="str">
        <f>("AZOUAGHE Lubna")</f>
        <v>AZOUAGHE Lubna</v>
      </c>
      <c r="R708">
        <v>108</v>
      </c>
      <c r="S708" t="s">
        <v>44</v>
      </c>
      <c r="T708">
        <v>0</v>
      </c>
      <c r="V708">
        <v>6</v>
      </c>
      <c r="W708">
        <v>108</v>
      </c>
      <c r="X708">
        <v>0</v>
      </c>
    </row>
    <row r="709" spans="1:24" x14ac:dyDescent="0.35">
      <c r="A709" t="s">
        <v>8</v>
      </c>
      <c r="B709" t="s">
        <v>9</v>
      </c>
      <c r="C709" t="str">
        <f t="shared" si="100"/>
        <v>11252</v>
      </c>
      <c r="D709" t="s">
        <v>14</v>
      </c>
      <c r="E709" t="str">
        <f t="shared" si="101"/>
        <v>29</v>
      </c>
      <c r="F709">
        <v>49717</v>
      </c>
      <c r="G709">
        <v>44678</v>
      </c>
      <c r="H709">
        <v>2069</v>
      </c>
      <c r="I709" t="str">
        <f t="shared" si="98"/>
        <v>3</v>
      </c>
      <c r="J709" t="str">
        <f t="shared" si="99"/>
        <v>CD&amp;V</v>
      </c>
      <c r="K709">
        <v>713</v>
      </c>
      <c r="L709">
        <v>1790</v>
      </c>
      <c r="M709">
        <v>2503</v>
      </c>
      <c r="N709">
        <v>1252</v>
      </c>
      <c r="O709">
        <v>1</v>
      </c>
      <c r="P709" t="str">
        <f>("17")</f>
        <v>17</v>
      </c>
      <c r="Q709" t="str">
        <f>("SEGERS Jo")</f>
        <v>SEGERS Jo</v>
      </c>
      <c r="R709">
        <v>37</v>
      </c>
      <c r="S709" t="s">
        <v>44</v>
      </c>
      <c r="T709">
        <v>0</v>
      </c>
      <c r="V709">
        <v>25</v>
      </c>
      <c r="W709">
        <v>37</v>
      </c>
      <c r="X709">
        <v>0</v>
      </c>
    </row>
    <row r="710" spans="1:24" x14ac:dyDescent="0.35">
      <c r="A710" t="s">
        <v>8</v>
      </c>
      <c r="B710" t="s">
        <v>9</v>
      </c>
      <c r="C710" t="str">
        <f t="shared" si="100"/>
        <v>11252</v>
      </c>
      <c r="D710" t="s">
        <v>14</v>
      </c>
      <c r="E710" t="str">
        <f t="shared" si="101"/>
        <v>29</v>
      </c>
      <c r="F710">
        <v>49717</v>
      </c>
      <c r="G710">
        <v>44678</v>
      </c>
      <c r="H710">
        <v>2069</v>
      </c>
      <c r="I710" t="str">
        <f t="shared" si="98"/>
        <v>3</v>
      </c>
      <c r="J710" t="str">
        <f t="shared" si="99"/>
        <v>CD&amp;V</v>
      </c>
      <c r="K710">
        <v>713</v>
      </c>
      <c r="L710">
        <v>1790</v>
      </c>
      <c r="M710">
        <v>2503</v>
      </c>
      <c r="N710">
        <v>1252</v>
      </c>
      <c r="O710">
        <v>1</v>
      </c>
      <c r="P710" t="str">
        <f>("18")</f>
        <v>18</v>
      </c>
      <c r="Q710" t="str">
        <f>("MINNER Gust")</f>
        <v>MINNER Gust</v>
      </c>
      <c r="R710">
        <v>51</v>
      </c>
      <c r="S710" t="s">
        <v>44</v>
      </c>
      <c r="T710">
        <v>0</v>
      </c>
      <c r="V710">
        <v>20</v>
      </c>
      <c r="W710">
        <v>51</v>
      </c>
      <c r="X710">
        <v>0</v>
      </c>
    </row>
    <row r="711" spans="1:24" x14ac:dyDescent="0.35">
      <c r="A711" t="s">
        <v>8</v>
      </c>
      <c r="B711" t="s">
        <v>9</v>
      </c>
      <c r="C711" t="str">
        <f t="shared" si="100"/>
        <v>11252</v>
      </c>
      <c r="D711" t="s">
        <v>14</v>
      </c>
      <c r="E711" t="str">
        <f t="shared" si="101"/>
        <v>29</v>
      </c>
      <c r="F711">
        <v>49717</v>
      </c>
      <c r="G711">
        <v>44678</v>
      </c>
      <c r="H711">
        <v>2069</v>
      </c>
      <c r="I711" t="str">
        <f t="shared" si="98"/>
        <v>3</v>
      </c>
      <c r="J711" t="str">
        <f t="shared" si="99"/>
        <v>CD&amp;V</v>
      </c>
      <c r="K711">
        <v>713</v>
      </c>
      <c r="L711">
        <v>1790</v>
      </c>
      <c r="M711">
        <v>2503</v>
      </c>
      <c r="N711">
        <v>1252</v>
      </c>
      <c r="O711">
        <v>1</v>
      </c>
      <c r="P711" t="str">
        <f>("19")</f>
        <v>19</v>
      </c>
      <c r="Q711" t="str">
        <f>("AARAB Younes")</f>
        <v>AARAB Younes</v>
      </c>
      <c r="R711">
        <v>62</v>
      </c>
      <c r="S711" t="s">
        <v>44</v>
      </c>
      <c r="T711">
        <v>0</v>
      </c>
      <c r="V711">
        <v>17</v>
      </c>
      <c r="W711">
        <v>62</v>
      </c>
      <c r="X711">
        <v>0</v>
      </c>
    </row>
    <row r="712" spans="1:24" x14ac:dyDescent="0.35">
      <c r="A712" t="s">
        <v>8</v>
      </c>
      <c r="B712" t="s">
        <v>9</v>
      </c>
      <c r="C712" t="str">
        <f t="shared" si="100"/>
        <v>11252</v>
      </c>
      <c r="D712" t="s">
        <v>14</v>
      </c>
      <c r="E712" t="str">
        <f t="shared" si="101"/>
        <v>29</v>
      </c>
      <c r="F712">
        <v>49717</v>
      </c>
      <c r="G712">
        <v>44678</v>
      </c>
      <c r="H712">
        <v>2069</v>
      </c>
      <c r="I712" t="str">
        <f t="shared" si="98"/>
        <v>3</v>
      </c>
      <c r="J712" t="str">
        <f t="shared" si="99"/>
        <v>CD&amp;V</v>
      </c>
      <c r="K712">
        <v>713</v>
      </c>
      <c r="L712">
        <v>1790</v>
      </c>
      <c r="M712">
        <v>2503</v>
      </c>
      <c r="N712">
        <v>1252</v>
      </c>
      <c r="O712">
        <v>1</v>
      </c>
      <c r="P712" t="str">
        <f>("20")</f>
        <v>20</v>
      </c>
      <c r="Q712" t="str">
        <f>("DE SOOMER Mia")</f>
        <v>DE SOOMER Mia</v>
      </c>
      <c r="R712">
        <v>39</v>
      </c>
      <c r="S712" t="s">
        <v>44</v>
      </c>
      <c r="T712">
        <v>0</v>
      </c>
      <c r="V712">
        <v>24</v>
      </c>
      <c r="W712">
        <v>39</v>
      </c>
      <c r="X712">
        <v>0</v>
      </c>
    </row>
    <row r="713" spans="1:24" x14ac:dyDescent="0.35">
      <c r="A713" t="s">
        <v>8</v>
      </c>
      <c r="B713" t="s">
        <v>9</v>
      </c>
      <c r="C713" t="str">
        <f t="shared" si="100"/>
        <v>11252</v>
      </c>
      <c r="D713" t="s">
        <v>14</v>
      </c>
      <c r="E713" t="str">
        <f t="shared" si="101"/>
        <v>29</v>
      </c>
      <c r="F713">
        <v>49717</v>
      </c>
      <c r="G713">
        <v>44678</v>
      </c>
      <c r="H713">
        <v>2069</v>
      </c>
      <c r="I713" t="str">
        <f t="shared" si="98"/>
        <v>3</v>
      </c>
      <c r="J713" t="str">
        <f t="shared" si="99"/>
        <v>CD&amp;V</v>
      </c>
      <c r="K713">
        <v>713</v>
      </c>
      <c r="L713">
        <v>1790</v>
      </c>
      <c r="M713">
        <v>2503</v>
      </c>
      <c r="N713">
        <v>1252</v>
      </c>
      <c r="O713">
        <v>1</v>
      </c>
      <c r="P713" t="str">
        <f>("21")</f>
        <v>21</v>
      </c>
      <c r="Q713" t="str">
        <f>("DANIËLS Julien")</f>
        <v>DANIËLS Julien</v>
      </c>
      <c r="R713">
        <v>37</v>
      </c>
      <c r="S713" t="s">
        <v>44</v>
      </c>
      <c r="T713">
        <v>0</v>
      </c>
      <c r="V713">
        <v>26</v>
      </c>
      <c r="W713">
        <v>37</v>
      </c>
      <c r="X713">
        <v>0</v>
      </c>
    </row>
    <row r="714" spans="1:24" x14ac:dyDescent="0.35">
      <c r="A714" t="s">
        <v>8</v>
      </c>
      <c r="B714" t="s">
        <v>9</v>
      </c>
      <c r="C714" t="str">
        <f t="shared" si="100"/>
        <v>11252</v>
      </c>
      <c r="D714" t="s">
        <v>14</v>
      </c>
      <c r="E714" t="str">
        <f t="shared" si="101"/>
        <v>29</v>
      </c>
      <c r="F714">
        <v>49717</v>
      </c>
      <c r="G714">
        <v>44678</v>
      </c>
      <c r="H714">
        <v>2069</v>
      </c>
      <c r="I714" t="str">
        <f t="shared" si="98"/>
        <v>3</v>
      </c>
      <c r="J714" t="str">
        <f t="shared" si="99"/>
        <v>CD&amp;V</v>
      </c>
      <c r="K714">
        <v>713</v>
      </c>
      <c r="L714">
        <v>1790</v>
      </c>
      <c r="M714">
        <v>2503</v>
      </c>
      <c r="N714">
        <v>1252</v>
      </c>
      <c r="O714">
        <v>1</v>
      </c>
      <c r="P714" t="str">
        <f>("22")</f>
        <v>22</v>
      </c>
      <c r="Q714" t="str">
        <f>("DE FRÉ Silvia")</f>
        <v>DE FRÉ Silvia</v>
      </c>
      <c r="R714">
        <v>66</v>
      </c>
      <c r="S714" t="s">
        <v>44</v>
      </c>
      <c r="T714">
        <v>0</v>
      </c>
      <c r="V714">
        <v>15</v>
      </c>
      <c r="W714">
        <v>66</v>
      </c>
      <c r="X714">
        <v>0</v>
      </c>
    </row>
    <row r="715" spans="1:24" x14ac:dyDescent="0.35">
      <c r="A715" t="s">
        <v>8</v>
      </c>
      <c r="B715" t="s">
        <v>9</v>
      </c>
      <c r="C715" t="str">
        <f t="shared" si="100"/>
        <v>11252</v>
      </c>
      <c r="D715" t="s">
        <v>14</v>
      </c>
      <c r="E715" t="str">
        <f t="shared" si="101"/>
        <v>29</v>
      </c>
      <c r="F715">
        <v>49717</v>
      </c>
      <c r="G715">
        <v>44678</v>
      </c>
      <c r="H715">
        <v>2069</v>
      </c>
      <c r="I715" t="str">
        <f t="shared" si="98"/>
        <v>3</v>
      </c>
      <c r="J715" t="str">
        <f t="shared" si="99"/>
        <v>CD&amp;V</v>
      </c>
      <c r="K715">
        <v>713</v>
      </c>
      <c r="L715">
        <v>1790</v>
      </c>
      <c r="M715">
        <v>2503</v>
      </c>
      <c r="N715">
        <v>1252</v>
      </c>
      <c r="O715">
        <v>1</v>
      </c>
      <c r="P715" t="str">
        <f>("23")</f>
        <v>23</v>
      </c>
      <c r="Q715" t="str">
        <f>("SOETAERT Gilbert")</f>
        <v>SOETAERT Gilbert</v>
      </c>
      <c r="R715">
        <v>29</v>
      </c>
      <c r="S715" t="s">
        <v>44</v>
      </c>
      <c r="T715">
        <v>0</v>
      </c>
      <c r="V715">
        <v>28</v>
      </c>
      <c r="W715">
        <v>29</v>
      </c>
      <c r="X715">
        <v>0</v>
      </c>
    </row>
    <row r="716" spans="1:24" x14ac:dyDescent="0.35">
      <c r="A716" t="s">
        <v>8</v>
      </c>
      <c r="B716" t="s">
        <v>9</v>
      </c>
      <c r="C716" t="str">
        <f t="shared" si="100"/>
        <v>11252</v>
      </c>
      <c r="D716" t="s">
        <v>14</v>
      </c>
      <c r="E716" t="str">
        <f t="shared" si="101"/>
        <v>29</v>
      </c>
      <c r="F716">
        <v>49717</v>
      </c>
      <c r="G716">
        <v>44678</v>
      </c>
      <c r="H716">
        <v>2069</v>
      </c>
      <c r="I716" t="str">
        <f t="shared" si="98"/>
        <v>3</v>
      </c>
      <c r="J716" t="str">
        <f t="shared" si="99"/>
        <v>CD&amp;V</v>
      </c>
      <c r="K716">
        <v>713</v>
      </c>
      <c r="L716">
        <v>1790</v>
      </c>
      <c r="M716">
        <v>2503</v>
      </c>
      <c r="N716">
        <v>1252</v>
      </c>
      <c r="O716">
        <v>1</v>
      </c>
      <c r="P716" t="str">
        <f>("24")</f>
        <v>24</v>
      </c>
      <c r="Q716" t="str">
        <f>("ABDELLAOUI Yassine")</f>
        <v>ABDELLAOUI Yassine</v>
      </c>
      <c r="R716">
        <v>79</v>
      </c>
      <c r="S716" t="s">
        <v>44</v>
      </c>
      <c r="T716">
        <v>0</v>
      </c>
      <c r="V716">
        <v>12</v>
      </c>
      <c r="W716">
        <v>79</v>
      </c>
      <c r="X716">
        <v>0</v>
      </c>
    </row>
    <row r="717" spans="1:24" x14ac:dyDescent="0.35">
      <c r="A717" t="s">
        <v>8</v>
      </c>
      <c r="B717" t="s">
        <v>9</v>
      </c>
      <c r="C717" t="str">
        <f t="shared" si="100"/>
        <v>11252</v>
      </c>
      <c r="D717" t="s">
        <v>14</v>
      </c>
      <c r="E717" t="str">
        <f t="shared" si="101"/>
        <v>29</v>
      </c>
      <c r="F717">
        <v>49717</v>
      </c>
      <c r="G717">
        <v>44678</v>
      </c>
      <c r="H717">
        <v>2069</v>
      </c>
      <c r="I717" t="str">
        <f t="shared" si="98"/>
        <v>3</v>
      </c>
      <c r="J717" t="str">
        <f t="shared" si="99"/>
        <v>CD&amp;V</v>
      </c>
      <c r="K717">
        <v>713</v>
      </c>
      <c r="L717">
        <v>1790</v>
      </c>
      <c r="M717">
        <v>2503</v>
      </c>
      <c r="N717">
        <v>1252</v>
      </c>
      <c r="O717">
        <v>1</v>
      </c>
      <c r="P717" t="str">
        <f>("25")</f>
        <v>25</v>
      </c>
      <c r="Q717" t="str">
        <f>("GOZHINA Tessa")</f>
        <v>GOZHINA Tessa</v>
      </c>
      <c r="R717">
        <v>44</v>
      </c>
      <c r="S717" t="s">
        <v>44</v>
      </c>
      <c r="T717">
        <v>0</v>
      </c>
      <c r="V717">
        <v>21</v>
      </c>
      <c r="W717">
        <v>44</v>
      </c>
      <c r="X717">
        <v>0</v>
      </c>
    </row>
    <row r="718" spans="1:24" x14ac:dyDescent="0.35">
      <c r="A718" t="s">
        <v>8</v>
      </c>
      <c r="B718" t="s">
        <v>9</v>
      </c>
      <c r="C718" t="str">
        <f t="shared" si="100"/>
        <v>11252</v>
      </c>
      <c r="D718" t="s">
        <v>14</v>
      </c>
      <c r="E718" t="str">
        <f t="shared" si="101"/>
        <v>29</v>
      </c>
      <c r="F718">
        <v>49717</v>
      </c>
      <c r="G718">
        <v>44678</v>
      </c>
      <c r="H718">
        <v>2069</v>
      </c>
      <c r="I718" t="str">
        <f t="shared" si="98"/>
        <v>3</v>
      </c>
      <c r="J718" t="str">
        <f t="shared" si="99"/>
        <v>CD&amp;V</v>
      </c>
      <c r="K718">
        <v>713</v>
      </c>
      <c r="L718">
        <v>1790</v>
      </c>
      <c r="M718">
        <v>2503</v>
      </c>
      <c r="N718">
        <v>1252</v>
      </c>
      <c r="O718">
        <v>1</v>
      </c>
      <c r="P718" t="str">
        <f>("26")</f>
        <v>26</v>
      </c>
      <c r="Q718" t="str">
        <f>("THEYSSENS Martin")</f>
        <v>THEYSSENS Martin</v>
      </c>
      <c r="R718">
        <v>35</v>
      </c>
      <c r="S718" t="s">
        <v>44</v>
      </c>
      <c r="T718">
        <v>0</v>
      </c>
      <c r="V718">
        <v>27</v>
      </c>
      <c r="W718">
        <v>35</v>
      </c>
      <c r="X718">
        <v>0</v>
      </c>
    </row>
    <row r="719" spans="1:24" x14ac:dyDescent="0.35">
      <c r="A719" t="s">
        <v>8</v>
      </c>
      <c r="B719" t="s">
        <v>9</v>
      </c>
      <c r="C719" t="str">
        <f t="shared" si="100"/>
        <v>11252</v>
      </c>
      <c r="D719" t="s">
        <v>14</v>
      </c>
      <c r="E719" t="str">
        <f t="shared" si="101"/>
        <v>29</v>
      </c>
      <c r="F719">
        <v>49717</v>
      </c>
      <c r="G719">
        <v>44678</v>
      </c>
      <c r="H719">
        <v>2069</v>
      </c>
      <c r="I719" t="str">
        <f t="shared" si="98"/>
        <v>3</v>
      </c>
      <c r="J719" t="str">
        <f t="shared" si="99"/>
        <v>CD&amp;V</v>
      </c>
      <c r="K719">
        <v>713</v>
      </c>
      <c r="L719">
        <v>1790</v>
      </c>
      <c r="M719">
        <v>2503</v>
      </c>
      <c r="N719">
        <v>1252</v>
      </c>
      <c r="O719">
        <v>1</v>
      </c>
      <c r="P719" t="str">
        <f>("27")</f>
        <v>27</v>
      </c>
      <c r="Q719" t="str">
        <f>("KARENGERA Marie Gloriose")</f>
        <v>KARENGERA Marie Gloriose</v>
      </c>
      <c r="R719">
        <v>42</v>
      </c>
      <c r="S719" t="s">
        <v>44</v>
      </c>
      <c r="T719">
        <v>0</v>
      </c>
      <c r="V719">
        <v>22</v>
      </c>
      <c r="W719">
        <v>42</v>
      </c>
      <c r="X719">
        <v>0</v>
      </c>
    </row>
    <row r="720" spans="1:24" x14ac:dyDescent="0.35">
      <c r="A720" t="s">
        <v>8</v>
      </c>
      <c r="B720" t="s">
        <v>9</v>
      </c>
      <c r="C720" t="str">
        <f t="shared" si="100"/>
        <v>11252</v>
      </c>
      <c r="D720" t="s">
        <v>14</v>
      </c>
      <c r="E720" t="str">
        <f t="shared" si="101"/>
        <v>29</v>
      </c>
      <c r="F720">
        <v>49717</v>
      </c>
      <c r="G720">
        <v>44678</v>
      </c>
      <c r="H720">
        <v>2069</v>
      </c>
      <c r="I720" t="str">
        <f t="shared" si="98"/>
        <v>3</v>
      </c>
      <c r="J720" t="str">
        <f t="shared" si="99"/>
        <v>CD&amp;V</v>
      </c>
      <c r="K720">
        <v>713</v>
      </c>
      <c r="L720">
        <v>1790</v>
      </c>
      <c r="M720">
        <v>2503</v>
      </c>
      <c r="N720">
        <v>1252</v>
      </c>
      <c r="O720">
        <v>1</v>
      </c>
      <c r="P720" t="str">
        <f>("28")</f>
        <v>28</v>
      </c>
      <c r="Q720" t="str">
        <f>("BLOKLAND Didier")</f>
        <v>BLOKLAND Didier</v>
      </c>
      <c r="R720">
        <v>42</v>
      </c>
      <c r="S720" t="s">
        <v>44</v>
      </c>
      <c r="T720">
        <v>0</v>
      </c>
      <c r="V720">
        <v>23</v>
      </c>
      <c r="W720">
        <v>42</v>
      </c>
      <c r="X720">
        <v>0</v>
      </c>
    </row>
    <row r="721" spans="1:24" x14ac:dyDescent="0.35">
      <c r="A721" t="s">
        <v>8</v>
      </c>
      <c r="B721" t="s">
        <v>9</v>
      </c>
      <c r="C721" t="str">
        <f t="shared" si="100"/>
        <v>11252</v>
      </c>
      <c r="D721" t="s">
        <v>14</v>
      </c>
      <c r="E721" t="str">
        <f t="shared" si="101"/>
        <v>29</v>
      </c>
      <c r="F721">
        <v>49717</v>
      </c>
      <c r="G721">
        <v>44678</v>
      </c>
      <c r="H721">
        <v>2069</v>
      </c>
      <c r="I721" t="str">
        <f t="shared" si="98"/>
        <v>3</v>
      </c>
      <c r="J721" t="str">
        <f t="shared" si="99"/>
        <v>CD&amp;V</v>
      </c>
      <c r="K721">
        <v>713</v>
      </c>
      <c r="L721">
        <v>1790</v>
      </c>
      <c r="M721">
        <v>2503</v>
      </c>
      <c r="N721">
        <v>1252</v>
      </c>
      <c r="O721">
        <v>1</v>
      </c>
      <c r="P721" t="str">
        <f>("29")</f>
        <v>29</v>
      </c>
      <c r="Q721" t="str">
        <f>("VAN DOOREN Ariane")</f>
        <v>VAN DOOREN Ariane</v>
      </c>
      <c r="R721">
        <v>232</v>
      </c>
      <c r="S721" t="s">
        <v>44</v>
      </c>
      <c r="T721">
        <v>0</v>
      </c>
      <c r="V721">
        <v>2</v>
      </c>
      <c r="W721">
        <v>232</v>
      </c>
      <c r="X721">
        <v>0</v>
      </c>
    </row>
    <row r="722" spans="1:24" x14ac:dyDescent="0.35">
      <c r="A722" t="s">
        <v>8</v>
      </c>
      <c r="B722" t="s">
        <v>9</v>
      </c>
      <c r="C722" t="str">
        <f t="shared" si="100"/>
        <v>11252</v>
      </c>
      <c r="D722" t="s">
        <v>14</v>
      </c>
      <c r="E722" t="str">
        <f t="shared" si="101"/>
        <v>29</v>
      </c>
      <c r="F722">
        <v>49717</v>
      </c>
      <c r="G722">
        <v>44678</v>
      </c>
      <c r="H722">
        <v>2069</v>
      </c>
      <c r="I722" t="str">
        <f t="shared" ref="I722:I750" si="102">("4")</f>
        <v>4</v>
      </c>
      <c r="J722" t="str">
        <f t="shared" ref="J722:J750" si="103">("Groen")</f>
        <v>Groen</v>
      </c>
      <c r="K722">
        <v>2541</v>
      </c>
      <c r="L722">
        <v>4950</v>
      </c>
      <c r="M722">
        <v>7491</v>
      </c>
      <c r="N722">
        <v>6243</v>
      </c>
      <c r="O722">
        <v>5</v>
      </c>
      <c r="P722" t="str">
        <f>("1")</f>
        <v>1</v>
      </c>
      <c r="Q722" t="str">
        <f>("MAES Karen")</f>
        <v>MAES Karen</v>
      </c>
      <c r="R722">
        <v>1694</v>
      </c>
      <c r="S722">
        <v>5929</v>
      </c>
      <c r="T722">
        <v>0</v>
      </c>
      <c r="U722">
        <v>1</v>
      </c>
    </row>
    <row r="723" spans="1:24" x14ac:dyDescent="0.35">
      <c r="A723" t="s">
        <v>8</v>
      </c>
      <c r="B723" t="s">
        <v>9</v>
      </c>
      <c r="C723" t="str">
        <f t="shared" si="100"/>
        <v>11252</v>
      </c>
      <c r="D723" t="s">
        <v>14</v>
      </c>
      <c r="E723" t="str">
        <f t="shared" si="101"/>
        <v>29</v>
      </c>
      <c r="F723">
        <v>49717</v>
      </c>
      <c r="G723">
        <v>44678</v>
      </c>
      <c r="H723">
        <v>2069</v>
      </c>
      <c r="I723" t="str">
        <f t="shared" si="102"/>
        <v>4</v>
      </c>
      <c r="J723" t="str">
        <f t="shared" si="103"/>
        <v>Groen</v>
      </c>
      <c r="K723">
        <v>2541</v>
      </c>
      <c r="L723">
        <v>4950</v>
      </c>
      <c r="M723">
        <v>7491</v>
      </c>
      <c r="N723">
        <v>6243</v>
      </c>
      <c r="O723">
        <v>5</v>
      </c>
      <c r="P723" t="str">
        <f>("2")</f>
        <v>2</v>
      </c>
      <c r="Q723" t="str">
        <f>("POST Mathijs")</f>
        <v>POST Mathijs</v>
      </c>
      <c r="R723">
        <v>266</v>
      </c>
      <c r="S723" t="s">
        <v>44</v>
      </c>
      <c r="T723">
        <v>0</v>
      </c>
      <c r="V723">
        <v>1</v>
      </c>
      <c r="W723">
        <v>4501</v>
      </c>
      <c r="X723">
        <v>0</v>
      </c>
    </row>
    <row r="724" spans="1:24" x14ac:dyDescent="0.35">
      <c r="A724" t="s">
        <v>8</v>
      </c>
      <c r="B724" t="s">
        <v>9</v>
      </c>
      <c r="C724" t="str">
        <f t="shared" si="100"/>
        <v>11252</v>
      </c>
      <c r="D724" t="s">
        <v>14</v>
      </c>
      <c r="E724" t="str">
        <f t="shared" si="101"/>
        <v>29</v>
      </c>
      <c r="F724">
        <v>49717</v>
      </c>
      <c r="G724">
        <v>44678</v>
      </c>
      <c r="H724">
        <v>2069</v>
      </c>
      <c r="I724" t="str">
        <f t="shared" si="102"/>
        <v>4</v>
      </c>
      <c r="J724" t="str">
        <f t="shared" si="103"/>
        <v>Groen</v>
      </c>
      <c r="K724">
        <v>2541</v>
      </c>
      <c r="L724">
        <v>4950</v>
      </c>
      <c r="M724">
        <v>7491</v>
      </c>
      <c r="N724">
        <v>6243</v>
      </c>
      <c r="O724">
        <v>5</v>
      </c>
      <c r="P724" t="str">
        <f>("3")</f>
        <v>3</v>
      </c>
      <c r="Q724" t="str">
        <f>("CHIRINOS SAAVEDRA Giuliana")</f>
        <v>CHIRINOS SAAVEDRA Giuliana</v>
      </c>
      <c r="R724">
        <v>420</v>
      </c>
      <c r="S724" t="s">
        <v>44</v>
      </c>
      <c r="T724">
        <v>0</v>
      </c>
      <c r="V724">
        <v>3</v>
      </c>
      <c r="W724">
        <v>420</v>
      </c>
      <c r="X724">
        <v>0</v>
      </c>
    </row>
    <row r="725" spans="1:24" x14ac:dyDescent="0.35">
      <c r="A725" t="s">
        <v>8</v>
      </c>
      <c r="B725" t="s">
        <v>9</v>
      </c>
      <c r="C725" t="str">
        <f t="shared" si="100"/>
        <v>11252</v>
      </c>
      <c r="D725" t="s">
        <v>14</v>
      </c>
      <c r="E725" t="str">
        <f t="shared" si="101"/>
        <v>29</v>
      </c>
      <c r="F725">
        <v>49717</v>
      </c>
      <c r="G725">
        <v>44678</v>
      </c>
      <c r="H725">
        <v>2069</v>
      </c>
      <c r="I725" t="str">
        <f t="shared" si="102"/>
        <v>4</v>
      </c>
      <c r="J725" t="str">
        <f t="shared" si="103"/>
        <v>Groen</v>
      </c>
      <c r="K725">
        <v>2541</v>
      </c>
      <c r="L725">
        <v>4950</v>
      </c>
      <c r="M725">
        <v>7491</v>
      </c>
      <c r="N725">
        <v>6243</v>
      </c>
      <c r="O725">
        <v>5</v>
      </c>
      <c r="P725" t="str">
        <f>("4")</f>
        <v>4</v>
      </c>
      <c r="Q725" t="str">
        <f>("HALILI Arbër")</f>
        <v>HALILI Arbër</v>
      </c>
      <c r="R725">
        <v>455</v>
      </c>
      <c r="S725">
        <v>455</v>
      </c>
      <c r="T725">
        <v>0</v>
      </c>
      <c r="U725">
        <v>4</v>
      </c>
    </row>
    <row r="726" spans="1:24" x14ac:dyDescent="0.35">
      <c r="A726" t="s">
        <v>8</v>
      </c>
      <c r="B726" t="s">
        <v>9</v>
      </c>
      <c r="C726" t="str">
        <f t="shared" si="100"/>
        <v>11252</v>
      </c>
      <c r="D726" t="s">
        <v>14</v>
      </c>
      <c r="E726" t="str">
        <f t="shared" si="101"/>
        <v>29</v>
      </c>
      <c r="F726">
        <v>49717</v>
      </c>
      <c r="G726">
        <v>44678</v>
      </c>
      <c r="H726">
        <v>2069</v>
      </c>
      <c r="I726" t="str">
        <f t="shared" si="102"/>
        <v>4</v>
      </c>
      <c r="J726" t="str">
        <f t="shared" si="103"/>
        <v>Groen</v>
      </c>
      <c r="K726">
        <v>2541</v>
      </c>
      <c r="L726">
        <v>4950</v>
      </c>
      <c r="M726">
        <v>7491</v>
      </c>
      <c r="N726">
        <v>6243</v>
      </c>
      <c r="O726">
        <v>5</v>
      </c>
      <c r="P726" t="str">
        <f>("5")</f>
        <v>5</v>
      </c>
      <c r="Q726" t="str">
        <f>("HUGENS Skrolan")</f>
        <v>HUGENS Skrolan</v>
      </c>
      <c r="R726">
        <v>341</v>
      </c>
      <c r="S726" t="s">
        <v>44</v>
      </c>
      <c r="T726">
        <v>0</v>
      </c>
      <c r="V726">
        <v>5</v>
      </c>
      <c r="W726">
        <v>341</v>
      </c>
      <c r="X726">
        <v>0</v>
      </c>
    </row>
    <row r="727" spans="1:24" x14ac:dyDescent="0.35">
      <c r="A727" t="s">
        <v>8</v>
      </c>
      <c r="B727" t="s">
        <v>9</v>
      </c>
      <c r="C727" t="str">
        <f t="shared" si="100"/>
        <v>11252</v>
      </c>
      <c r="D727" t="s">
        <v>14</v>
      </c>
      <c r="E727" t="str">
        <f t="shared" si="101"/>
        <v>29</v>
      </c>
      <c r="F727">
        <v>49717</v>
      </c>
      <c r="G727">
        <v>44678</v>
      </c>
      <c r="H727">
        <v>2069</v>
      </c>
      <c r="I727" t="str">
        <f t="shared" si="102"/>
        <v>4</v>
      </c>
      <c r="J727" t="str">
        <f t="shared" si="103"/>
        <v>Groen</v>
      </c>
      <c r="K727">
        <v>2541</v>
      </c>
      <c r="L727">
        <v>4950</v>
      </c>
      <c r="M727">
        <v>7491</v>
      </c>
      <c r="N727">
        <v>6243</v>
      </c>
      <c r="O727">
        <v>5</v>
      </c>
      <c r="P727" t="str">
        <f>("6")</f>
        <v>6</v>
      </c>
      <c r="Q727" t="str">
        <f>("VAN SEVEREN Elke")</f>
        <v>VAN SEVEREN Elke</v>
      </c>
      <c r="R727">
        <v>433</v>
      </c>
      <c r="S727">
        <v>433</v>
      </c>
      <c r="T727">
        <v>0</v>
      </c>
      <c r="U727">
        <v>5</v>
      </c>
    </row>
    <row r="728" spans="1:24" x14ac:dyDescent="0.35">
      <c r="A728" t="s">
        <v>8</v>
      </c>
      <c r="B728" t="s">
        <v>9</v>
      </c>
      <c r="C728" t="str">
        <f t="shared" si="100"/>
        <v>11252</v>
      </c>
      <c r="D728" t="s">
        <v>14</v>
      </c>
      <c r="E728" t="str">
        <f t="shared" si="101"/>
        <v>29</v>
      </c>
      <c r="F728">
        <v>49717</v>
      </c>
      <c r="G728">
        <v>44678</v>
      </c>
      <c r="H728">
        <v>2069</v>
      </c>
      <c r="I728" t="str">
        <f t="shared" si="102"/>
        <v>4</v>
      </c>
      <c r="J728" t="str">
        <f t="shared" si="103"/>
        <v>Groen</v>
      </c>
      <c r="K728">
        <v>2541</v>
      </c>
      <c r="L728">
        <v>4950</v>
      </c>
      <c r="M728">
        <v>7491</v>
      </c>
      <c r="N728">
        <v>6243</v>
      </c>
      <c r="O728">
        <v>5</v>
      </c>
      <c r="P728" t="str">
        <f>("7")</f>
        <v>7</v>
      </c>
      <c r="Q728" t="str">
        <f>("VAN BOCKSTAL Steven")</f>
        <v>VAN BOCKSTAL Steven</v>
      </c>
      <c r="R728">
        <v>252</v>
      </c>
      <c r="S728" t="s">
        <v>44</v>
      </c>
      <c r="T728">
        <v>0</v>
      </c>
      <c r="V728">
        <v>7</v>
      </c>
      <c r="W728">
        <v>252</v>
      </c>
      <c r="X728">
        <v>0</v>
      </c>
    </row>
    <row r="729" spans="1:24" x14ac:dyDescent="0.35">
      <c r="A729" t="s">
        <v>8</v>
      </c>
      <c r="B729" t="s">
        <v>9</v>
      </c>
      <c r="C729" t="str">
        <f t="shared" si="100"/>
        <v>11252</v>
      </c>
      <c r="D729" t="s">
        <v>14</v>
      </c>
      <c r="E729" t="str">
        <f t="shared" si="101"/>
        <v>29</v>
      </c>
      <c r="F729">
        <v>49717</v>
      </c>
      <c r="G729">
        <v>44678</v>
      </c>
      <c r="H729">
        <v>2069</v>
      </c>
      <c r="I729" t="str">
        <f t="shared" si="102"/>
        <v>4</v>
      </c>
      <c r="J729" t="str">
        <f t="shared" si="103"/>
        <v>Groen</v>
      </c>
      <c r="K729">
        <v>2541</v>
      </c>
      <c r="L729">
        <v>4950</v>
      </c>
      <c r="M729">
        <v>7491</v>
      </c>
      <c r="N729">
        <v>6243</v>
      </c>
      <c r="O729">
        <v>5</v>
      </c>
      <c r="P729" t="str">
        <f>("8")</f>
        <v>8</v>
      </c>
      <c r="Q729" t="str">
        <f>("KONE Gentiana")</f>
        <v>KONE Gentiana</v>
      </c>
      <c r="R729">
        <v>164</v>
      </c>
      <c r="S729" t="s">
        <v>44</v>
      </c>
      <c r="T729">
        <v>0</v>
      </c>
      <c r="V729">
        <v>11</v>
      </c>
      <c r="W729">
        <v>164</v>
      </c>
      <c r="X729">
        <v>0</v>
      </c>
    </row>
    <row r="730" spans="1:24" x14ac:dyDescent="0.35">
      <c r="A730" t="s">
        <v>8</v>
      </c>
      <c r="B730" t="s">
        <v>9</v>
      </c>
      <c r="C730" t="str">
        <f t="shared" si="100"/>
        <v>11252</v>
      </c>
      <c r="D730" t="s">
        <v>14</v>
      </c>
      <c r="E730" t="str">
        <f t="shared" si="101"/>
        <v>29</v>
      </c>
      <c r="F730">
        <v>49717</v>
      </c>
      <c r="G730">
        <v>44678</v>
      </c>
      <c r="H730">
        <v>2069</v>
      </c>
      <c r="I730" t="str">
        <f t="shared" si="102"/>
        <v>4</v>
      </c>
      <c r="J730" t="str">
        <f t="shared" si="103"/>
        <v>Groen</v>
      </c>
      <c r="K730">
        <v>2541</v>
      </c>
      <c r="L730">
        <v>4950</v>
      </c>
      <c r="M730">
        <v>7491</v>
      </c>
      <c r="N730">
        <v>6243</v>
      </c>
      <c r="O730">
        <v>5</v>
      </c>
      <c r="P730" t="str">
        <f>("9")</f>
        <v>9</v>
      </c>
      <c r="Q730" t="str">
        <f>("VAN DE POEL Peter")</f>
        <v>VAN DE POEL Peter</v>
      </c>
      <c r="R730">
        <v>164</v>
      </c>
      <c r="S730" t="s">
        <v>44</v>
      </c>
      <c r="T730">
        <v>0</v>
      </c>
      <c r="V730">
        <v>12</v>
      </c>
      <c r="W730">
        <v>164</v>
      </c>
      <c r="X730">
        <v>0</v>
      </c>
    </row>
    <row r="731" spans="1:24" x14ac:dyDescent="0.35">
      <c r="A731" t="s">
        <v>8</v>
      </c>
      <c r="B731" t="s">
        <v>9</v>
      </c>
      <c r="C731" t="str">
        <f t="shared" si="100"/>
        <v>11252</v>
      </c>
      <c r="D731" t="s">
        <v>14</v>
      </c>
      <c r="E731" t="str">
        <f t="shared" si="101"/>
        <v>29</v>
      </c>
      <c r="F731">
        <v>49717</v>
      </c>
      <c r="G731">
        <v>44678</v>
      </c>
      <c r="H731">
        <v>2069</v>
      </c>
      <c r="I731" t="str">
        <f t="shared" si="102"/>
        <v>4</v>
      </c>
      <c r="J731" t="str">
        <f t="shared" si="103"/>
        <v>Groen</v>
      </c>
      <c r="K731">
        <v>2541</v>
      </c>
      <c r="L731">
        <v>4950</v>
      </c>
      <c r="M731">
        <v>7491</v>
      </c>
      <c r="N731">
        <v>6243</v>
      </c>
      <c r="O731">
        <v>5</v>
      </c>
      <c r="P731" t="str">
        <f>("10")</f>
        <v>10</v>
      </c>
      <c r="Q731" t="str">
        <f>("DE WINTER Steven")</f>
        <v>DE WINTER Steven</v>
      </c>
      <c r="R731">
        <v>164</v>
      </c>
      <c r="S731" t="s">
        <v>44</v>
      </c>
      <c r="T731">
        <v>0</v>
      </c>
      <c r="V731">
        <v>13</v>
      </c>
      <c r="W731">
        <v>164</v>
      </c>
      <c r="X731">
        <v>0</v>
      </c>
    </row>
    <row r="732" spans="1:24" x14ac:dyDescent="0.35">
      <c r="A732" t="s">
        <v>8</v>
      </c>
      <c r="B732" t="s">
        <v>9</v>
      </c>
      <c r="C732" t="str">
        <f t="shared" si="100"/>
        <v>11252</v>
      </c>
      <c r="D732" t="s">
        <v>14</v>
      </c>
      <c r="E732" t="str">
        <f t="shared" si="101"/>
        <v>29</v>
      </c>
      <c r="F732">
        <v>49717</v>
      </c>
      <c r="G732">
        <v>44678</v>
      </c>
      <c r="H732">
        <v>2069</v>
      </c>
      <c r="I732" t="str">
        <f t="shared" si="102"/>
        <v>4</v>
      </c>
      <c r="J732" t="str">
        <f t="shared" si="103"/>
        <v>Groen</v>
      </c>
      <c r="K732">
        <v>2541</v>
      </c>
      <c r="L732">
        <v>4950</v>
      </c>
      <c r="M732">
        <v>7491</v>
      </c>
      <c r="N732">
        <v>6243</v>
      </c>
      <c r="O732">
        <v>5</v>
      </c>
      <c r="P732" t="str">
        <f>("11")</f>
        <v>11</v>
      </c>
      <c r="Q732" t="str">
        <f>("BLOCKX Tony")</f>
        <v>BLOCKX Tony</v>
      </c>
      <c r="R732">
        <v>105</v>
      </c>
      <c r="S732" t="s">
        <v>44</v>
      </c>
      <c r="T732">
        <v>0</v>
      </c>
      <c r="V732">
        <v>24</v>
      </c>
      <c r="W732">
        <v>105</v>
      </c>
      <c r="X732">
        <v>0</v>
      </c>
    </row>
    <row r="733" spans="1:24" x14ac:dyDescent="0.35">
      <c r="A733" t="s">
        <v>8</v>
      </c>
      <c r="B733" t="s">
        <v>9</v>
      </c>
      <c r="C733" t="str">
        <f t="shared" si="100"/>
        <v>11252</v>
      </c>
      <c r="D733" t="s">
        <v>14</v>
      </c>
      <c r="E733" t="str">
        <f t="shared" si="101"/>
        <v>29</v>
      </c>
      <c r="F733">
        <v>49717</v>
      </c>
      <c r="G733">
        <v>44678</v>
      </c>
      <c r="H733">
        <v>2069</v>
      </c>
      <c r="I733" t="str">
        <f t="shared" si="102"/>
        <v>4</v>
      </c>
      <c r="J733" t="str">
        <f t="shared" si="103"/>
        <v>Groen</v>
      </c>
      <c r="K733">
        <v>2541</v>
      </c>
      <c r="L733">
        <v>4950</v>
      </c>
      <c r="M733">
        <v>7491</v>
      </c>
      <c r="N733">
        <v>6243</v>
      </c>
      <c r="O733">
        <v>5</v>
      </c>
      <c r="P733" t="str">
        <f>("12")</f>
        <v>12</v>
      </c>
      <c r="Q733" t="str">
        <f>("LEVANDESI Marco")</f>
        <v>LEVANDESI Marco</v>
      </c>
      <c r="R733">
        <v>114</v>
      </c>
      <c r="S733" t="s">
        <v>44</v>
      </c>
      <c r="T733">
        <v>0</v>
      </c>
      <c r="V733">
        <v>22</v>
      </c>
      <c r="W733">
        <v>114</v>
      </c>
      <c r="X733">
        <v>0</v>
      </c>
    </row>
    <row r="734" spans="1:24" x14ac:dyDescent="0.35">
      <c r="A734" t="s">
        <v>8</v>
      </c>
      <c r="B734" t="s">
        <v>9</v>
      </c>
      <c r="C734" t="str">
        <f t="shared" si="100"/>
        <v>11252</v>
      </c>
      <c r="D734" t="s">
        <v>14</v>
      </c>
      <c r="E734" t="str">
        <f t="shared" si="101"/>
        <v>29</v>
      </c>
      <c r="F734">
        <v>49717</v>
      </c>
      <c r="G734">
        <v>44678</v>
      </c>
      <c r="H734">
        <v>2069</v>
      </c>
      <c r="I734" t="str">
        <f t="shared" si="102"/>
        <v>4</v>
      </c>
      <c r="J734" t="str">
        <f t="shared" si="103"/>
        <v>Groen</v>
      </c>
      <c r="K734">
        <v>2541</v>
      </c>
      <c r="L734">
        <v>4950</v>
      </c>
      <c r="M734">
        <v>7491</v>
      </c>
      <c r="N734">
        <v>6243</v>
      </c>
      <c r="O734">
        <v>5</v>
      </c>
      <c r="P734" t="str">
        <f>("13")</f>
        <v>13</v>
      </c>
      <c r="Q734" t="str">
        <f>("LACROIX Michel")</f>
        <v>LACROIX Michel</v>
      </c>
      <c r="R734">
        <v>125</v>
      </c>
      <c r="S734" t="s">
        <v>44</v>
      </c>
      <c r="T734">
        <v>0</v>
      </c>
      <c r="V734">
        <v>20</v>
      </c>
      <c r="W734">
        <v>125</v>
      </c>
      <c r="X734">
        <v>0</v>
      </c>
    </row>
    <row r="735" spans="1:24" x14ac:dyDescent="0.35">
      <c r="A735" t="s">
        <v>8</v>
      </c>
      <c r="B735" t="s">
        <v>9</v>
      </c>
      <c r="C735" t="str">
        <f t="shared" si="100"/>
        <v>11252</v>
      </c>
      <c r="D735" t="s">
        <v>14</v>
      </c>
      <c r="E735" t="str">
        <f t="shared" si="101"/>
        <v>29</v>
      </c>
      <c r="F735">
        <v>49717</v>
      </c>
      <c r="G735">
        <v>44678</v>
      </c>
      <c r="H735">
        <v>2069</v>
      </c>
      <c r="I735" t="str">
        <f t="shared" si="102"/>
        <v>4</v>
      </c>
      <c r="J735" t="str">
        <f t="shared" si="103"/>
        <v>Groen</v>
      </c>
      <c r="K735">
        <v>2541</v>
      </c>
      <c r="L735">
        <v>4950</v>
      </c>
      <c r="M735">
        <v>7491</v>
      </c>
      <c r="N735">
        <v>6243</v>
      </c>
      <c r="O735">
        <v>5</v>
      </c>
      <c r="P735" t="str">
        <f>("14")</f>
        <v>14</v>
      </c>
      <c r="Q735" t="str">
        <f>("OKEMWA Stella Nyanchama")</f>
        <v>OKEMWA Stella Nyanchama</v>
      </c>
      <c r="R735">
        <v>213</v>
      </c>
      <c r="S735" t="s">
        <v>44</v>
      </c>
      <c r="T735">
        <v>0</v>
      </c>
      <c r="V735">
        <v>9</v>
      </c>
      <c r="W735">
        <v>213</v>
      </c>
      <c r="X735">
        <v>0</v>
      </c>
    </row>
    <row r="736" spans="1:24" x14ac:dyDescent="0.35">
      <c r="A736" t="s">
        <v>8</v>
      </c>
      <c r="B736" t="s">
        <v>9</v>
      </c>
      <c r="C736" t="str">
        <f t="shared" si="100"/>
        <v>11252</v>
      </c>
      <c r="D736" t="s">
        <v>14</v>
      </c>
      <c r="E736" t="str">
        <f t="shared" si="101"/>
        <v>29</v>
      </c>
      <c r="F736">
        <v>49717</v>
      </c>
      <c r="G736">
        <v>44678</v>
      </c>
      <c r="H736">
        <v>2069</v>
      </c>
      <c r="I736" t="str">
        <f t="shared" si="102"/>
        <v>4</v>
      </c>
      <c r="J736" t="str">
        <f t="shared" si="103"/>
        <v>Groen</v>
      </c>
      <c r="K736">
        <v>2541</v>
      </c>
      <c r="L736">
        <v>4950</v>
      </c>
      <c r="M736">
        <v>7491</v>
      </c>
      <c r="N736">
        <v>6243</v>
      </c>
      <c r="O736">
        <v>5</v>
      </c>
      <c r="P736" t="str">
        <f>("15")</f>
        <v>15</v>
      </c>
      <c r="Q736" t="str">
        <f>("NAWABI Hakim")</f>
        <v>NAWABI Hakim</v>
      </c>
      <c r="R736">
        <v>424</v>
      </c>
      <c r="S736" t="s">
        <v>44</v>
      </c>
      <c r="T736">
        <v>0</v>
      </c>
      <c r="V736">
        <v>2</v>
      </c>
      <c r="W736">
        <v>424</v>
      </c>
      <c r="X736">
        <v>0</v>
      </c>
    </row>
    <row r="737" spans="1:24" x14ac:dyDescent="0.35">
      <c r="A737" t="s">
        <v>8</v>
      </c>
      <c r="B737" t="s">
        <v>9</v>
      </c>
      <c r="C737" t="str">
        <f t="shared" si="100"/>
        <v>11252</v>
      </c>
      <c r="D737" t="s">
        <v>14</v>
      </c>
      <c r="E737" t="str">
        <f t="shared" si="101"/>
        <v>29</v>
      </c>
      <c r="F737">
        <v>49717</v>
      </c>
      <c r="G737">
        <v>44678</v>
      </c>
      <c r="H737">
        <v>2069</v>
      </c>
      <c r="I737" t="str">
        <f t="shared" si="102"/>
        <v>4</v>
      </c>
      <c r="J737" t="str">
        <f t="shared" si="103"/>
        <v>Groen</v>
      </c>
      <c r="K737">
        <v>2541</v>
      </c>
      <c r="L737">
        <v>4950</v>
      </c>
      <c r="M737">
        <v>7491</v>
      </c>
      <c r="N737">
        <v>6243</v>
      </c>
      <c r="O737">
        <v>5</v>
      </c>
      <c r="P737" t="str">
        <f>("16")</f>
        <v>16</v>
      </c>
      <c r="Q737" t="str">
        <f>("VOGELS Mieke")</f>
        <v>VOGELS Mieke</v>
      </c>
      <c r="R737">
        <v>652</v>
      </c>
      <c r="S737">
        <v>652</v>
      </c>
      <c r="T737">
        <v>0</v>
      </c>
      <c r="U737">
        <v>3</v>
      </c>
    </row>
    <row r="738" spans="1:24" x14ac:dyDescent="0.35">
      <c r="A738" t="s">
        <v>8</v>
      </c>
      <c r="B738" t="s">
        <v>9</v>
      </c>
      <c r="C738" t="str">
        <f t="shared" si="100"/>
        <v>11252</v>
      </c>
      <c r="D738" t="s">
        <v>14</v>
      </c>
      <c r="E738" t="str">
        <f t="shared" si="101"/>
        <v>29</v>
      </c>
      <c r="F738">
        <v>49717</v>
      </c>
      <c r="G738">
        <v>44678</v>
      </c>
      <c r="H738">
        <v>2069</v>
      </c>
      <c r="I738" t="str">
        <f t="shared" si="102"/>
        <v>4</v>
      </c>
      <c r="J738" t="str">
        <f t="shared" si="103"/>
        <v>Groen</v>
      </c>
      <c r="K738">
        <v>2541</v>
      </c>
      <c r="L738">
        <v>4950</v>
      </c>
      <c r="M738">
        <v>7491</v>
      </c>
      <c r="N738">
        <v>6243</v>
      </c>
      <c r="O738">
        <v>5</v>
      </c>
      <c r="P738" t="str">
        <f>("17")</f>
        <v>17</v>
      </c>
      <c r="Q738" t="str">
        <f>("VERBRUGGEN Ciel")</f>
        <v>VERBRUGGEN Ciel</v>
      </c>
      <c r="R738">
        <v>149</v>
      </c>
      <c r="S738" t="s">
        <v>44</v>
      </c>
      <c r="T738">
        <v>0</v>
      </c>
      <c r="V738">
        <v>16</v>
      </c>
      <c r="W738">
        <v>149</v>
      </c>
      <c r="X738">
        <v>0</v>
      </c>
    </row>
    <row r="739" spans="1:24" x14ac:dyDescent="0.35">
      <c r="A739" t="s">
        <v>8</v>
      </c>
      <c r="B739" t="s">
        <v>9</v>
      </c>
      <c r="C739" t="str">
        <f t="shared" si="100"/>
        <v>11252</v>
      </c>
      <c r="D739" t="s">
        <v>14</v>
      </c>
      <c r="E739" t="str">
        <f t="shared" si="101"/>
        <v>29</v>
      </c>
      <c r="F739">
        <v>49717</v>
      </c>
      <c r="G739">
        <v>44678</v>
      </c>
      <c r="H739">
        <v>2069</v>
      </c>
      <c r="I739" t="str">
        <f t="shared" si="102"/>
        <v>4</v>
      </c>
      <c r="J739" t="str">
        <f t="shared" si="103"/>
        <v>Groen</v>
      </c>
      <c r="K739">
        <v>2541</v>
      </c>
      <c r="L739">
        <v>4950</v>
      </c>
      <c r="M739">
        <v>7491</v>
      </c>
      <c r="N739">
        <v>6243</v>
      </c>
      <c r="O739">
        <v>5</v>
      </c>
      <c r="P739" t="str">
        <f>("18")</f>
        <v>18</v>
      </c>
      <c r="Q739" t="str">
        <f>("REYNDERS Lieve")</f>
        <v>REYNDERS Lieve</v>
      </c>
      <c r="R739">
        <v>138</v>
      </c>
      <c r="S739" t="s">
        <v>44</v>
      </c>
      <c r="T739">
        <v>0</v>
      </c>
      <c r="V739">
        <v>17</v>
      </c>
      <c r="W739">
        <v>138</v>
      </c>
      <c r="X739">
        <v>0</v>
      </c>
    </row>
    <row r="740" spans="1:24" x14ac:dyDescent="0.35">
      <c r="A740" t="s">
        <v>8</v>
      </c>
      <c r="B740" t="s">
        <v>9</v>
      </c>
      <c r="C740" t="str">
        <f t="shared" si="100"/>
        <v>11252</v>
      </c>
      <c r="D740" t="s">
        <v>14</v>
      </c>
      <c r="E740" t="str">
        <f t="shared" si="101"/>
        <v>29</v>
      </c>
      <c r="F740">
        <v>49717</v>
      </c>
      <c r="G740">
        <v>44678</v>
      </c>
      <c r="H740">
        <v>2069</v>
      </c>
      <c r="I740" t="str">
        <f t="shared" si="102"/>
        <v>4</v>
      </c>
      <c r="J740" t="str">
        <f t="shared" si="103"/>
        <v>Groen</v>
      </c>
      <c r="K740">
        <v>2541</v>
      </c>
      <c r="L740">
        <v>4950</v>
      </c>
      <c r="M740">
        <v>7491</v>
      </c>
      <c r="N740">
        <v>6243</v>
      </c>
      <c r="O740">
        <v>5</v>
      </c>
      <c r="P740" t="str">
        <f>("19")</f>
        <v>19</v>
      </c>
      <c r="Q740" t="str">
        <f>("VANHAVERBEKE Fred")</f>
        <v>VANHAVERBEKE Fred</v>
      </c>
      <c r="R740">
        <v>111</v>
      </c>
      <c r="S740" t="s">
        <v>44</v>
      </c>
      <c r="T740">
        <v>0</v>
      </c>
      <c r="V740">
        <v>23</v>
      </c>
      <c r="W740">
        <v>111</v>
      </c>
      <c r="X740">
        <v>0</v>
      </c>
    </row>
    <row r="741" spans="1:24" x14ac:dyDescent="0.35">
      <c r="A741" t="s">
        <v>8</v>
      </c>
      <c r="B741" t="s">
        <v>9</v>
      </c>
      <c r="C741" t="str">
        <f t="shared" si="100"/>
        <v>11252</v>
      </c>
      <c r="D741" t="s">
        <v>14</v>
      </c>
      <c r="E741" t="str">
        <f t="shared" si="101"/>
        <v>29</v>
      </c>
      <c r="F741">
        <v>49717</v>
      </c>
      <c r="G741">
        <v>44678</v>
      </c>
      <c r="H741">
        <v>2069</v>
      </c>
      <c r="I741" t="str">
        <f t="shared" si="102"/>
        <v>4</v>
      </c>
      <c r="J741" t="str">
        <f t="shared" si="103"/>
        <v>Groen</v>
      </c>
      <c r="K741">
        <v>2541</v>
      </c>
      <c r="L741">
        <v>4950</v>
      </c>
      <c r="M741">
        <v>7491</v>
      </c>
      <c r="N741">
        <v>6243</v>
      </c>
      <c r="O741">
        <v>5</v>
      </c>
      <c r="P741" t="str">
        <f>("20")</f>
        <v>20</v>
      </c>
      <c r="Q741" t="str">
        <f>("BEKAERT Chris")</f>
        <v>BEKAERT Chris</v>
      </c>
      <c r="R741">
        <v>128</v>
      </c>
      <c r="S741" t="s">
        <v>44</v>
      </c>
      <c r="T741">
        <v>0</v>
      </c>
      <c r="V741">
        <v>18</v>
      </c>
      <c r="W741">
        <v>128</v>
      </c>
      <c r="X741">
        <v>0</v>
      </c>
    </row>
    <row r="742" spans="1:24" x14ac:dyDescent="0.35">
      <c r="A742" t="s">
        <v>8</v>
      </c>
      <c r="B742" t="s">
        <v>9</v>
      </c>
      <c r="C742" t="str">
        <f t="shared" si="100"/>
        <v>11252</v>
      </c>
      <c r="D742" t="s">
        <v>14</v>
      </c>
      <c r="E742" t="str">
        <f t="shared" si="101"/>
        <v>29</v>
      </c>
      <c r="F742">
        <v>49717</v>
      </c>
      <c r="G742">
        <v>44678</v>
      </c>
      <c r="H742">
        <v>2069</v>
      </c>
      <c r="I742" t="str">
        <f t="shared" si="102"/>
        <v>4</v>
      </c>
      <c r="J742" t="str">
        <f t="shared" si="103"/>
        <v>Groen</v>
      </c>
      <c r="K742">
        <v>2541</v>
      </c>
      <c r="L742">
        <v>4950</v>
      </c>
      <c r="M742">
        <v>7491</v>
      </c>
      <c r="N742">
        <v>6243</v>
      </c>
      <c r="O742">
        <v>5</v>
      </c>
      <c r="P742" t="str">
        <f>("21")</f>
        <v>21</v>
      </c>
      <c r="Q742" t="str">
        <f>("VAN DYCK Marc")</f>
        <v>VAN DYCK Marc</v>
      </c>
      <c r="R742">
        <v>118</v>
      </c>
      <c r="S742" t="s">
        <v>44</v>
      </c>
      <c r="T742">
        <v>0</v>
      </c>
      <c r="V742">
        <v>21</v>
      </c>
      <c r="W742">
        <v>118</v>
      </c>
      <c r="X742">
        <v>0</v>
      </c>
    </row>
    <row r="743" spans="1:24" x14ac:dyDescent="0.35">
      <c r="A743" t="s">
        <v>8</v>
      </c>
      <c r="B743" t="s">
        <v>9</v>
      </c>
      <c r="C743" t="str">
        <f t="shared" si="100"/>
        <v>11252</v>
      </c>
      <c r="D743" t="s">
        <v>14</v>
      </c>
      <c r="E743" t="str">
        <f t="shared" si="101"/>
        <v>29</v>
      </c>
      <c r="F743">
        <v>49717</v>
      </c>
      <c r="G743">
        <v>44678</v>
      </c>
      <c r="H743">
        <v>2069</v>
      </c>
      <c r="I743" t="str">
        <f t="shared" si="102"/>
        <v>4</v>
      </c>
      <c r="J743" t="str">
        <f t="shared" si="103"/>
        <v>Groen</v>
      </c>
      <c r="K743">
        <v>2541</v>
      </c>
      <c r="L743">
        <v>4950</v>
      </c>
      <c r="M743">
        <v>7491</v>
      </c>
      <c r="N743">
        <v>6243</v>
      </c>
      <c r="O743">
        <v>5</v>
      </c>
      <c r="P743" t="str">
        <f>("22")</f>
        <v>22</v>
      </c>
      <c r="Q743" t="str">
        <f>("VAN POELE Suzanne")</f>
        <v>VAN POELE Suzanne</v>
      </c>
      <c r="R743">
        <v>161</v>
      </c>
      <c r="S743" t="s">
        <v>44</v>
      </c>
      <c r="T743">
        <v>0</v>
      </c>
      <c r="V743">
        <v>14</v>
      </c>
      <c r="W743">
        <v>161</v>
      </c>
      <c r="X743">
        <v>0</v>
      </c>
    </row>
    <row r="744" spans="1:24" x14ac:dyDescent="0.35">
      <c r="A744" t="s">
        <v>8</v>
      </c>
      <c r="B744" t="s">
        <v>9</v>
      </c>
      <c r="C744" t="str">
        <f t="shared" si="100"/>
        <v>11252</v>
      </c>
      <c r="D744" t="s">
        <v>14</v>
      </c>
      <c r="E744" t="str">
        <f t="shared" si="101"/>
        <v>29</v>
      </c>
      <c r="F744">
        <v>49717</v>
      </c>
      <c r="G744">
        <v>44678</v>
      </c>
      <c r="H744">
        <v>2069</v>
      </c>
      <c r="I744" t="str">
        <f t="shared" si="102"/>
        <v>4</v>
      </c>
      <c r="J744" t="str">
        <f t="shared" si="103"/>
        <v>Groen</v>
      </c>
      <c r="K744">
        <v>2541</v>
      </c>
      <c r="L744">
        <v>4950</v>
      </c>
      <c r="M744">
        <v>7491</v>
      </c>
      <c r="N744">
        <v>6243</v>
      </c>
      <c r="O744">
        <v>5</v>
      </c>
      <c r="P744" t="str">
        <f>("23")</f>
        <v>23</v>
      </c>
      <c r="Q744" t="str">
        <f>("RYS Eva")</f>
        <v>RYS Eva</v>
      </c>
      <c r="R744">
        <v>186</v>
      </c>
      <c r="S744" t="s">
        <v>44</v>
      </c>
      <c r="T744">
        <v>0</v>
      </c>
      <c r="V744">
        <v>10</v>
      </c>
      <c r="W744">
        <v>186</v>
      </c>
      <c r="X744">
        <v>0</v>
      </c>
    </row>
    <row r="745" spans="1:24" x14ac:dyDescent="0.35">
      <c r="A745" t="s">
        <v>8</v>
      </c>
      <c r="B745" t="s">
        <v>9</v>
      </c>
      <c r="C745" t="str">
        <f t="shared" si="100"/>
        <v>11252</v>
      </c>
      <c r="D745" t="s">
        <v>14</v>
      </c>
      <c r="E745" t="str">
        <f t="shared" si="101"/>
        <v>29</v>
      </c>
      <c r="F745">
        <v>49717</v>
      </c>
      <c r="G745">
        <v>44678</v>
      </c>
      <c r="H745">
        <v>2069</v>
      </c>
      <c r="I745" t="str">
        <f t="shared" si="102"/>
        <v>4</v>
      </c>
      <c r="J745" t="str">
        <f t="shared" si="103"/>
        <v>Groen</v>
      </c>
      <c r="K745">
        <v>2541</v>
      </c>
      <c r="L745">
        <v>4950</v>
      </c>
      <c r="M745">
        <v>7491</v>
      </c>
      <c r="N745">
        <v>6243</v>
      </c>
      <c r="O745">
        <v>5</v>
      </c>
      <c r="P745" t="str">
        <f>("24")</f>
        <v>24</v>
      </c>
      <c r="Q745" t="str">
        <f>("MASEREEL Nick")</f>
        <v>MASEREEL Nick</v>
      </c>
      <c r="R745">
        <v>128</v>
      </c>
      <c r="S745" t="s">
        <v>44</v>
      </c>
      <c r="T745">
        <v>0</v>
      </c>
      <c r="V745">
        <v>19</v>
      </c>
      <c r="W745">
        <v>128</v>
      </c>
      <c r="X745">
        <v>0</v>
      </c>
    </row>
    <row r="746" spans="1:24" x14ac:dyDescent="0.35">
      <c r="A746" t="s">
        <v>8</v>
      </c>
      <c r="B746" t="s">
        <v>9</v>
      </c>
      <c r="C746" t="str">
        <f t="shared" si="100"/>
        <v>11252</v>
      </c>
      <c r="D746" t="s">
        <v>14</v>
      </c>
      <c r="E746" t="str">
        <f t="shared" si="101"/>
        <v>29</v>
      </c>
      <c r="F746">
        <v>49717</v>
      </c>
      <c r="G746">
        <v>44678</v>
      </c>
      <c r="H746">
        <v>2069</v>
      </c>
      <c r="I746" t="str">
        <f t="shared" si="102"/>
        <v>4</v>
      </c>
      <c r="J746" t="str">
        <f t="shared" si="103"/>
        <v>Groen</v>
      </c>
      <c r="K746">
        <v>2541</v>
      </c>
      <c r="L746">
        <v>4950</v>
      </c>
      <c r="M746">
        <v>7491</v>
      </c>
      <c r="N746">
        <v>6243</v>
      </c>
      <c r="O746">
        <v>5</v>
      </c>
      <c r="P746" t="str">
        <f>("25")</f>
        <v>25</v>
      </c>
      <c r="Q746" t="str">
        <f>("DHONT Kristien")</f>
        <v>DHONT Kristien</v>
      </c>
      <c r="R746">
        <v>249</v>
      </c>
      <c r="S746" t="s">
        <v>44</v>
      </c>
      <c r="T746">
        <v>0</v>
      </c>
      <c r="V746">
        <v>8</v>
      </c>
      <c r="W746">
        <v>249</v>
      </c>
      <c r="X746">
        <v>0</v>
      </c>
    </row>
    <row r="747" spans="1:24" x14ac:dyDescent="0.35">
      <c r="A747" t="s">
        <v>8</v>
      </c>
      <c r="B747" t="s">
        <v>9</v>
      </c>
      <c r="C747" t="str">
        <f t="shared" si="100"/>
        <v>11252</v>
      </c>
      <c r="D747" t="s">
        <v>14</v>
      </c>
      <c r="E747" t="str">
        <f t="shared" si="101"/>
        <v>29</v>
      </c>
      <c r="F747">
        <v>49717</v>
      </c>
      <c r="G747">
        <v>44678</v>
      </c>
      <c r="H747">
        <v>2069</v>
      </c>
      <c r="I747" t="str">
        <f t="shared" si="102"/>
        <v>4</v>
      </c>
      <c r="J747" t="str">
        <f t="shared" si="103"/>
        <v>Groen</v>
      </c>
      <c r="K747">
        <v>2541</v>
      </c>
      <c r="L747">
        <v>4950</v>
      </c>
      <c r="M747">
        <v>7491</v>
      </c>
      <c r="N747">
        <v>6243</v>
      </c>
      <c r="O747">
        <v>5</v>
      </c>
      <c r="P747" t="str">
        <f>("26")</f>
        <v>26</v>
      </c>
      <c r="Q747" t="str">
        <f>("CHAKRI Youssra")</f>
        <v>CHAKRI Youssra</v>
      </c>
      <c r="R747">
        <v>288</v>
      </c>
      <c r="S747" t="s">
        <v>44</v>
      </c>
      <c r="T747">
        <v>0</v>
      </c>
      <c r="V747">
        <v>6</v>
      </c>
      <c r="W747">
        <v>288</v>
      </c>
      <c r="X747">
        <v>0</v>
      </c>
    </row>
    <row r="748" spans="1:24" x14ac:dyDescent="0.35">
      <c r="A748" t="s">
        <v>8</v>
      </c>
      <c r="B748" t="s">
        <v>9</v>
      </c>
      <c r="C748" t="str">
        <f t="shared" si="100"/>
        <v>11252</v>
      </c>
      <c r="D748" t="s">
        <v>14</v>
      </c>
      <c r="E748" t="str">
        <f t="shared" si="101"/>
        <v>29</v>
      </c>
      <c r="F748">
        <v>49717</v>
      </c>
      <c r="G748">
        <v>44678</v>
      </c>
      <c r="H748">
        <v>2069</v>
      </c>
      <c r="I748" t="str">
        <f t="shared" si="102"/>
        <v>4</v>
      </c>
      <c r="J748" t="str">
        <f t="shared" si="103"/>
        <v>Groen</v>
      </c>
      <c r="K748">
        <v>2541</v>
      </c>
      <c r="L748">
        <v>4950</v>
      </c>
      <c r="M748">
        <v>7491</v>
      </c>
      <c r="N748">
        <v>6243</v>
      </c>
      <c r="O748">
        <v>5</v>
      </c>
      <c r="P748" t="str">
        <f>("27")</f>
        <v>27</v>
      </c>
      <c r="Q748" t="str">
        <f>("WOLLAERT Piet")</f>
        <v>WOLLAERT Piet</v>
      </c>
      <c r="R748">
        <v>153</v>
      </c>
      <c r="S748" t="s">
        <v>44</v>
      </c>
      <c r="T748">
        <v>0</v>
      </c>
      <c r="V748">
        <v>15</v>
      </c>
      <c r="W748">
        <v>153</v>
      </c>
      <c r="X748">
        <v>0</v>
      </c>
    </row>
    <row r="749" spans="1:24" x14ac:dyDescent="0.35">
      <c r="A749" t="s">
        <v>8</v>
      </c>
      <c r="B749" t="s">
        <v>9</v>
      </c>
      <c r="C749" t="str">
        <f t="shared" si="100"/>
        <v>11252</v>
      </c>
      <c r="D749" t="s">
        <v>14</v>
      </c>
      <c r="E749" t="str">
        <f t="shared" si="101"/>
        <v>29</v>
      </c>
      <c r="F749">
        <v>49717</v>
      </c>
      <c r="G749">
        <v>44678</v>
      </c>
      <c r="H749">
        <v>2069</v>
      </c>
      <c r="I749" t="str">
        <f t="shared" si="102"/>
        <v>4</v>
      </c>
      <c r="J749" t="str">
        <f t="shared" si="103"/>
        <v>Groen</v>
      </c>
      <c r="K749">
        <v>2541</v>
      </c>
      <c r="L749">
        <v>4950</v>
      </c>
      <c r="M749">
        <v>7491</v>
      </c>
      <c r="N749">
        <v>6243</v>
      </c>
      <c r="O749">
        <v>5</v>
      </c>
      <c r="P749" t="str">
        <f>("28")</f>
        <v>28</v>
      </c>
      <c r="Q749" t="str">
        <f>("ALMACI Meyrem")</f>
        <v>ALMACI Meyrem</v>
      </c>
      <c r="R749">
        <v>1185</v>
      </c>
      <c r="S749">
        <v>1185</v>
      </c>
      <c r="T749">
        <v>0</v>
      </c>
      <c r="U749">
        <v>2</v>
      </c>
    </row>
    <row r="750" spans="1:24" x14ac:dyDescent="0.35">
      <c r="A750" t="s">
        <v>8</v>
      </c>
      <c r="B750" t="s">
        <v>9</v>
      </c>
      <c r="C750" t="str">
        <f t="shared" si="100"/>
        <v>11252</v>
      </c>
      <c r="D750" t="s">
        <v>14</v>
      </c>
      <c r="E750" t="str">
        <f t="shared" si="101"/>
        <v>29</v>
      </c>
      <c r="F750">
        <v>49717</v>
      </c>
      <c r="G750">
        <v>44678</v>
      </c>
      <c r="H750">
        <v>2069</v>
      </c>
      <c r="I750" t="str">
        <f t="shared" si="102"/>
        <v>4</v>
      </c>
      <c r="J750" t="str">
        <f t="shared" si="103"/>
        <v>Groen</v>
      </c>
      <c r="K750">
        <v>2541</v>
      </c>
      <c r="L750">
        <v>4950</v>
      </c>
      <c r="M750">
        <v>7491</v>
      </c>
      <c r="N750">
        <v>6243</v>
      </c>
      <c r="O750">
        <v>5</v>
      </c>
      <c r="P750" t="str">
        <f>("29")</f>
        <v>29</v>
      </c>
      <c r="Q750" t="str">
        <f>("VERBRUGGEN Walter")</f>
        <v>VERBRUGGEN Walter</v>
      </c>
      <c r="R750">
        <v>392</v>
      </c>
      <c r="S750" t="s">
        <v>44</v>
      </c>
      <c r="T750">
        <v>0</v>
      </c>
      <c r="V750">
        <v>4</v>
      </c>
      <c r="W750">
        <v>392</v>
      </c>
      <c r="X750">
        <v>0</v>
      </c>
    </row>
    <row r="751" spans="1:24" x14ac:dyDescent="0.35">
      <c r="A751" t="s">
        <v>8</v>
      </c>
      <c r="B751" t="s">
        <v>9</v>
      </c>
      <c r="C751" t="str">
        <f t="shared" si="100"/>
        <v>11252</v>
      </c>
      <c r="D751" t="s">
        <v>14</v>
      </c>
      <c r="E751" t="str">
        <f t="shared" si="101"/>
        <v>29</v>
      </c>
      <c r="F751">
        <v>49717</v>
      </c>
      <c r="G751">
        <v>44678</v>
      </c>
      <c r="H751">
        <v>2069</v>
      </c>
      <c r="I751" t="str">
        <f t="shared" ref="I751:I779" si="104">("5")</f>
        <v>5</v>
      </c>
      <c r="J751" t="str">
        <f t="shared" ref="J751:J779" si="105">("VLAAMS BELANG")</f>
        <v>VLAAMS BELANG</v>
      </c>
      <c r="K751">
        <v>2082</v>
      </c>
      <c r="L751">
        <v>3712</v>
      </c>
      <c r="M751">
        <v>5794</v>
      </c>
      <c r="N751">
        <v>4636</v>
      </c>
      <c r="O751">
        <v>4</v>
      </c>
      <c r="P751" t="str">
        <f>("1")</f>
        <v>1</v>
      </c>
      <c r="Q751" t="str">
        <f>("VAN WESEMBEECK Jan")</f>
        <v>VAN WESEMBEECK Jan</v>
      </c>
      <c r="R751">
        <v>2058</v>
      </c>
      <c r="S751">
        <v>4636</v>
      </c>
      <c r="T751">
        <v>198</v>
      </c>
      <c r="U751">
        <v>1</v>
      </c>
    </row>
    <row r="752" spans="1:24" x14ac:dyDescent="0.35">
      <c r="A752" t="s">
        <v>8</v>
      </c>
      <c r="B752" t="s">
        <v>9</v>
      </c>
      <c r="C752" t="str">
        <f t="shared" si="100"/>
        <v>11252</v>
      </c>
      <c r="D752" t="s">
        <v>14</v>
      </c>
      <c r="E752" t="str">
        <f t="shared" si="101"/>
        <v>29</v>
      </c>
      <c r="F752">
        <v>49717</v>
      </c>
      <c r="G752">
        <v>44678</v>
      </c>
      <c r="H752">
        <v>2069</v>
      </c>
      <c r="I752" t="str">
        <f t="shared" si="104"/>
        <v>5</v>
      </c>
      <c r="J752" t="str">
        <f t="shared" si="105"/>
        <v>VLAAMS BELANG</v>
      </c>
      <c r="K752">
        <v>2082</v>
      </c>
      <c r="L752">
        <v>3712</v>
      </c>
      <c r="M752">
        <v>5794</v>
      </c>
      <c r="N752">
        <v>4636</v>
      </c>
      <c r="O752">
        <v>4</v>
      </c>
      <c r="P752" t="str">
        <f>("2")</f>
        <v>2</v>
      </c>
      <c r="Q752" t="str">
        <f>("POOTERS Peggy")</f>
        <v>POOTERS Peggy</v>
      </c>
      <c r="R752">
        <v>519</v>
      </c>
      <c r="S752">
        <v>717</v>
      </c>
      <c r="T752">
        <v>0</v>
      </c>
      <c r="U752">
        <v>2</v>
      </c>
    </row>
    <row r="753" spans="1:24" x14ac:dyDescent="0.35">
      <c r="A753" t="s">
        <v>8</v>
      </c>
      <c r="B753" t="s">
        <v>9</v>
      </c>
      <c r="C753" t="str">
        <f t="shared" si="100"/>
        <v>11252</v>
      </c>
      <c r="D753" t="s">
        <v>14</v>
      </c>
      <c r="E753" t="str">
        <f t="shared" si="101"/>
        <v>29</v>
      </c>
      <c r="F753">
        <v>49717</v>
      </c>
      <c r="G753">
        <v>44678</v>
      </c>
      <c r="H753">
        <v>2069</v>
      </c>
      <c r="I753" t="str">
        <f t="shared" si="104"/>
        <v>5</v>
      </c>
      <c r="J753" t="str">
        <f t="shared" si="105"/>
        <v>VLAAMS BELANG</v>
      </c>
      <c r="K753">
        <v>2082</v>
      </c>
      <c r="L753">
        <v>3712</v>
      </c>
      <c r="M753">
        <v>5794</v>
      </c>
      <c r="N753">
        <v>4636</v>
      </c>
      <c r="O753">
        <v>4</v>
      </c>
      <c r="P753" t="str">
        <f>("3")</f>
        <v>3</v>
      </c>
      <c r="Q753" t="str">
        <f>("DIRCKX Guy")</f>
        <v>DIRCKX Guy</v>
      </c>
      <c r="R753">
        <v>257</v>
      </c>
      <c r="S753">
        <v>257</v>
      </c>
      <c r="T753">
        <v>0</v>
      </c>
      <c r="U753">
        <v>4</v>
      </c>
    </row>
    <row r="754" spans="1:24" x14ac:dyDescent="0.35">
      <c r="A754" t="s">
        <v>8</v>
      </c>
      <c r="B754" t="s">
        <v>9</v>
      </c>
      <c r="C754" t="str">
        <f t="shared" si="100"/>
        <v>11252</v>
      </c>
      <c r="D754" t="s">
        <v>14</v>
      </c>
      <c r="E754" t="str">
        <f t="shared" si="101"/>
        <v>29</v>
      </c>
      <c r="F754">
        <v>49717</v>
      </c>
      <c r="G754">
        <v>44678</v>
      </c>
      <c r="H754">
        <v>2069</v>
      </c>
      <c r="I754" t="str">
        <f t="shared" si="104"/>
        <v>5</v>
      </c>
      <c r="J754" t="str">
        <f t="shared" si="105"/>
        <v>VLAAMS BELANG</v>
      </c>
      <c r="K754">
        <v>2082</v>
      </c>
      <c r="L754">
        <v>3712</v>
      </c>
      <c r="M754">
        <v>5794</v>
      </c>
      <c r="N754">
        <v>4636</v>
      </c>
      <c r="O754">
        <v>4</v>
      </c>
      <c r="P754" t="str">
        <f>("4")</f>
        <v>4</v>
      </c>
      <c r="Q754" t="str">
        <f>("WINTERSHOVEN Sandra")</f>
        <v>WINTERSHOVEN Sandra</v>
      </c>
      <c r="R754">
        <v>250</v>
      </c>
      <c r="S754" t="s">
        <v>44</v>
      </c>
      <c r="T754">
        <v>0</v>
      </c>
      <c r="V754">
        <v>1</v>
      </c>
      <c r="W754">
        <v>3026</v>
      </c>
      <c r="X754">
        <v>0</v>
      </c>
    </row>
    <row r="755" spans="1:24" x14ac:dyDescent="0.35">
      <c r="A755" t="s">
        <v>8</v>
      </c>
      <c r="B755" t="s">
        <v>9</v>
      </c>
      <c r="C755" t="str">
        <f t="shared" si="100"/>
        <v>11252</v>
      </c>
      <c r="D755" t="s">
        <v>14</v>
      </c>
      <c r="E755" t="str">
        <f t="shared" si="101"/>
        <v>29</v>
      </c>
      <c r="F755">
        <v>49717</v>
      </c>
      <c r="G755">
        <v>44678</v>
      </c>
      <c r="H755">
        <v>2069</v>
      </c>
      <c r="I755" t="str">
        <f t="shared" si="104"/>
        <v>5</v>
      </c>
      <c r="J755" t="str">
        <f t="shared" si="105"/>
        <v>VLAAMS BELANG</v>
      </c>
      <c r="K755">
        <v>2082</v>
      </c>
      <c r="L755">
        <v>3712</v>
      </c>
      <c r="M755">
        <v>5794</v>
      </c>
      <c r="N755">
        <v>4636</v>
      </c>
      <c r="O755">
        <v>4</v>
      </c>
      <c r="P755" t="str">
        <f>("5")</f>
        <v>5</v>
      </c>
      <c r="Q755" t="str">
        <f>("VAN ROOY Sam")</f>
        <v>VAN ROOY Sam</v>
      </c>
      <c r="R755">
        <v>272</v>
      </c>
      <c r="S755">
        <v>272</v>
      </c>
      <c r="T755">
        <v>0</v>
      </c>
      <c r="U755">
        <v>3</v>
      </c>
    </row>
    <row r="756" spans="1:24" x14ac:dyDescent="0.35">
      <c r="A756" t="s">
        <v>8</v>
      </c>
      <c r="B756" t="s">
        <v>9</v>
      </c>
      <c r="C756" t="str">
        <f t="shared" si="100"/>
        <v>11252</v>
      </c>
      <c r="D756" t="s">
        <v>14</v>
      </c>
      <c r="E756" t="str">
        <f t="shared" si="101"/>
        <v>29</v>
      </c>
      <c r="F756">
        <v>49717</v>
      </c>
      <c r="G756">
        <v>44678</v>
      </c>
      <c r="H756">
        <v>2069</v>
      </c>
      <c r="I756" t="str">
        <f t="shared" si="104"/>
        <v>5</v>
      </c>
      <c r="J756" t="str">
        <f t="shared" si="105"/>
        <v>VLAAMS BELANG</v>
      </c>
      <c r="K756">
        <v>2082</v>
      </c>
      <c r="L756">
        <v>3712</v>
      </c>
      <c r="M756">
        <v>5794</v>
      </c>
      <c r="N756">
        <v>4636</v>
      </c>
      <c r="O756">
        <v>4</v>
      </c>
      <c r="P756" t="str">
        <f>("6")</f>
        <v>6</v>
      </c>
      <c r="Q756" t="str">
        <f>("SLOOTMANS Karin")</f>
        <v>SLOOTMANS Karin</v>
      </c>
      <c r="R756">
        <v>172</v>
      </c>
      <c r="S756" t="s">
        <v>44</v>
      </c>
      <c r="T756">
        <v>0</v>
      </c>
      <c r="V756">
        <v>6</v>
      </c>
      <c r="W756">
        <v>172</v>
      </c>
      <c r="X756">
        <v>0</v>
      </c>
    </row>
    <row r="757" spans="1:24" x14ac:dyDescent="0.35">
      <c r="A757" t="s">
        <v>8</v>
      </c>
      <c r="B757" t="s">
        <v>9</v>
      </c>
      <c r="C757" t="str">
        <f t="shared" si="100"/>
        <v>11252</v>
      </c>
      <c r="D757" t="s">
        <v>14</v>
      </c>
      <c r="E757" t="str">
        <f t="shared" si="101"/>
        <v>29</v>
      </c>
      <c r="F757">
        <v>49717</v>
      </c>
      <c r="G757">
        <v>44678</v>
      </c>
      <c r="H757">
        <v>2069</v>
      </c>
      <c r="I757" t="str">
        <f t="shared" si="104"/>
        <v>5</v>
      </c>
      <c r="J757" t="str">
        <f t="shared" si="105"/>
        <v>VLAAMS BELANG</v>
      </c>
      <c r="K757">
        <v>2082</v>
      </c>
      <c r="L757">
        <v>3712</v>
      </c>
      <c r="M757">
        <v>5794</v>
      </c>
      <c r="N757">
        <v>4636</v>
      </c>
      <c r="O757">
        <v>4</v>
      </c>
      <c r="P757" t="str">
        <f>("7")</f>
        <v>7</v>
      </c>
      <c r="Q757" t="str">
        <f>("CASTELEIN Bob")</f>
        <v>CASTELEIN Bob</v>
      </c>
      <c r="R757">
        <v>153</v>
      </c>
      <c r="S757" t="s">
        <v>44</v>
      </c>
      <c r="T757">
        <v>0</v>
      </c>
      <c r="V757">
        <v>7</v>
      </c>
      <c r="W757">
        <v>153</v>
      </c>
      <c r="X757">
        <v>0</v>
      </c>
    </row>
    <row r="758" spans="1:24" x14ac:dyDescent="0.35">
      <c r="A758" t="s">
        <v>8</v>
      </c>
      <c r="B758" t="s">
        <v>9</v>
      </c>
      <c r="C758" t="str">
        <f t="shared" si="100"/>
        <v>11252</v>
      </c>
      <c r="D758" t="s">
        <v>14</v>
      </c>
      <c r="E758" t="str">
        <f t="shared" si="101"/>
        <v>29</v>
      </c>
      <c r="F758">
        <v>49717</v>
      </c>
      <c r="G758">
        <v>44678</v>
      </c>
      <c r="H758">
        <v>2069</v>
      </c>
      <c r="I758" t="str">
        <f t="shared" si="104"/>
        <v>5</v>
      </c>
      <c r="J758" t="str">
        <f t="shared" si="105"/>
        <v>VLAAMS BELANG</v>
      </c>
      <c r="K758">
        <v>2082</v>
      </c>
      <c r="L758">
        <v>3712</v>
      </c>
      <c r="M758">
        <v>5794</v>
      </c>
      <c r="N758">
        <v>4636</v>
      </c>
      <c r="O758">
        <v>4</v>
      </c>
      <c r="P758" t="str">
        <f>("8")</f>
        <v>8</v>
      </c>
      <c r="Q758" t="str">
        <f>("BEYENS Frieda")</f>
        <v>BEYENS Frieda</v>
      </c>
      <c r="R758">
        <v>181</v>
      </c>
      <c r="S758" t="s">
        <v>44</v>
      </c>
      <c r="T758">
        <v>0</v>
      </c>
      <c r="V758">
        <v>5</v>
      </c>
      <c r="W758">
        <v>181</v>
      </c>
      <c r="X758">
        <v>0</v>
      </c>
    </row>
    <row r="759" spans="1:24" x14ac:dyDescent="0.35">
      <c r="A759" t="s">
        <v>8</v>
      </c>
      <c r="B759" t="s">
        <v>9</v>
      </c>
      <c r="C759" t="str">
        <f t="shared" si="100"/>
        <v>11252</v>
      </c>
      <c r="D759" t="s">
        <v>14</v>
      </c>
      <c r="E759" t="str">
        <f t="shared" si="101"/>
        <v>29</v>
      </c>
      <c r="F759">
        <v>49717</v>
      </c>
      <c r="G759">
        <v>44678</v>
      </c>
      <c r="H759">
        <v>2069</v>
      </c>
      <c r="I759" t="str">
        <f t="shared" si="104"/>
        <v>5</v>
      </c>
      <c r="J759" t="str">
        <f t="shared" si="105"/>
        <v>VLAAMS BELANG</v>
      </c>
      <c r="K759">
        <v>2082</v>
      </c>
      <c r="L759">
        <v>3712</v>
      </c>
      <c r="M759">
        <v>5794</v>
      </c>
      <c r="N759">
        <v>4636</v>
      </c>
      <c r="O759">
        <v>4</v>
      </c>
      <c r="P759" t="str">
        <f>("9")</f>
        <v>9</v>
      </c>
      <c r="Q759" t="str">
        <f>("WYLLINCK René")</f>
        <v>WYLLINCK René</v>
      </c>
      <c r="R759">
        <v>108</v>
      </c>
      <c r="S759" t="s">
        <v>44</v>
      </c>
      <c r="T759">
        <v>0</v>
      </c>
      <c r="V759">
        <v>17</v>
      </c>
      <c r="W759">
        <v>108</v>
      </c>
      <c r="X759">
        <v>0</v>
      </c>
    </row>
    <row r="760" spans="1:24" x14ac:dyDescent="0.35">
      <c r="A760" t="s">
        <v>8</v>
      </c>
      <c r="B760" t="s">
        <v>9</v>
      </c>
      <c r="C760" t="str">
        <f t="shared" si="100"/>
        <v>11252</v>
      </c>
      <c r="D760" t="s">
        <v>14</v>
      </c>
      <c r="E760" t="str">
        <f t="shared" si="101"/>
        <v>29</v>
      </c>
      <c r="F760">
        <v>49717</v>
      </c>
      <c r="G760">
        <v>44678</v>
      </c>
      <c r="H760">
        <v>2069</v>
      </c>
      <c r="I760" t="str">
        <f t="shared" si="104"/>
        <v>5</v>
      </c>
      <c r="J760" t="str">
        <f t="shared" si="105"/>
        <v>VLAAMS BELANG</v>
      </c>
      <c r="K760">
        <v>2082</v>
      </c>
      <c r="L760">
        <v>3712</v>
      </c>
      <c r="M760">
        <v>5794</v>
      </c>
      <c r="N760">
        <v>4636</v>
      </c>
      <c r="O760">
        <v>4</v>
      </c>
      <c r="P760" t="str">
        <f>("10")</f>
        <v>10</v>
      </c>
      <c r="Q760" t="str">
        <f>("VANDERPLASSCHEN Trix")</f>
        <v>VANDERPLASSCHEN Trix</v>
      </c>
      <c r="R760">
        <v>99</v>
      </c>
      <c r="S760" t="s">
        <v>44</v>
      </c>
      <c r="T760">
        <v>0</v>
      </c>
      <c r="V760">
        <v>20</v>
      </c>
      <c r="W760">
        <v>99</v>
      </c>
      <c r="X760">
        <v>0</v>
      </c>
    </row>
    <row r="761" spans="1:24" x14ac:dyDescent="0.35">
      <c r="A761" t="s">
        <v>8</v>
      </c>
      <c r="B761" t="s">
        <v>9</v>
      </c>
      <c r="C761" t="str">
        <f t="shared" si="100"/>
        <v>11252</v>
      </c>
      <c r="D761" t="s">
        <v>14</v>
      </c>
      <c r="E761" t="str">
        <f t="shared" si="101"/>
        <v>29</v>
      </c>
      <c r="F761">
        <v>49717</v>
      </c>
      <c r="G761">
        <v>44678</v>
      </c>
      <c r="H761">
        <v>2069</v>
      </c>
      <c r="I761" t="str">
        <f t="shared" si="104"/>
        <v>5</v>
      </c>
      <c r="J761" t="str">
        <f t="shared" si="105"/>
        <v>VLAAMS BELANG</v>
      </c>
      <c r="K761">
        <v>2082</v>
      </c>
      <c r="L761">
        <v>3712</v>
      </c>
      <c r="M761">
        <v>5794</v>
      </c>
      <c r="N761">
        <v>4636</v>
      </c>
      <c r="O761">
        <v>4</v>
      </c>
      <c r="P761" t="str">
        <f>("11")</f>
        <v>11</v>
      </c>
      <c r="Q761" t="str">
        <f>("DE BOECK Tony")</f>
        <v>DE BOECK Tony</v>
      </c>
      <c r="R761">
        <v>124</v>
      </c>
      <c r="S761" t="s">
        <v>44</v>
      </c>
      <c r="T761">
        <v>0</v>
      </c>
      <c r="V761">
        <v>12</v>
      </c>
      <c r="W761">
        <v>124</v>
      </c>
      <c r="X761">
        <v>0</v>
      </c>
    </row>
    <row r="762" spans="1:24" x14ac:dyDescent="0.35">
      <c r="A762" t="s">
        <v>8</v>
      </c>
      <c r="B762" t="s">
        <v>9</v>
      </c>
      <c r="C762" t="str">
        <f t="shared" si="100"/>
        <v>11252</v>
      </c>
      <c r="D762" t="s">
        <v>14</v>
      </c>
      <c r="E762" t="str">
        <f t="shared" si="101"/>
        <v>29</v>
      </c>
      <c r="F762">
        <v>49717</v>
      </c>
      <c r="G762">
        <v>44678</v>
      </c>
      <c r="H762">
        <v>2069</v>
      </c>
      <c r="I762" t="str">
        <f t="shared" si="104"/>
        <v>5</v>
      </c>
      <c r="J762" t="str">
        <f t="shared" si="105"/>
        <v>VLAAMS BELANG</v>
      </c>
      <c r="K762">
        <v>2082</v>
      </c>
      <c r="L762">
        <v>3712</v>
      </c>
      <c r="M762">
        <v>5794</v>
      </c>
      <c r="N762">
        <v>4636</v>
      </c>
      <c r="O762">
        <v>4</v>
      </c>
      <c r="P762" t="str">
        <f>("12")</f>
        <v>12</v>
      </c>
      <c r="Q762" t="str">
        <f>("MAES Linda")</f>
        <v>MAES Linda</v>
      </c>
      <c r="R762">
        <v>134</v>
      </c>
      <c r="S762" t="s">
        <v>44</v>
      </c>
      <c r="T762">
        <v>0</v>
      </c>
      <c r="V762">
        <v>8</v>
      </c>
      <c r="W762">
        <v>134</v>
      </c>
      <c r="X762">
        <v>0</v>
      </c>
    </row>
    <row r="763" spans="1:24" x14ac:dyDescent="0.35">
      <c r="A763" t="s">
        <v>8</v>
      </c>
      <c r="B763" t="s">
        <v>9</v>
      </c>
      <c r="C763" t="str">
        <f t="shared" ref="C763:C826" si="106">("11252")</f>
        <v>11252</v>
      </c>
      <c r="D763" t="s">
        <v>14</v>
      </c>
      <c r="E763" t="str">
        <f t="shared" ref="E763:E826" si="107">("29")</f>
        <v>29</v>
      </c>
      <c r="F763">
        <v>49717</v>
      </c>
      <c r="G763">
        <v>44678</v>
      </c>
      <c r="H763">
        <v>2069</v>
      </c>
      <c r="I763" t="str">
        <f t="shared" si="104"/>
        <v>5</v>
      </c>
      <c r="J763" t="str">
        <f t="shared" si="105"/>
        <v>VLAAMS BELANG</v>
      </c>
      <c r="K763">
        <v>2082</v>
      </c>
      <c r="L763">
        <v>3712</v>
      </c>
      <c r="M763">
        <v>5794</v>
      </c>
      <c r="N763">
        <v>4636</v>
      </c>
      <c r="O763">
        <v>4</v>
      </c>
      <c r="P763" t="str">
        <f>("13")</f>
        <v>13</v>
      </c>
      <c r="Q763" t="str">
        <f>("BRANTS Kris")</f>
        <v>BRANTS Kris</v>
      </c>
      <c r="R763">
        <v>99</v>
      </c>
      <c r="S763" t="s">
        <v>44</v>
      </c>
      <c r="T763">
        <v>0</v>
      </c>
      <c r="V763">
        <v>21</v>
      </c>
      <c r="W763">
        <v>99</v>
      </c>
      <c r="X763">
        <v>0</v>
      </c>
    </row>
    <row r="764" spans="1:24" x14ac:dyDescent="0.35">
      <c r="A764" t="s">
        <v>8</v>
      </c>
      <c r="B764" t="s">
        <v>9</v>
      </c>
      <c r="C764" t="str">
        <f t="shared" si="106"/>
        <v>11252</v>
      </c>
      <c r="D764" t="s">
        <v>14</v>
      </c>
      <c r="E764" t="str">
        <f t="shared" si="107"/>
        <v>29</v>
      </c>
      <c r="F764">
        <v>49717</v>
      </c>
      <c r="G764">
        <v>44678</v>
      </c>
      <c r="H764">
        <v>2069</v>
      </c>
      <c r="I764" t="str">
        <f t="shared" si="104"/>
        <v>5</v>
      </c>
      <c r="J764" t="str">
        <f t="shared" si="105"/>
        <v>VLAAMS BELANG</v>
      </c>
      <c r="K764">
        <v>2082</v>
      </c>
      <c r="L764">
        <v>3712</v>
      </c>
      <c r="M764">
        <v>5794</v>
      </c>
      <c r="N764">
        <v>4636</v>
      </c>
      <c r="O764">
        <v>4</v>
      </c>
      <c r="P764" t="str">
        <f>("14")</f>
        <v>14</v>
      </c>
      <c r="Q764" t="str">
        <f>("CHEUNG Sheila")</f>
        <v>CHEUNG Sheila</v>
      </c>
      <c r="R764">
        <v>126</v>
      </c>
      <c r="S764" t="s">
        <v>44</v>
      </c>
      <c r="T764">
        <v>0</v>
      </c>
      <c r="V764">
        <v>10</v>
      </c>
      <c r="W764">
        <v>126</v>
      </c>
      <c r="X764">
        <v>0</v>
      </c>
    </row>
    <row r="765" spans="1:24" x14ac:dyDescent="0.35">
      <c r="A765" t="s">
        <v>8</v>
      </c>
      <c r="B765" t="s">
        <v>9</v>
      </c>
      <c r="C765" t="str">
        <f t="shared" si="106"/>
        <v>11252</v>
      </c>
      <c r="D765" t="s">
        <v>14</v>
      </c>
      <c r="E765" t="str">
        <f t="shared" si="107"/>
        <v>29</v>
      </c>
      <c r="F765">
        <v>49717</v>
      </c>
      <c r="G765">
        <v>44678</v>
      </c>
      <c r="H765">
        <v>2069</v>
      </c>
      <c r="I765" t="str">
        <f t="shared" si="104"/>
        <v>5</v>
      </c>
      <c r="J765" t="str">
        <f t="shared" si="105"/>
        <v>VLAAMS BELANG</v>
      </c>
      <c r="K765">
        <v>2082</v>
      </c>
      <c r="L765">
        <v>3712</v>
      </c>
      <c r="M765">
        <v>5794</v>
      </c>
      <c r="N765">
        <v>4636</v>
      </c>
      <c r="O765">
        <v>4</v>
      </c>
      <c r="P765" t="str">
        <f>("15")</f>
        <v>15</v>
      </c>
      <c r="Q765" t="str">
        <f>("ZOETE Melissa")</f>
        <v>ZOETE Melissa</v>
      </c>
      <c r="R765">
        <v>197</v>
      </c>
      <c r="S765" t="s">
        <v>44</v>
      </c>
      <c r="T765">
        <v>0</v>
      </c>
      <c r="V765">
        <v>2</v>
      </c>
      <c r="W765">
        <v>197</v>
      </c>
      <c r="X765">
        <v>0</v>
      </c>
    </row>
    <row r="766" spans="1:24" x14ac:dyDescent="0.35">
      <c r="A766" t="s">
        <v>8</v>
      </c>
      <c r="B766" t="s">
        <v>9</v>
      </c>
      <c r="C766" t="str">
        <f t="shared" si="106"/>
        <v>11252</v>
      </c>
      <c r="D766" t="s">
        <v>14</v>
      </c>
      <c r="E766" t="str">
        <f t="shared" si="107"/>
        <v>29</v>
      </c>
      <c r="F766">
        <v>49717</v>
      </c>
      <c r="G766">
        <v>44678</v>
      </c>
      <c r="H766">
        <v>2069</v>
      </c>
      <c r="I766" t="str">
        <f t="shared" si="104"/>
        <v>5</v>
      </c>
      <c r="J766" t="str">
        <f t="shared" si="105"/>
        <v>VLAAMS BELANG</v>
      </c>
      <c r="K766">
        <v>2082</v>
      </c>
      <c r="L766">
        <v>3712</v>
      </c>
      <c r="M766">
        <v>5794</v>
      </c>
      <c r="N766">
        <v>4636</v>
      </c>
      <c r="O766">
        <v>4</v>
      </c>
      <c r="P766" t="str">
        <f>("16")</f>
        <v>16</v>
      </c>
      <c r="Q766" t="str">
        <f>("VERVOORT Stephie")</f>
        <v>VERVOORT Stephie</v>
      </c>
      <c r="R766">
        <v>187</v>
      </c>
      <c r="S766" t="s">
        <v>44</v>
      </c>
      <c r="T766">
        <v>0</v>
      </c>
      <c r="V766">
        <v>4</v>
      </c>
      <c r="W766">
        <v>187</v>
      </c>
      <c r="X766">
        <v>0</v>
      </c>
    </row>
    <row r="767" spans="1:24" x14ac:dyDescent="0.35">
      <c r="A767" t="s">
        <v>8</v>
      </c>
      <c r="B767" t="s">
        <v>9</v>
      </c>
      <c r="C767" t="str">
        <f t="shared" si="106"/>
        <v>11252</v>
      </c>
      <c r="D767" t="s">
        <v>14</v>
      </c>
      <c r="E767" t="str">
        <f t="shared" si="107"/>
        <v>29</v>
      </c>
      <c r="F767">
        <v>49717</v>
      </c>
      <c r="G767">
        <v>44678</v>
      </c>
      <c r="H767">
        <v>2069</v>
      </c>
      <c r="I767" t="str">
        <f t="shared" si="104"/>
        <v>5</v>
      </c>
      <c r="J767" t="str">
        <f t="shared" si="105"/>
        <v>VLAAMS BELANG</v>
      </c>
      <c r="K767">
        <v>2082</v>
      </c>
      <c r="L767">
        <v>3712</v>
      </c>
      <c r="M767">
        <v>5794</v>
      </c>
      <c r="N767">
        <v>4636</v>
      </c>
      <c r="O767">
        <v>4</v>
      </c>
      <c r="P767" t="str">
        <f>("17")</f>
        <v>17</v>
      </c>
      <c r="Q767" t="str">
        <f>("VERLINDEN Ivo")</f>
        <v>VERLINDEN Ivo</v>
      </c>
      <c r="R767">
        <v>108</v>
      </c>
      <c r="S767" t="s">
        <v>44</v>
      </c>
      <c r="T767">
        <v>0</v>
      </c>
      <c r="V767">
        <v>18</v>
      </c>
      <c r="W767">
        <v>108</v>
      </c>
      <c r="X767">
        <v>0</v>
      </c>
    </row>
    <row r="768" spans="1:24" x14ac:dyDescent="0.35">
      <c r="A768" t="s">
        <v>8</v>
      </c>
      <c r="B768" t="s">
        <v>9</v>
      </c>
      <c r="C768" t="str">
        <f t="shared" si="106"/>
        <v>11252</v>
      </c>
      <c r="D768" t="s">
        <v>14</v>
      </c>
      <c r="E768" t="str">
        <f t="shared" si="107"/>
        <v>29</v>
      </c>
      <c r="F768">
        <v>49717</v>
      </c>
      <c r="G768">
        <v>44678</v>
      </c>
      <c r="H768">
        <v>2069</v>
      </c>
      <c r="I768" t="str">
        <f t="shared" si="104"/>
        <v>5</v>
      </c>
      <c r="J768" t="str">
        <f t="shared" si="105"/>
        <v>VLAAMS BELANG</v>
      </c>
      <c r="K768">
        <v>2082</v>
      </c>
      <c r="L768">
        <v>3712</v>
      </c>
      <c r="M768">
        <v>5794</v>
      </c>
      <c r="N768">
        <v>4636</v>
      </c>
      <c r="O768">
        <v>4</v>
      </c>
      <c r="P768" t="str">
        <f>("18")</f>
        <v>18</v>
      </c>
      <c r="Q768" t="str">
        <f>("JENNES Roland")</f>
        <v>JENNES Roland</v>
      </c>
      <c r="R768">
        <v>86</v>
      </c>
      <c r="S768" t="s">
        <v>44</v>
      </c>
      <c r="T768">
        <v>0</v>
      </c>
      <c r="V768">
        <v>24</v>
      </c>
      <c r="W768">
        <v>86</v>
      </c>
      <c r="X768">
        <v>0</v>
      </c>
    </row>
    <row r="769" spans="1:24" x14ac:dyDescent="0.35">
      <c r="A769" t="s">
        <v>8</v>
      </c>
      <c r="B769" t="s">
        <v>9</v>
      </c>
      <c r="C769" t="str">
        <f t="shared" si="106"/>
        <v>11252</v>
      </c>
      <c r="D769" t="s">
        <v>14</v>
      </c>
      <c r="E769" t="str">
        <f t="shared" si="107"/>
        <v>29</v>
      </c>
      <c r="F769">
        <v>49717</v>
      </c>
      <c r="G769">
        <v>44678</v>
      </c>
      <c r="H769">
        <v>2069</v>
      </c>
      <c r="I769" t="str">
        <f t="shared" si="104"/>
        <v>5</v>
      </c>
      <c r="J769" t="str">
        <f t="shared" si="105"/>
        <v>VLAAMS BELANG</v>
      </c>
      <c r="K769">
        <v>2082</v>
      </c>
      <c r="L769">
        <v>3712</v>
      </c>
      <c r="M769">
        <v>5794</v>
      </c>
      <c r="N769">
        <v>4636</v>
      </c>
      <c r="O769">
        <v>4</v>
      </c>
      <c r="P769" t="str">
        <f>("19")</f>
        <v>19</v>
      </c>
      <c r="Q769" t="str">
        <f>("SCHIETTEKATTE Walter")</f>
        <v>SCHIETTEKATTE Walter</v>
      </c>
      <c r="R769">
        <v>113</v>
      </c>
      <c r="S769" t="s">
        <v>44</v>
      </c>
      <c r="T769">
        <v>0</v>
      </c>
      <c r="V769">
        <v>15</v>
      </c>
      <c r="W769">
        <v>113</v>
      </c>
      <c r="X769">
        <v>0</v>
      </c>
    </row>
    <row r="770" spans="1:24" x14ac:dyDescent="0.35">
      <c r="A770" t="s">
        <v>8</v>
      </c>
      <c r="B770" t="s">
        <v>9</v>
      </c>
      <c r="C770" t="str">
        <f t="shared" si="106"/>
        <v>11252</v>
      </c>
      <c r="D770" t="s">
        <v>14</v>
      </c>
      <c r="E770" t="str">
        <f t="shared" si="107"/>
        <v>29</v>
      </c>
      <c r="F770">
        <v>49717</v>
      </c>
      <c r="G770">
        <v>44678</v>
      </c>
      <c r="H770">
        <v>2069</v>
      </c>
      <c r="I770" t="str">
        <f t="shared" si="104"/>
        <v>5</v>
      </c>
      <c r="J770" t="str">
        <f t="shared" si="105"/>
        <v>VLAAMS BELANG</v>
      </c>
      <c r="K770">
        <v>2082</v>
      </c>
      <c r="L770">
        <v>3712</v>
      </c>
      <c r="M770">
        <v>5794</v>
      </c>
      <c r="N770">
        <v>4636</v>
      </c>
      <c r="O770">
        <v>4</v>
      </c>
      <c r="P770" t="str">
        <f>("20")</f>
        <v>20</v>
      </c>
      <c r="Q770" t="str">
        <f>("HELLEBAUT Elza")</f>
        <v>HELLEBAUT Elza</v>
      </c>
      <c r="R770">
        <v>100</v>
      </c>
      <c r="S770" t="s">
        <v>44</v>
      </c>
      <c r="T770">
        <v>0</v>
      </c>
      <c r="V770">
        <v>19</v>
      </c>
      <c r="W770">
        <v>100</v>
      </c>
      <c r="X770">
        <v>0</v>
      </c>
    </row>
    <row r="771" spans="1:24" x14ac:dyDescent="0.35">
      <c r="A771" t="s">
        <v>8</v>
      </c>
      <c r="B771" t="s">
        <v>9</v>
      </c>
      <c r="C771" t="str">
        <f t="shared" si="106"/>
        <v>11252</v>
      </c>
      <c r="D771" t="s">
        <v>14</v>
      </c>
      <c r="E771" t="str">
        <f t="shared" si="107"/>
        <v>29</v>
      </c>
      <c r="F771">
        <v>49717</v>
      </c>
      <c r="G771">
        <v>44678</v>
      </c>
      <c r="H771">
        <v>2069</v>
      </c>
      <c r="I771" t="str">
        <f t="shared" si="104"/>
        <v>5</v>
      </c>
      <c r="J771" t="str">
        <f t="shared" si="105"/>
        <v>VLAAMS BELANG</v>
      </c>
      <c r="K771">
        <v>2082</v>
      </c>
      <c r="L771">
        <v>3712</v>
      </c>
      <c r="M771">
        <v>5794</v>
      </c>
      <c r="N771">
        <v>4636</v>
      </c>
      <c r="O771">
        <v>4</v>
      </c>
      <c r="P771" t="str">
        <f>("21")</f>
        <v>21</v>
      </c>
      <c r="Q771" t="str">
        <f>("DE WOLF Jo")</f>
        <v>DE WOLF Jo</v>
      </c>
      <c r="R771">
        <v>125</v>
      </c>
      <c r="S771" t="s">
        <v>44</v>
      </c>
      <c r="T771">
        <v>0</v>
      </c>
      <c r="V771">
        <v>11</v>
      </c>
      <c r="W771">
        <v>125</v>
      </c>
      <c r="X771">
        <v>0</v>
      </c>
    </row>
    <row r="772" spans="1:24" x14ac:dyDescent="0.35">
      <c r="A772" t="s">
        <v>8</v>
      </c>
      <c r="B772" t="s">
        <v>9</v>
      </c>
      <c r="C772" t="str">
        <f t="shared" si="106"/>
        <v>11252</v>
      </c>
      <c r="D772" t="s">
        <v>14</v>
      </c>
      <c r="E772" t="str">
        <f t="shared" si="107"/>
        <v>29</v>
      </c>
      <c r="F772">
        <v>49717</v>
      </c>
      <c r="G772">
        <v>44678</v>
      </c>
      <c r="H772">
        <v>2069</v>
      </c>
      <c r="I772" t="str">
        <f t="shared" si="104"/>
        <v>5</v>
      </c>
      <c r="J772" t="str">
        <f t="shared" si="105"/>
        <v>VLAAMS BELANG</v>
      </c>
      <c r="K772">
        <v>2082</v>
      </c>
      <c r="L772">
        <v>3712</v>
      </c>
      <c r="M772">
        <v>5794</v>
      </c>
      <c r="N772">
        <v>4636</v>
      </c>
      <c r="O772">
        <v>4</v>
      </c>
      <c r="P772" t="str">
        <f>("22")</f>
        <v>22</v>
      </c>
      <c r="Q772" t="str">
        <f>("SIEDLECKI Sonia")</f>
        <v>SIEDLECKI Sonia</v>
      </c>
      <c r="R772">
        <v>112</v>
      </c>
      <c r="S772" t="s">
        <v>44</v>
      </c>
      <c r="T772">
        <v>0</v>
      </c>
      <c r="V772">
        <v>16</v>
      </c>
      <c r="W772">
        <v>112</v>
      </c>
      <c r="X772">
        <v>0</v>
      </c>
    </row>
    <row r="773" spans="1:24" x14ac:dyDescent="0.35">
      <c r="A773" t="s">
        <v>8</v>
      </c>
      <c r="B773" t="s">
        <v>9</v>
      </c>
      <c r="C773" t="str">
        <f t="shared" si="106"/>
        <v>11252</v>
      </c>
      <c r="D773" t="s">
        <v>14</v>
      </c>
      <c r="E773" t="str">
        <f t="shared" si="107"/>
        <v>29</v>
      </c>
      <c r="F773">
        <v>49717</v>
      </c>
      <c r="G773">
        <v>44678</v>
      </c>
      <c r="H773">
        <v>2069</v>
      </c>
      <c r="I773" t="str">
        <f t="shared" si="104"/>
        <v>5</v>
      </c>
      <c r="J773" t="str">
        <f t="shared" si="105"/>
        <v>VLAAMS BELANG</v>
      </c>
      <c r="K773">
        <v>2082</v>
      </c>
      <c r="L773">
        <v>3712</v>
      </c>
      <c r="M773">
        <v>5794</v>
      </c>
      <c r="N773">
        <v>4636</v>
      </c>
      <c r="O773">
        <v>4</v>
      </c>
      <c r="P773" t="str">
        <f>("23")</f>
        <v>23</v>
      </c>
      <c r="Q773" t="str">
        <f>("HUYGHE Geert")</f>
        <v>HUYGHE Geert</v>
      </c>
      <c r="R773">
        <v>81</v>
      </c>
      <c r="S773" t="s">
        <v>44</v>
      </c>
      <c r="T773">
        <v>0</v>
      </c>
      <c r="V773">
        <v>25</v>
      </c>
      <c r="W773">
        <v>81</v>
      </c>
      <c r="X773">
        <v>0</v>
      </c>
    </row>
    <row r="774" spans="1:24" x14ac:dyDescent="0.35">
      <c r="A774" t="s">
        <v>8</v>
      </c>
      <c r="B774" t="s">
        <v>9</v>
      </c>
      <c r="C774" t="str">
        <f t="shared" si="106"/>
        <v>11252</v>
      </c>
      <c r="D774" t="s">
        <v>14</v>
      </c>
      <c r="E774" t="str">
        <f t="shared" si="107"/>
        <v>29</v>
      </c>
      <c r="F774">
        <v>49717</v>
      </c>
      <c r="G774">
        <v>44678</v>
      </c>
      <c r="H774">
        <v>2069</v>
      </c>
      <c r="I774" t="str">
        <f t="shared" si="104"/>
        <v>5</v>
      </c>
      <c r="J774" t="str">
        <f t="shared" si="105"/>
        <v>VLAAMS BELANG</v>
      </c>
      <c r="K774">
        <v>2082</v>
      </c>
      <c r="L774">
        <v>3712</v>
      </c>
      <c r="M774">
        <v>5794</v>
      </c>
      <c r="N774">
        <v>4636</v>
      </c>
      <c r="O774">
        <v>4</v>
      </c>
      <c r="P774" t="str">
        <f>("24")</f>
        <v>24</v>
      </c>
      <c r="Q774" t="str">
        <f>("SPAERKEER Nora")</f>
        <v>SPAERKEER Nora</v>
      </c>
      <c r="R774">
        <v>91</v>
      </c>
      <c r="S774" t="s">
        <v>44</v>
      </c>
      <c r="T774">
        <v>0</v>
      </c>
      <c r="V774">
        <v>23</v>
      </c>
      <c r="W774">
        <v>91</v>
      </c>
      <c r="X774">
        <v>0</v>
      </c>
    </row>
    <row r="775" spans="1:24" x14ac:dyDescent="0.35">
      <c r="A775" t="s">
        <v>8</v>
      </c>
      <c r="B775" t="s">
        <v>9</v>
      </c>
      <c r="C775" t="str">
        <f t="shared" si="106"/>
        <v>11252</v>
      </c>
      <c r="D775" t="s">
        <v>14</v>
      </c>
      <c r="E775" t="str">
        <f t="shared" si="107"/>
        <v>29</v>
      </c>
      <c r="F775">
        <v>49717</v>
      </c>
      <c r="G775">
        <v>44678</v>
      </c>
      <c r="H775">
        <v>2069</v>
      </c>
      <c r="I775" t="str">
        <f t="shared" si="104"/>
        <v>5</v>
      </c>
      <c r="J775" t="str">
        <f t="shared" si="105"/>
        <v>VLAAMS BELANG</v>
      </c>
      <c r="K775">
        <v>2082</v>
      </c>
      <c r="L775">
        <v>3712</v>
      </c>
      <c r="M775">
        <v>5794</v>
      </c>
      <c r="N775">
        <v>4636</v>
      </c>
      <c r="O775">
        <v>4</v>
      </c>
      <c r="P775" t="str">
        <f>("25")</f>
        <v>25</v>
      </c>
      <c r="Q775" t="str">
        <f>("CLAESSENS Joris")</f>
        <v>CLAESSENS Joris</v>
      </c>
      <c r="R775">
        <v>119</v>
      </c>
      <c r="S775" t="s">
        <v>44</v>
      </c>
      <c r="T775">
        <v>0</v>
      </c>
      <c r="V775">
        <v>13</v>
      </c>
      <c r="W775">
        <v>119</v>
      </c>
      <c r="X775">
        <v>0</v>
      </c>
    </row>
    <row r="776" spans="1:24" x14ac:dyDescent="0.35">
      <c r="A776" t="s">
        <v>8</v>
      </c>
      <c r="B776" t="s">
        <v>9</v>
      </c>
      <c r="C776" t="str">
        <f t="shared" si="106"/>
        <v>11252</v>
      </c>
      <c r="D776" t="s">
        <v>14</v>
      </c>
      <c r="E776" t="str">
        <f t="shared" si="107"/>
        <v>29</v>
      </c>
      <c r="F776">
        <v>49717</v>
      </c>
      <c r="G776">
        <v>44678</v>
      </c>
      <c r="H776">
        <v>2069</v>
      </c>
      <c r="I776" t="str">
        <f t="shared" si="104"/>
        <v>5</v>
      </c>
      <c r="J776" t="str">
        <f t="shared" si="105"/>
        <v>VLAAMS BELANG</v>
      </c>
      <c r="K776">
        <v>2082</v>
      </c>
      <c r="L776">
        <v>3712</v>
      </c>
      <c r="M776">
        <v>5794</v>
      </c>
      <c r="N776">
        <v>4636</v>
      </c>
      <c r="O776">
        <v>4</v>
      </c>
      <c r="P776" t="str">
        <f>("26")</f>
        <v>26</v>
      </c>
      <c r="Q776" t="str">
        <f>("VAN DAM Hilde")</f>
        <v>VAN DAM Hilde</v>
      </c>
      <c r="R776">
        <v>115</v>
      </c>
      <c r="S776" t="s">
        <v>44</v>
      </c>
      <c r="T776">
        <v>0</v>
      </c>
      <c r="V776">
        <v>14</v>
      </c>
      <c r="W776">
        <v>115</v>
      </c>
      <c r="X776">
        <v>0</v>
      </c>
    </row>
    <row r="777" spans="1:24" x14ac:dyDescent="0.35">
      <c r="A777" t="s">
        <v>8</v>
      </c>
      <c r="B777" t="s">
        <v>9</v>
      </c>
      <c r="C777" t="str">
        <f t="shared" si="106"/>
        <v>11252</v>
      </c>
      <c r="D777" t="s">
        <v>14</v>
      </c>
      <c r="E777" t="str">
        <f t="shared" si="107"/>
        <v>29</v>
      </c>
      <c r="F777">
        <v>49717</v>
      </c>
      <c r="G777">
        <v>44678</v>
      </c>
      <c r="H777">
        <v>2069</v>
      </c>
      <c r="I777" t="str">
        <f t="shared" si="104"/>
        <v>5</v>
      </c>
      <c r="J777" t="str">
        <f t="shared" si="105"/>
        <v>VLAAMS BELANG</v>
      </c>
      <c r="K777">
        <v>2082</v>
      </c>
      <c r="L777">
        <v>3712</v>
      </c>
      <c r="M777">
        <v>5794</v>
      </c>
      <c r="N777">
        <v>4636</v>
      </c>
      <c r="O777">
        <v>4</v>
      </c>
      <c r="P777" t="str">
        <f>("27")</f>
        <v>27</v>
      </c>
      <c r="Q777" t="str">
        <f>("GEUSSENS Alex")</f>
        <v>GEUSSENS Alex</v>
      </c>
      <c r="R777">
        <v>99</v>
      </c>
      <c r="S777" t="s">
        <v>44</v>
      </c>
      <c r="T777">
        <v>0</v>
      </c>
      <c r="V777">
        <v>22</v>
      </c>
      <c r="W777">
        <v>99</v>
      </c>
      <c r="X777">
        <v>0</v>
      </c>
    </row>
    <row r="778" spans="1:24" x14ac:dyDescent="0.35">
      <c r="A778" t="s">
        <v>8</v>
      </c>
      <c r="B778" t="s">
        <v>9</v>
      </c>
      <c r="C778" t="str">
        <f t="shared" si="106"/>
        <v>11252</v>
      </c>
      <c r="D778" t="s">
        <v>14</v>
      </c>
      <c r="E778" t="str">
        <f t="shared" si="107"/>
        <v>29</v>
      </c>
      <c r="F778">
        <v>49717</v>
      </c>
      <c r="G778">
        <v>44678</v>
      </c>
      <c r="H778">
        <v>2069</v>
      </c>
      <c r="I778" t="str">
        <f t="shared" si="104"/>
        <v>5</v>
      </c>
      <c r="J778" t="str">
        <f t="shared" si="105"/>
        <v>VLAAMS BELANG</v>
      </c>
      <c r="K778">
        <v>2082</v>
      </c>
      <c r="L778">
        <v>3712</v>
      </c>
      <c r="M778">
        <v>5794</v>
      </c>
      <c r="N778">
        <v>4636</v>
      </c>
      <c r="O778">
        <v>4</v>
      </c>
      <c r="P778" t="str">
        <f>("28")</f>
        <v>28</v>
      </c>
      <c r="Q778" t="str">
        <f>("JANSSENS Liliane")</f>
        <v>JANSSENS Liliane</v>
      </c>
      <c r="R778">
        <v>129</v>
      </c>
      <c r="S778" t="s">
        <v>44</v>
      </c>
      <c r="T778">
        <v>0</v>
      </c>
      <c r="V778">
        <v>9</v>
      </c>
      <c r="W778">
        <v>129</v>
      </c>
      <c r="X778">
        <v>0</v>
      </c>
    </row>
    <row r="779" spans="1:24" x14ac:dyDescent="0.35">
      <c r="A779" t="s">
        <v>8</v>
      </c>
      <c r="B779" t="s">
        <v>9</v>
      </c>
      <c r="C779" t="str">
        <f t="shared" si="106"/>
        <v>11252</v>
      </c>
      <c r="D779" t="s">
        <v>14</v>
      </c>
      <c r="E779" t="str">
        <f t="shared" si="107"/>
        <v>29</v>
      </c>
      <c r="F779">
        <v>49717</v>
      </c>
      <c r="G779">
        <v>44678</v>
      </c>
      <c r="H779">
        <v>2069</v>
      </c>
      <c r="I779" t="str">
        <f t="shared" si="104"/>
        <v>5</v>
      </c>
      <c r="J779" t="str">
        <f t="shared" si="105"/>
        <v>VLAAMS BELANG</v>
      </c>
      <c r="K779">
        <v>2082</v>
      </c>
      <c r="L779">
        <v>3712</v>
      </c>
      <c r="M779">
        <v>5794</v>
      </c>
      <c r="N779">
        <v>4636</v>
      </c>
      <c r="O779">
        <v>4</v>
      </c>
      <c r="P779" t="str">
        <f>("29")</f>
        <v>29</v>
      </c>
      <c r="Q779" t="str">
        <f>("ROTHMAYER Marina")</f>
        <v>ROTHMAYER Marina</v>
      </c>
      <c r="R779">
        <v>191</v>
      </c>
      <c r="S779" t="s">
        <v>44</v>
      </c>
      <c r="T779">
        <v>0</v>
      </c>
      <c r="V779">
        <v>3</v>
      </c>
      <c r="W779">
        <v>191</v>
      </c>
      <c r="X779">
        <v>0</v>
      </c>
    </row>
    <row r="780" spans="1:24" x14ac:dyDescent="0.35">
      <c r="A780" t="s">
        <v>8</v>
      </c>
      <c r="B780" t="s">
        <v>9</v>
      </c>
      <c r="C780" t="str">
        <f t="shared" si="106"/>
        <v>11252</v>
      </c>
      <c r="D780" t="s">
        <v>14</v>
      </c>
      <c r="E780" t="str">
        <f t="shared" si="107"/>
        <v>29</v>
      </c>
      <c r="F780">
        <v>49717</v>
      </c>
      <c r="G780">
        <v>44678</v>
      </c>
      <c r="H780">
        <v>2069</v>
      </c>
      <c r="I780" t="str">
        <f t="shared" ref="I780:I808" si="108">("6")</f>
        <v>6</v>
      </c>
      <c r="J780" t="str">
        <f t="shared" ref="J780:J808" si="109">("Open Vld")</f>
        <v>Open Vld</v>
      </c>
      <c r="K780">
        <v>585</v>
      </c>
      <c r="L780">
        <v>990</v>
      </c>
      <c r="M780">
        <v>1575</v>
      </c>
      <c r="N780">
        <v>788</v>
      </c>
      <c r="O780">
        <v>1</v>
      </c>
      <c r="P780" t="str">
        <f>("1")</f>
        <v>1</v>
      </c>
      <c r="Q780" t="str">
        <f>("LORENT Freddy")</f>
        <v>LORENT Freddy</v>
      </c>
      <c r="R780">
        <v>301</v>
      </c>
      <c r="S780">
        <v>496</v>
      </c>
      <c r="T780">
        <v>0</v>
      </c>
      <c r="U780">
        <v>1</v>
      </c>
    </row>
    <row r="781" spans="1:24" x14ac:dyDescent="0.35">
      <c r="A781" t="s">
        <v>8</v>
      </c>
      <c r="B781" t="s">
        <v>9</v>
      </c>
      <c r="C781" t="str">
        <f t="shared" si="106"/>
        <v>11252</v>
      </c>
      <c r="D781" t="s">
        <v>14</v>
      </c>
      <c r="E781" t="str">
        <f t="shared" si="107"/>
        <v>29</v>
      </c>
      <c r="F781">
        <v>49717</v>
      </c>
      <c r="G781">
        <v>44678</v>
      </c>
      <c r="H781">
        <v>2069</v>
      </c>
      <c r="I781" t="str">
        <f t="shared" si="108"/>
        <v>6</v>
      </c>
      <c r="J781" t="str">
        <f t="shared" si="109"/>
        <v>Open Vld</v>
      </c>
      <c r="K781">
        <v>585</v>
      </c>
      <c r="L781">
        <v>990</v>
      </c>
      <c r="M781">
        <v>1575</v>
      </c>
      <c r="N781">
        <v>788</v>
      </c>
      <c r="O781">
        <v>1</v>
      </c>
      <c r="P781" t="str">
        <f>("2")</f>
        <v>2</v>
      </c>
      <c r="Q781" t="str">
        <f>("KILOULI Karima")</f>
        <v>KILOULI Karima</v>
      </c>
      <c r="R781">
        <v>112</v>
      </c>
      <c r="S781" t="s">
        <v>44</v>
      </c>
      <c r="T781">
        <v>0</v>
      </c>
      <c r="V781">
        <v>1</v>
      </c>
      <c r="W781">
        <v>307</v>
      </c>
      <c r="X781">
        <v>0</v>
      </c>
    </row>
    <row r="782" spans="1:24" x14ac:dyDescent="0.35">
      <c r="A782" t="s">
        <v>8</v>
      </c>
      <c r="B782" t="s">
        <v>9</v>
      </c>
      <c r="C782" t="str">
        <f t="shared" si="106"/>
        <v>11252</v>
      </c>
      <c r="D782" t="s">
        <v>14</v>
      </c>
      <c r="E782" t="str">
        <f t="shared" si="107"/>
        <v>29</v>
      </c>
      <c r="F782">
        <v>49717</v>
      </c>
      <c r="G782">
        <v>44678</v>
      </c>
      <c r="H782">
        <v>2069</v>
      </c>
      <c r="I782" t="str">
        <f t="shared" si="108"/>
        <v>6</v>
      </c>
      <c r="J782" t="str">
        <f t="shared" si="109"/>
        <v>Open Vld</v>
      </c>
      <c r="K782">
        <v>585</v>
      </c>
      <c r="L782">
        <v>990</v>
      </c>
      <c r="M782">
        <v>1575</v>
      </c>
      <c r="N782">
        <v>788</v>
      </c>
      <c r="O782">
        <v>1</v>
      </c>
      <c r="P782" t="str">
        <f>("3")</f>
        <v>3</v>
      </c>
      <c r="Q782" t="str">
        <f>("VAN LOON Benny")</f>
        <v>VAN LOON Benny</v>
      </c>
      <c r="R782">
        <v>112</v>
      </c>
      <c r="S782" t="s">
        <v>44</v>
      </c>
      <c r="T782">
        <v>0</v>
      </c>
      <c r="V782">
        <v>4</v>
      </c>
      <c r="W782">
        <v>112</v>
      </c>
      <c r="X782">
        <v>0</v>
      </c>
    </row>
    <row r="783" spans="1:24" x14ac:dyDescent="0.35">
      <c r="A783" t="s">
        <v>8</v>
      </c>
      <c r="B783" t="s">
        <v>9</v>
      </c>
      <c r="C783" t="str">
        <f t="shared" si="106"/>
        <v>11252</v>
      </c>
      <c r="D783" t="s">
        <v>14</v>
      </c>
      <c r="E783" t="str">
        <f t="shared" si="107"/>
        <v>29</v>
      </c>
      <c r="F783">
        <v>49717</v>
      </c>
      <c r="G783">
        <v>44678</v>
      </c>
      <c r="H783">
        <v>2069</v>
      </c>
      <c r="I783" t="str">
        <f t="shared" si="108"/>
        <v>6</v>
      </c>
      <c r="J783" t="str">
        <f t="shared" si="109"/>
        <v>Open Vld</v>
      </c>
      <c r="K783">
        <v>585</v>
      </c>
      <c r="L783">
        <v>990</v>
      </c>
      <c r="M783">
        <v>1575</v>
      </c>
      <c r="N783">
        <v>788</v>
      </c>
      <c r="O783">
        <v>1</v>
      </c>
      <c r="P783" t="str">
        <f>("4")</f>
        <v>4</v>
      </c>
      <c r="Q783" t="str">
        <f>("ROOTHOOFD Cindy")</f>
        <v>ROOTHOOFD Cindy</v>
      </c>
      <c r="R783">
        <v>136</v>
      </c>
      <c r="S783" t="s">
        <v>44</v>
      </c>
      <c r="T783">
        <v>0</v>
      </c>
      <c r="V783">
        <v>3</v>
      </c>
      <c r="W783">
        <v>136</v>
      </c>
      <c r="X783">
        <v>0</v>
      </c>
    </row>
    <row r="784" spans="1:24" x14ac:dyDescent="0.35">
      <c r="A784" t="s">
        <v>8</v>
      </c>
      <c r="B784" t="s">
        <v>9</v>
      </c>
      <c r="C784" t="str">
        <f t="shared" si="106"/>
        <v>11252</v>
      </c>
      <c r="D784" t="s">
        <v>14</v>
      </c>
      <c r="E784" t="str">
        <f t="shared" si="107"/>
        <v>29</v>
      </c>
      <c r="F784">
        <v>49717</v>
      </c>
      <c r="G784">
        <v>44678</v>
      </c>
      <c r="H784">
        <v>2069</v>
      </c>
      <c r="I784" t="str">
        <f t="shared" si="108"/>
        <v>6</v>
      </c>
      <c r="J784" t="str">
        <f t="shared" si="109"/>
        <v>Open Vld</v>
      </c>
      <c r="K784">
        <v>585</v>
      </c>
      <c r="L784">
        <v>990</v>
      </c>
      <c r="M784">
        <v>1575</v>
      </c>
      <c r="N784">
        <v>788</v>
      </c>
      <c r="O784">
        <v>1</v>
      </c>
      <c r="P784" t="str">
        <f>("5")</f>
        <v>5</v>
      </c>
      <c r="Q784" t="str">
        <f>("LEYDER Marc")</f>
        <v>LEYDER Marc</v>
      </c>
      <c r="R784">
        <v>70</v>
      </c>
      <c r="S784" t="s">
        <v>44</v>
      </c>
      <c r="T784">
        <v>0</v>
      </c>
      <c r="V784">
        <v>5</v>
      </c>
      <c r="W784">
        <v>70</v>
      </c>
      <c r="X784">
        <v>0</v>
      </c>
    </row>
    <row r="785" spans="1:24" x14ac:dyDescent="0.35">
      <c r="A785" t="s">
        <v>8</v>
      </c>
      <c r="B785" t="s">
        <v>9</v>
      </c>
      <c r="C785" t="str">
        <f t="shared" si="106"/>
        <v>11252</v>
      </c>
      <c r="D785" t="s">
        <v>14</v>
      </c>
      <c r="E785" t="str">
        <f t="shared" si="107"/>
        <v>29</v>
      </c>
      <c r="F785">
        <v>49717</v>
      </c>
      <c r="G785">
        <v>44678</v>
      </c>
      <c r="H785">
        <v>2069</v>
      </c>
      <c r="I785" t="str">
        <f t="shared" si="108"/>
        <v>6</v>
      </c>
      <c r="J785" t="str">
        <f t="shared" si="109"/>
        <v>Open Vld</v>
      </c>
      <c r="K785">
        <v>585</v>
      </c>
      <c r="L785">
        <v>990</v>
      </c>
      <c r="M785">
        <v>1575</v>
      </c>
      <c r="N785">
        <v>788</v>
      </c>
      <c r="O785">
        <v>1</v>
      </c>
      <c r="P785" t="str">
        <f>("6")</f>
        <v>6</v>
      </c>
      <c r="Q785" t="str">
        <f>("BOONE Gillaine")</f>
        <v>BOONE Gillaine</v>
      </c>
      <c r="R785">
        <v>40</v>
      </c>
      <c r="S785" t="s">
        <v>44</v>
      </c>
      <c r="T785">
        <v>0</v>
      </c>
      <c r="V785">
        <v>11</v>
      </c>
      <c r="W785">
        <v>40</v>
      </c>
      <c r="X785">
        <v>0</v>
      </c>
    </row>
    <row r="786" spans="1:24" x14ac:dyDescent="0.35">
      <c r="A786" t="s">
        <v>8</v>
      </c>
      <c r="B786" t="s">
        <v>9</v>
      </c>
      <c r="C786" t="str">
        <f t="shared" si="106"/>
        <v>11252</v>
      </c>
      <c r="D786" t="s">
        <v>14</v>
      </c>
      <c r="E786" t="str">
        <f t="shared" si="107"/>
        <v>29</v>
      </c>
      <c r="F786">
        <v>49717</v>
      </c>
      <c r="G786">
        <v>44678</v>
      </c>
      <c r="H786">
        <v>2069</v>
      </c>
      <c r="I786" t="str">
        <f t="shared" si="108"/>
        <v>6</v>
      </c>
      <c r="J786" t="str">
        <f t="shared" si="109"/>
        <v>Open Vld</v>
      </c>
      <c r="K786">
        <v>585</v>
      </c>
      <c r="L786">
        <v>990</v>
      </c>
      <c r="M786">
        <v>1575</v>
      </c>
      <c r="N786">
        <v>788</v>
      </c>
      <c r="O786">
        <v>1</v>
      </c>
      <c r="P786" t="str">
        <f>("7")</f>
        <v>7</v>
      </c>
      <c r="Q786" t="str">
        <f>("HALIN Michel")</f>
        <v>HALIN Michel</v>
      </c>
      <c r="R786">
        <v>33</v>
      </c>
      <c r="S786" t="s">
        <v>44</v>
      </c>
      <c r="T786">
        <v>0</v>
      </c>
      <c r="V786">
        <v>17</v>
      </c>
      <c r="W786">
        <v>33</v>
      </c>
      <c r="X786">
        <v>0</v>
      </c>
    </row>
    <row r="787" spans="1:24" x14ac:dyDescent="0.35">
      <c r="A787" t="s">
        <v>8</v>
      </c>
      <c r="B787" t="s">
        <v>9</v>
      </c>
      <c r="C787" t="str">
        <f t="shared" si="106"/>
        <v>11252</v>
      </c>
      <c r="D787" t="s">
        <v>14</v>
      </c>
      <c r="E787" t="str">
        <f t="shared" si="107"/>
        <v>29</v>
      </c>
      <c r="F787">
        <v>49717</v>
      </c>
      <c r="G787">
        <v>44678</v>
      </c>
      <c r="H787">
        <v>2069</v>
      </c>
      <c r="I787" t="str">
        <f t="shared" si="108"/>
        <v>6</v>
      </c>
      <c r="J787" t="str">
        <f t="shared" si="109"/>
        <v>Open Vld</v>
      </c>
      <c r="K787">
        <v>585</v>
      </c>
      <c r="L787">
        <v>990</v>
      </c>
      <c r="M787">
        <v>1575</v>
      </c>
      <c r="N787">
        <v>788</v>
      </c>
      <c r="O787">
        <v>1</v>
      </c>
      <c r="P787" t="str">
        <f>("8")</f>
        <v>8</v>
      </c>
      <c r="Q787" t="str">
        <f>("DE RIDDER Louisa")</f>
        <v>DE RIDDER Louisa</v>
      </c>
      <c r="R787">
        <v>48</v>
      </c>
      <c r="S787" t="s">
        <v>44</v>
      </c>
      <c r="T787">
        <v>0</v>
      </c>
      <c r="V787">
        <v>9</v>
      </c>
      <c r="W787">
        <v>48</v>
      </c>
      <c r="X787">
        <v>0</v>
      </c>
    </row>
    <row r="788" spans="1:24" x14ac:dyDescent="0.35">
      <c r="A788" t="s">
        <v>8</v>
      </c>
      <c r="B788" t="s">
        <v>9</v>
      </c>
      <c r="C788" t="str">
        <f t="shared" si="106"/>
        <v>11252</v>
      </c>
      <c r="D788" t="s">
        <v>14</v>
      </c>
      <c r="E788" t="str">
        <f t="shared" si="107"/>
        <v>29</v>
      </c>
      <c r="F788">
        <v>49717</v>
      </c>
      <c r="G788">
        <v>44678</v>
      </c>
      <c r="H788">
        <v>2069</v>
      </c>
      <c r="I788" t="str">
        <f t="shared" si="108"/>
        <v>6</v>
      </c>
      <c r="J788" t="str">
        <f t="shared" si="109"/>
        <v>Open Vld</v>
      </c>
      <c r="K788">
        <v>585</v>
      </c>
      <c r="L788">
        <v>990</v>
      </c>
      <c r="M788">
        <v>1575</v>
      </c>
      <c r="N788">
        <v>788</v>
      </c>
      <c r="O788">
        <v>1</v>
      </c>
      <c r="P788" t="str">
        <f>("9")</f>
        <v>9</v>
      </c>
      <c r="Q788" t="str">
        <f>("BAEYENS Gilberte")</f>
        <v>BAEYENS Gilberte</v>
      </c>
      <c r="R788">
        <v>24</v>
      </c>
      <c r="S788" t="s">
        <v>44</v>
      </c>
      <c r="T788">
        <v>0</v>
      </c>
      <c r="V788">
        <v>21</v>
      </c>
      <c r="W788">
        <v>24</v>
      </c>
      <c r="X788">
        <v>0</v>
      </c>
    </row>
    <row r="789" spans="1:24" x14ac:dyDescent="0.35">
      <c r="A789" t="s">
        <v>8</v>
      </c>
      <c r="B789" t="s">
        <v>9</v>
      </c>
      <c r="C789" t="str">
        <f t="shared" si="106"/>
        <v>11252</v>
      </c>
      <c r="D789" t="s">
        <v>14</v>
      </c>
      <c r="E789" t="str">
        <f t="shared" si="107"/>
        <v>29</v>
      </c>
      <c r="F789">
        <v>49717</v>
      </c>
      <c r="G789">
        <v>44678</v>
      </c>
      <c r="H789">
        <v>2069</v>
      </c>
      <c r="I789" t="str">
        <f t="shared" si="108"/>
        <v>6</v>
      </c>
      <c r="J789" t="str">
        <f t="shared" si="109"/>
        <v>Open Vld</v>
      </c>
      <c r="K789">
        <v>585</v>
      </c>
      <c r="L789">
        <v>990</v>
      </c>
      <c r="M789">
        <v>1575</v>
      </c>
      <c r="N789">
        <v>788</v>
      </c>
      <c r="O789">
        <v>1</v>
      </c>
      <c r="P789" t="str">
        <f>("10")</f>
        <v>10</v>
      </c>
      <c r="Q789" t="str">
        <f>("BREE Nick")</f>
        <v>BREE Nick</v>
      </c>
      <c r="R789">
        <v>30</v>
      </c>
      <c r="S789" t="s">
        <v>44</v>
      </c>
      <c r="T789">
        <v>0</v>
      </c>
      <c r="V789">
        <v>18</v>
      </c>
      <c r="W789">
        <v>30</v>
      </c>
      <c r="X789">
        <v>0</v>
      </c>
    </row>
    <row r="790" spans="1:24" x14ac:dyDescent="0.35">
      <c r="A790" t="s">
        <v>8</v>
      </c>
      <c r="B790" t="s">
        <v>9</v>
      </c>
      <c r="C790" t="str">
        <f t="shared" si="106"/>
        <v>11252</v>
      </c>
      <c r="D790" t="s">
        <v>14</v>
      </c>
      <c r="E790" t="str">
        <f t="shared" si="107"/>
        <v>29</v>
      </c>
      <c r="F790">
        <v>49717</v>
      </c>
      <c r="G790">
        <v>44678</v>
      </c>
      <c r="H790">
        <v>2069</v>
      </c>
      <c r="I790" t="str">
        <f t="shared" si="108"/>
        <v>6</v>
      </c>
      <c r="J790" t="str">
        <f t="shared" si="109"/>
        <v>Open Vld</v>
      </c>
      <c r="K790">
        <v>585</v>
      </c>
      <c r="L790">
        <v>990</v>
      </c>
      <c r="M790">
        <v>1575</v>
      </c>
      <c r="N790">
        <v>788</v>
      </c>
      <c r="O790">
        <v>1</v>
      </c>
      <c r="P790" t="str">
        <f>("11")</f>
        <v>11</v>
      </c>
      <c r="Q790" t="str">
        <f>("MICHIELS Rita")</f>
        <v>MICHIELS Rita</v>
      </c>
      <c r="R790">
        <v>40</v>
      </c>
      <c r="S790" t="s">
        <v>44</v>
      </c>
      <c r="T790">
        <v>0</v>
      </c>
      <c r="V790">
        <v>12</v>
      </c>
      <c r="W790">
        <v>40</v>
      </c>
      <c r="X790">
        <v>0</v>
      </c>
    </row>
    <row r="791" spans="1:24" x14ac:dyDescent="0.35">
      <c r="A791" t="s">
        <v>8</v>
      </c>
      <c r="B791" t="s">
        <v>9</v>
      </c>
      <c r="C791" t="str">
        <f t="shared" si="106"/>
        <v>11252</v>
      </c>
      <c r="D791" t="s">
        <v>14</v>
      </c>
      <c r="E791" t="str">
        <f t="shared" si="107"/>
        <v>29</v>
      </c>
      <c r="F791">
        <v>49717</v>
      </c>
      <c r="G791">
        <v>44678</v>
      </c>
      <c r="H791">
        <v>2069</v>
      </c>
      <c r="I791" t="str">
        <f t="shared" si="108"/>
        <v>6</v>
      </c>
      <c r="J791" t="str">
        <f t="shared" si="109"/>
        <v>Open Vld</v>
      </c>
      <c r="K791">
        <v>585</v>
      </c>
      <c r="L791">
        <v>990</v>
      </c>
      <c r="M791">
        <v>1575</v>
      </c>
      <c r="N791">
        <v>788</v>
      </c>
      <c r="O791">
        <v>1</v>
      </c>
      <c r="P791" t="str">
        <f>("12")</f>
        <v>12</v>
      </c>
      <c r="Q791" t="str">
        <f>("KENENS Nadine")</f>
        <v>KENENS Nadine</v>
      </c>
      <c r="R791">
        <v>27</v>
      </c>
      <c r="S791" t="s">
        <v>44</v>
      </c>
      <c r="T791">
        <v>0</v>
      </c>
      <c r="V791">
        <v>19</v>
      </c>
      <c r="W791">
        <v>27</v>
      </c>
      <c r="X791">
        <v>0</v>
      </c>
    </row>
    <row r="792" spans="1:24" x14ac:dyDescent="0.35">
      <c r="A792" t="s">
        <v>8</v>
      </c>
      <c r="B792" t="s">
        <v>9</v>
      </c>
      <c r="C792" t="str">
        <f t="shared" si="106"/>
        <v>11252</v>
      </c>
      <c r="D792" t="s">
        <v>14</v>
      </c>
      <c r="E792" t="str">
        <f t="shared" si="107"/>
        <v>29</v>
      </c>
      <c r="F792">
        <v>49717</v>
      </c>
      <c r="G792">
        <v>44678</v>
      </c>
      <c r="H792">
        <v>2069</v>
      </c>
      <c r="I792" t="str">
        <f t="shared" si="108"/>
        <v>6</v>
      </c>
      <c r="J792" t="str">
        <f t="shared" si="109"/>
        <v>Open Vld</v>
      </c>
      <c r="K792">
        <v>585</v>
      </c>
      <c r="L792">
        <v>990</v>
      </c>
      <c r="M792">
        <v>1575</v>
      </c>
      <c r="N792">
        <v>788</v>
      </c>
      <c r="O792">
        <v>1</v>
      </c>
      <c r="P792" t="str">
        <f>("13")</f>
        <v>13</v>
      </c>
      <c r="Q792" t="str">
        <f>("DRIESEN Luc")</f>
        <v>DRIESEN Luc</v>
      </c>
      <c r="R792">
        <v>39</v>
      </c>
      <c r="S792" t="s">
        <v>44</v>
      </c>
      <c r="T792">
        <v>0</v>
      </c>
      <c r="V792">
        <v>13</v>
      </c>
      <c r="W792">
        <v>39</v>
      </c>
      <c r="X792">
        <v>0</v>
      </c>
    </row>
    <row r="793" spans="1:24" x14ac:dyDescent="0.35">
      <c r="A793" t="s">
        <v>8</v>
      </c>
      <c r="B793" t="s">
        <v>9</v>
      </c>
      <c r="C793" t="str">
        <f t="shared" si="106"/>
        <v>11252</v>
      </c>
      <c r="D793" t="s">
        <v>14</v>
      </c>
      <c r="E793" t="str">
        <f t="shared" si="107"/>
        <v>29</v>
      </c>
      <c r="F793">
        <v>49717</v>
      </c>
      <c r="G793">
        <v>44678</v>
      </c>
      <c r="H793">
        <v>2069</v>
      </c>
      <c r="I793" t="str">
        <f t="shared" si="108"/>
        <v>6</v>
      </c>
      <c r="J793" t="str">
        <f t="shared" si="109"/>
        <v>Open Vld</v>
      </c>
      <c r="K793">
        <v>585</v>
      </c>
      <c r="L793">
        <v>990</v>
      </c>
      <c r="M793">
        <v>1575</v>
      </c>
      <c r="N793">
        <v>788</v>
      </c>
      <c r="O793">
        <v>1</v>
      </c>
      <c r="P793" t="str">
        <f>("14")</f>
        <v>14</v>
      </c>
      <c r="Q793" t="str">
        <f>("PEETERS Maria")</f>
        <v>PEETERS Maria</v>
      </c>
      <c r="R793">
        <v>46</v>
      </c>
      <c r="S793" t="s">
        <v>44</v>
      </c>
      <c r="T793">
        <v>0</v>
      </c>
      <c r="V793">
        <v>10</v>
      </c>
      <c r="W793">
        <v>46</v>
      </c>
      <c r="X793">
        <v>0</v>
      </c>
    </row>
    <row r="794" spans="1:24" x14ac:dyDescent="0.35">
      <c r="A794" t="s">
        <v>8</v>
      </c>
      <c r="B794" t="s">
        <v>9</v>
      </c>
      <c r="C794" t="str">
        <f t="shared" si="106"/>
        <v>11252</v>
      </c>
      <c r="D794" t="s">
        <v>14</v>
      </c>
      <c r="E794" t="str">
        <f t="shared" si="107"/>
        <v>29</v>
      </c>
      <c r="F794">
        <v>49717</v>
      </c>
      <c r="G794">
        <v>44678</v>
      </c>
      <c r="H794">
        <v>2069</v>
      </c>
      <c r="I794" t="str">
        <f t="shared" si="108"/>
        <v>6</v>
      </c>
      <c r="J794" t="str">
        <f t="shared" si="109"/>
        <v>Open Vld</v>
      </c>
      <c r="K794">
        <v>585</v>
      </c>
      <c r="L794">
        <v>990</v>
      </c>
      <c r="M794">
        <v>1575</v>
      </c>
      <c r="N794">
        <v>788</v>
      </c>
      <c r="O794">
        <v>1</v>
      </c>
      <c r="P794" t="str">
        <f>("15")</f>
        <v>15</v>
      </c>
      <c r="Q794" t="str">
        <f>("VANDERVEE Ronny")</f>
        <v>VANDERVEE Ronny</v>
      </c>
      <c r="R794">
        <v>37</v>
      </c>
      <c r="S794" t="s">
        <v>44</v>
      </c>
      <c r="T794">
        <v>0</v>
      </c>
      <c r="V794">
        <v>14</v>
      </c>
      <c r="W794">
        <v>37</v>
      </c>
      <c r="X794">
        <v>0</v>
      </c>
    </row>
    <row r="795" spans="1:24" x14ac:dyDescent="0.35">
      <c r="A795" t="s">
        <v>8</v>
      </c>
      <c r="B795" t="s">
        <v>9</v>
      </c>
      <c r="C795" t="str">
        <f t="shared" si="106"/>
        <v>11252</v>
      </c>
      <c r="D795" t="s">
        <v>14</v>
      </c>
      <c r="E795" t="str">
        <f t="shared" si="107"/>
        <v>29</v>
      </c>
      <c r="F795">
        <v>49717</v>
      </c>
      <c r="G795">
        <v>44678</v>
      </c>
      <c r="H795">
        <v>2069</v>
      </c>
      <c r="I795" t="str">
        <f t="shared" si="108"/>
        <v>6</v>
      </c>
      <c r="J795" t="str">
        <f t="shared" si="109"/>
        <v>Open Vld</v>
      </c>
      <c r="K795">
        <v>585</v>
      </c>
      <c r="L795">
        <v>990</v>
      </c>
      <c r="M795">
        <v>1575</v>
      </c>
      <c r="N795">
        <v>788</v>
      </c>
      <c r="O795">
        <v>1</v>
      </c>
      <c r="P795" t="str">
        <f>("16")</f>
        <v>16</v>
      </c>
      <c r="Q795" t="str">
        <f>("EL GHANNOUTI Rachid")</f>
        <v>EL GHANNOUTI Rachid</v>
      </c>
      <c r="R795">
        <v>64</v>
      </c>
      <c r="S795" t="s">
        <v>44</v>
      </c>
      <c r="T795">
        <v>0</v>
      </c>
      <c r="V795">
        <v>7</v>
      </c>
      <c r="W795">
        <v>64</v>
      </c>
      <c r="X795">
        <v>0</v>
      </c>
    </row>
    <row r="796" spans="1:24" x14ac:dyDescent="0.35">
      <c r="A796" t="s">
        <v>8</v>
      </c>
      <c r="B796" t="s">
        <v>9</v>
      </c>
      <c r="C796" t="str">
        <f t="shared" si="106"/>
        <v>11252</v>
      </c>
      <c r="D796" t="s">
        <v>14</v>
      </c>
      <c r="E796" t="str">
        <f t="shared" si="107"/>
        <v>29</v>
      </c>
      <c r="F796">
        <v>49717</v>
      </c>
      <c r="G796">
        <v>44678</v>
      </c>
      <c r="H796">
        <v>2069</v>
      </c>
      <c r="I796" t="str">
        <f t="shared" si="108"/>
        <v>6</v>
      </c>
      <c r="J796" t="str">
        <f t="shared" si="109"/>
        <v>Open Vld</v>
      </c>
      <c r="K796">
        <v>585</v>
      </c>
      <c r="L796">
        <v>990</v>
      </c>
      <c r="M796">
        <v>1575</v>
      </c>
      <c r="N796">
        <v>788</v>
      </c>
      <c r="O796">
        <v>1</v>
      </c>
      <c r="P796" t="str">
        <f>("17")</f>
        <v>17</v>
      </c>
      <c r="Q796" t="str">
        <f>("DE BACKER Patricia")</f>
        <v>DE BACKER Patricia</v>
      </c>
      <c r="R796">
        <v>63</v>
      </c>
      <c r="S796" t="s">
        <v>44</v>
      </c>
      <c r="T796">
        <v>0</v>
      </c>
      <c r="V796">
        <v>8</v>
      </c>
      <c r="W796">
        <v>63</v>
      </c>
      <c r="X796">
        <v>0</v>
      </c>
    </row>
    <row r="797" spans="1:24" x14ac:dyDescent="0.35">
      <c r="A797" t="s">
        <v>8</v>
      </c>
      <c r="B797" t="s">
        <v>9</v>
      </c>
      <c r="C797" t="str">
        <f t="shared" si="106"/>
        <v>11252</v>
      </c>
      <c r="D797" t="s">
        <v>14</v>
      </c>
      <c r="E797" t="str">
        <f t="shared" si="107"/>
        <v>29</v>
      </c>
      <c r="F797">
        <v>49717</v>
      </c>
      <c r="G797">
        <v>44678</v>
      </c>
      <c r="H797">
        <v>2069</v>
      </c>
      <c r="I797" t="str">
        <f t="shared" si="108"/>
        <v>6</v>
      </c>
      <c r="J797" t="str">
        <f t="shared" si="109"/>
        <v>Open Vld</v>
      </c>
      <c r="K797">
        <v>585</v>
      </c>
      <c r="L797">
        <v>990</v>
      </c>
      <c r="M797">
        <v>1575</v>
      </c>
      <c r="N797">
        <v>788</v>
      </c>
      <c r="O797">
        <v>1</v>
      </c>
      <c r="P797" t="str">
        <f>("18")</f>
        <v>18</v>
      </c>
      <c r="Q797" t="str">
        <f>("DE FEVER Frank")</f>
        <v>DE FEVER Frank</v>
      </c>
      <c r="R797">
        <v>20</v>
      </c>
      <c r="S797" t="s">
        <v>44</v>
      </c>
      <c r="T797">
        <v>0</v>
      </c>
      <c r="V797">
        <v>24</v>
      </c>
      <c r="W797">
        <v>20</v>
      </c>
      <c r="X797">
        <v>0</v>
      </c>
    </row>
    <row r="798" spans="1:24" x14ac:dyDescent="0.35">
      <c r="A798" t="s">
        <v>8</v>
      </c>
      <c r="B798" t="s">
        <v>9</v>
      </c>
      <c r="C798" t="str">
        <f t="shared" si="106"/>
        <v>11252</v>
      </c>
      <c r="D798" t="s">
        <v>14</v>
      </c>
      <c r="E798" t="str">
        <f t="shared" si="107"/>
        <v>29</v>
      </c>
      <c r="F798">
        <v>49717</v>
      </c>
      <c r="G798">
        <v>44678</v>
      </c>
      <c r="H798">
        <v>2069</v>
      </c>
      <c r="I798" t="str">
        <f t="shared" si="108"/>
        <v>6</v>
      </c>
      <c r="J798" t="str">
        <f t="shared" si="109"/>
        <v>Open Vld</v>
      </c>
      <c r="K798">
        <v>585</v>
      </c>
      <c r="L798">
        <v>990</v>
      </c>
      <c r="M798">
        <v>1575</v>
      </c>
      <c r="N798">
        <v>788</v>
      </c>
      <c r="O798">
        <v>1</v>
      </c>
      <c r="P798" t="str">
        <f>("19")</f>
        <v>19</v>
      </c>
      <c r="Q798" t="str">
        <f>("ASSELBERGHS Jonas")</f>
        <v>ASSELBERGHS Jonas</v>
      </c>
      <c r="R798">
        <v>23</v>
      </c>
      <c r="S798" t="s">
        <v>44</v>
      </c>
      <c r="T798">
        <v>0</v>
      </c>
      <c r="V798">
        <v>23</v>
      </c>
      <c r="W798">
        <v>23</v>
      </c>
      <c r="X798">
        <v>0</v>
      </c>
    </row>
    <row r="799" spans="1:24" x14ac:dyDescent="0.35">
      <c r="A799" t="s">
        <v>8</v>
      </c>
      <c r="B799" t="s">
        <v>9</v>
      </c>
      <c r="C799" t="str">
        <f t="shared" si="106"/>
        <v>11252</v>
      </c>
      <c r="D799" t="s">
        <v>14</v>
      </c>
      <c r="E799" t="str">
        <f t="shared" si="107"/>
        <v>29</v>
      </c>
      <c r="F799">
        <v>49717</v>
      </c>
      <c r="G799">
        <v>44678</v>
      </c>
      <c r="H799">
        <v>2069</v>
      </c>
      <c r="I799" t="str">
        <f t="shared" si="108"/>
        <v>6</v>
      </c>
      <c r="J799" t="str">
        <f t="shared" si="109"/>
        <v>Open Vld</v>
      </c>
      <c r="K799">
        <v>585</v>
      </c>
      <c r="L799">
        <v>990</v>
      </c>
      <c r="M799">
        <v>1575</v>
      </c>
      <c r="N799">
        <v>788</v>
      </c>
      <c r="O799">
        <v>1</v>
      </c>
      <c r="P799" t="str">
        <f>("20")</f>
        <v>20</v>
      </c>
      <c r="Q799" t="str">
        <f>("ASSELBERGHS Luis")</f>
        <v>ASSELBERGHS Luis</v>
      </c>
      <c r="R799">
        <v>19</v>
      </c>
      <c r="S799" t="s">
        <v>44</v>
      </c>
      <c r="T799">
        <v>0</v>
      </c>
      <c r="V799">
        <v>26</v>
      </c>
      <c r="W799">
        <v>19</v>
      </c>
      <c r="X799">
        <v>0</v>
      </c>
    </row>
    <row r="800" spans="1:24" x14ac:dyDescent="0.35">
      <c r="A800" t="s">
        <v>8</v>
      </c>
      <c r="B800" t="s">
        <v>9</v>
      </c>
      <c r="C800" t="str">
        <f t="shared" si="106"/>
        <v>11252</v>
      </c>
      <c r="D800" t="s">
        <v>14</v>
      </c>
      <c r="E800" t="str">
        <f t="shared" si="107"/>
        <v>29</v>
      </c>
      <c r="F800">
        <v>49717</v>
      </c>
      <c r="G800">
        <v>44678</v>
      </c>
      <c r="H800">
        <v>2069</v>
      </c>
      <c r="I800" t="str">
        <f t="shared" si="108"/>
        <v>6</v>
      </c>
      <c r="J800" t="str">
        <f t="shared" si="109"/>
        <v>Open Vld</v>
      </c>
      <c r="K800">
        <v>585</v>
      </c>
      <c r="L800">
        <v>990</v>
      </c>
      <c r="M800">
        <v>1575</v>
      </c>
      <c r="N800">
        <v>788</v>
      </c>
      <c r="O800">
        <v>1</v>
      </c>
      <c r="P800" t="str">
        <f>("21")</f>
        <v>21</v>
      </c>
      <c r="Q800" t="str">
        <f>("DE WOLF Wendy")</f>
        <v>DE WOLF Wendy</v>
      </c>
      <c r="R800">
        <v>37</v>
      </c>
      <c r="S800" t="s">
        <v>44</v>
      </c>
      <c r="T800">
        <v>0</v>
      </c>
      <c r="V800">
        <v>15</v>
      </c>
      <c r="W800">
        <v>37</v>
      </c>
      <c r="X800">
        <v>0</v>
      </c>
    </row>
    <row r="801" spans="1:24" x14ac:dyDescent="0.35">
      <c r="A801" t="s">
        <v>8</v>
      </c>
      <c r="B801" t="s">
        <v>9</v>
      </c>
      <c r="C801" t="str">
        <f t="shared" si="106"/>
        <v>11252</v>
      </c>
      <c r="D801" t="s">
        <v>14</v>
      </c>
      <c r="E801" t="str">
        <f t="shared" si="107"/>
        <v>29</v>
      </c>
      <c r="F801">
        <v>49717</v>
      </c>
      <c r="G801">
        <v>44678</v>
      </c>
      <c r="H801">
        <v>2069</v>
      </c>
      <c r="I801" t="str">
        <f t="shared" si="108"/>
        <v>6</v>
      </c>
      <c r="J801" t="str">
        <f t="shared" si="109"/>
        <v>Open Vld</v>
      </c>
      <c r="K801">
        <v>585</v>
      </c>
      <c r="L801">
        <v>990</v>
      </c>
      <c r="M801">
        <v>1575</v>
      </c>
      <c r="N801">
        <v>788</v>
      </c>
      <c r="O801">
        <v>1</v>
      </c>
      <c r="P801" t="str">
        <f>("22")</f>
        <v>22</v>
      </c>
      <c r="Q801" t="str">
        <f>("MATHIS Jacques")</f>
        <v>MATHIS Jacques</v>
      </c>
      <c r="R801">
        <v>17</v>
      </c>
      <c r="S801" t="s">
        <v>44</v>
      </c>
      <c r="T801">
        <v>0</v>
      </c>
      <c r="V801">
        <v>27</v>
      </c>
      <c r="W801">
        <v>17</v>
      </c>
      <c r="X801">
        <v>0</v>
      </c>
    </row>
    <row r="802" spans="1:24" x14ac:dyDescent="0.35">
      <c r="A802" t="s">
        <v>8</v>
      </c>
      <c r="B802" t="s">
        <v>9</v>
      </c>
      <c r="C802" t="str">
        <f t="shared" si="106"/>
        <v>11252</v>
      </c>
      <c r="D802" t="s">
        <v>14</v>
      </c>
      <c r="E802" t="str">
        <f t="shared" si="107"/>
        <v>29</v>
      </c>
      <c r="F802">
        <v>49717</v>
      </c>
      <c r="G802">
        <v>44678</v>
      </c>
      <c r="H802">
        <v>2069</v>
      </c>
      <c r="I802" t="str">
        <f t="shared" si="108"/>
        <v>6</v>
      </c>
      <c r="J802" t="str">
        <f t="shared" si="109"/>
        <v>Open Vld</v>
      </c>
      <c r="K802">
        <v>585</v>
      </c>
      <c r="L802">
        <v>990</v>
      </c>
      <c r="M802">
        <v>1575</v>
      </c>
      <c r="N802">
        <v>788</v>
      </c>
      <c r="O802">
        <v>1</v>
      </c>
      <c r="P802" t="str">
        <f>("23")</f>
        <v>23</v>
      </c>
      <c r="Q802" t="str">
        <f>("POLS Gilberte")</f>
        <v>POLS Gilberte</v>
      </c>
      <c r="R802">
        <v>20</v>
      </c>
      <c r="S802" t="s">
        <v>44</v>
      </c>
      <c r="T802">
        <v>0</v>
      </c>
      <c r="V802">
        <v>25</v>
      </c>
      <c r="W802">
        <v>20</v>
      </c>
      <c r="X802">
        <v>0</v>
      </c>
    </row>
    <row r="803" spans="1:24" x14ac:dyDescent="0.35">
      <c r="A803" t="s">
        <v>8</v>
      </c>
      <c r="B803" t="s">
        <v>9</v>
      </c>
      <c r="C803" t="str">
        <f t="shared" si="106"/>
        <v>11252</v>
      </c>
      <c r="D803" t="s">
        <v>14</v>
      </c>
      <c r="E803" t="str">
        <f t="shared" si="107"/>
        <v>29</v>
      </c>
      <c r="F803">
        <v>49717</v>
      </c>
      <c r="G803">
        <v>44678</v>
      </c>
      <c r="H803">
        <v>2069</v>
      </c>
      <c r="I803" t="str">
        <f t="shared" si="108"/>
        <v>6</v>
      </c>
      <c r="J803" t="str">
        <f t="shared" si="109"/>
        <v>Open Vld</v>
      </c>
      <c r="K803">
        <v>585</v>
      </c>
      <c r="L803">
        <v>990</v>
      </c>
      <c r="M803">
        <v>1575</v>
      </c>
      <c r="N803">
        <v>788</v>
      </c>
      <c r="O803">
        <v>1</v>
      </c>
      <c r="P803" t="str">
        <f>("24")</f>
        <v>24</v>
      </c>
      <c r="Q803" t="str">
        <f>("DU BOIS Patricia")</f>
        <v>DU BOIS Patricia</v>
      </c>
      <c r="R803">
        <v>26</v>
      </c>
      <c r="S803" t="s">
        <v>44</v>
      </c>
      <c r="T803">
        <v>0</v>
      </c>
      <c r="V803">
        <v>20</v>
      </c>
      <c r="W803">
        <v>26</v>
      </c>
      <c r="X803">
        <v>0</v>
      </c>
    </row>
    <row r="804" spans="1:24" x14ac:dyDescent="0.35">
      <c r="A804" t="s">
        <v>8</v>
      </c>
      <c r="B804" t="s">
        <v>9</v>
      </c>
      <c r="C804" t="str">
        <f t="shared" si="106"/>
        <v>11252</v>
      </c>
      <c r="D804" t="s">
        <v>14</v>
      </c>
      <c r="E804" t="str">
        <f t="shared" si="107"/>
        <v>29</v>
      </c>
      <c r="F804">
        <v>49717</v>
      </c>
      <c r="G804">
        <v>44678</v>
      </c>
      <c r="H804">
        <v>2069</v>
      </c>
      <c r="I804" t="str">
        <f t="shared" si="108"/>
        <v>6</v>
      </c>
      <c r="J804" t="str">
        <f t="shared" si="109"/>
        <v>Open Vld</v>
      </c>
      <c r="K804">
        <v>585</v>
      </c>
      <c r="L804">
        <v>990</v>
      </c>
      <c r="M804">
        <v>1575</v>
      </c>
      <c r="N804">
        <v>788</v>
      </c>
      <c r="O804">
        <v>1</v>
      </c>
      <c r="P804" t="str">
        <f>("25")</f>
        <v>25</v>
      </c>
      <c r="Q804" t="str">
        <f>("DE BACKER Sandra")</f>
        <v>DE BACKER Sandra</v>
      </c>
      <c r="R804">
        <v>66</v>
      </c>
      <c r="S804" t="s">
        <v>44</v>
      </c>
      <c r="T804">
        <v>0</v>
      </c>
      <c r="V804">
        <v>6</v>
      </c>
      <c r="W804">
        <v>66</v>
      </c>
      <c r="X804">
        <v>0</v>
      </c>
    </row>
    <row r="805" spans="1:24" x14ac:dyDescent="0.35">
      <c r="A805" t="s">
        <v>8</v>
      </c>
      <c r="B805" t="s">
        <v>9</v>
      </c>
      <c r="C805" t="str">
        <f t="shared" si="106"/>
        <v>11252</v>
      </c>
      <c r="D805" t="s">
        <v>14</v>
      </c>
      <c r="E805" t="str">
        <f t="shared" si="107"/>
        <v>29</v>
      </c>
      <c r="F805">
        <v>49717</v>
      </c>
      <c r="G805">
        <v>44678</v>
      </c>
      <c r="H805">
        <v>2069</v>
      </c>
      <c r="I805" t="str">
        <f t="shared" si="108"/>
        <v>6</v>
      </c>
      <c r="J805" t="str">
        <f t="shared" si="109"/>
        <v>Open Vld</v>
      </c>
      <c r="K805">
        <v>585</v>
      </c>
      <c r="L805">
        <v>990</v>
      </c>
      <c r="M805">
        <v>1575</v>
      </c>
      <c r="N805">
        <v>788</v>
      </c>
      <c r="O805">
        <v>1</v>
      </c>
      <c r="P805" t="str">
        <f>("26")</f>
        <v>26</v>
      </c>
      <c r="Q805" t="str">
        <f>("DE COCK Guido")</f>
        <v>DE COCK Guido</v>
      </c>
      <c r="R805">
        <v>15</v>
      </c>
      <c r="S805" t="s">
        <v>44</v>
      </c>
      <c r="T805">
        <v>0</v>
      </c>
      <c r="V805">
        <v>28</v>
      </c>
      <c r="W805">
        <v>15</v>
      </c>
      <c r="X805">
        <v>0</v>
      </c>
    </row>
    <row r="806" spans="1:24" x14ac:dyDescent="0.35">
      <c r="A806" t="s">
        <v>8</v>
      </c>
      <c r="B806" t="s">
        <v>9</v>
      </c>
      <c r="C806" t="str">
        <f t="shared" si="106"/>
        <v>11252</v>
      </c>
      <c r="D806" t="s">
        <v>14</v>
      </c>
      <c r="E806" t="str">
        <f t="shared" si="107"/>
        <v>29</v>
      </c>
      <c r="F806">
        <v>49717</v>
      </c>
      <c r="G806">
        <v>44678</v>
      </c>
      <c r="H806">
        <v>2069</v>
      </c>
      <c r="I806" t="str">
        <f t="shared" si="108"/>
        <v>6</v>
      </c>
      <c r="J806" t="str">
        <f t="shared" si="109"/>
        <v>Open Vld</v>
      </c>
      <c r="K806">
        <v>585</v>
      </c>
      <c r="L806">
        <v>990</v>
      </c>
      <c r="M806">
        <v>1575</v>
      </c>
      <c r="N806">
        <v>788</v>
      </c>
      <c r="O806">
        <v>1</v>
      </c>
      <c r="P806" t="str">
        <f>("27")</f>
        <v>27</v>
      </c>
      <c r="Q806" t="str">
        <f>("VAN LOON Anne-Marie")</f>
        <v>VAN LOON Anne-Marie</v>
      </c>
      <c r="R806">
        <v>34</v>
      </c>
      <c r="S806" t="s">
        <v>44</v>
      </c>
      <c r="T806">
        <v>0</v>
      </c>
      <c r="V806">
        <v>16</v>
      </c>
      <c r="W806">
        <v>34</v>
      </c>
      <c r="X806">
        <v>0</v>
      </c>
    </row>
    <row r="807" spans="1:24" x14ac:dyDescent="0.35">
      <c r="A807" t="s">
        <v>8</v>
      </c>
      <c r="B807" t="s">
        <v>9</v>
      </c>
      <c r="C807" t="str">
        <f t="shared" si="106"/>
        <v>11252</v>
      </c>
      <c r="D807" t="s">
        <v>14</v>
      </c>
      <c r="E807" t="str">
        <f t="shared" si="107"/>
        <v>29</v>
      </c>
      <c r="F807">
        <v>49717</v>
      </c>
      <c r="G807">
        <v>44678</v>
      </c>
      <c r="H807">
        <v>2069</v>
      </c>
      <c r="I807" t="str">
        <f t="shared" si="108"/>
        <v>6</v>
      </c>
      <c r="J807" t="str">
        <f t="shared" si="109"/>
        <v>Open Vld</v>
      </c>
      <c r="K807">
        <v>585</v>
      </c>
      <c r="L807">
        <v>990</v>
      </c>
      <c r="M807">
        <v>1575</v>
      </c>
      <c r="N807">
        <v>788</v>
      </c>
      <c r="O807">
        <v>1</v>
      </c>
      <c r="P807" t="str">
        <f>("28")</f>
        <v>28</v>
      </c>
      <c r="Q807" t="str">
        <f>("AMARCHOUH Solaïman")</f>
        <v>AMARCHOUH Solaïman</v>
      </c>
      <c r="R807">
        <v>24</v>
      </c>
      <c r="S807" t="s">
        <v>44</v>
      </c>
      <c r="T807">
        <v>0</v>
      </c>
      <c r="V807">
        <v>22</v>
      </c>
      <c r="W807">
        <v>24</v>
      </c>
      <c r="X807">
        <v>0</v>
      </c>
    </row>
    <row r="808" spans="1:24" x14ac:dyDescent="0.35">
      <c r="A808" t="s">
        <v>8</v>
      </c>
      <c r="B808" t="s">
        <v>9</v>
      </c>
      <c r="C808" t="str">
        <f t="shared" si="106"/>
        <v>11252</v>
      </c>
      <c r="D808" t="s">
        <v>14</v>
      </c>
      <c r="E808" t="str">
        <f t="shared" si="107"/>
        <v>29</v>
      </c>
      <c r="F808">
        <v>49717</v>
      </c>
      <c r="G808">
        <v>44678</v>
      </c>
      <c r="H808">
        <v>2069</v>
      </c>
      <c r="I808" t="str">
        <f t="shared" si="108"/>
        <v>6</v>
      </c>
      <c r="J808" t="str">
        <f t="shared" si="109"/>
        <v>Open Vld</v>
      </c>
      <c r="K808">
        <v>585</v>
      </c>
      <c r="L808">
        <v>990</v>
      </c>
      <c r="M808">
        <v>1575</v>
      </c>
      <c r="N808">
        <v>788</v>
      </c>
      <c r="O808">
        <v>1</v>
      </c>
      <c r="P808" t="str">
        <f>("29")</f>
        <v>29</v>
      </c>
      <c r="Q808" t="str">
        <f>("POLIS Axel")</f>
        <v>POLIS Axel</v>
      </c>
      <c r="R808">
        <v>138</v>
      </c>
      <c r="S808" t="s">
        <v>44</v>
      </c>
      <c r="T808">
        <v>0</v>
      </c>
      <c r="V808">
        <v>2</v>
      </c>
      <c r="W808">
        <v>138</v>
      </c>
      <c r="X808">
        <v>0</v>
      </c>
    </row>
    <row r="809" spans="1:24" x14ac:dyDescent="0.35">
      <c r="A809" t="s">
        <v>8</v>
      </c>
      <c r="B809" t="s">
        <v>9</v>
      </c>
      <c r="C809" t="str">
        <f t="shared" si="106"/>
        <v>11252</v>
      </c>
      <c r="D809" t="s">
        <v>14</v>
      </c>
      <c r="E809" t="str">
        <f t="shared" si="107"/>
        <v>29</v>
      </c>
      <c r="F809">
        <v>49717</v>
      </c>
      <c r="G809">
        <v>44678</v>
      </c>
      <c r="H809">
        <v>2069</v>
      </c>
      <c r="I809" t="str">
        <f t="shared" ref="I809:I837" si="110">("7")</f>
        <v>7</v>
      </c>
      <c r="J809" t="str">
        <f t="shared" ref="J809:J837" si="111">("PVDA")</f>
        <v>PVDA</v>
      </c>
      <c r="K809">
        <v>1274</v>
      </c>
      <c r="L809">
        <v>3427</v>
      </c>
      <c r="M809">
        <v>4701</v>
      </c>
      <c r="N809">
        <v>3526</v>
      </c>
      <c r="O809">
        <v>3</v>
      </c>
      <c r="P809" t="str">
        <f>("1")</f>
        <v>1</v>
      </c>
      <c r="Q809" t="str">
        <f>("VISSERS Kristof")</f>
        <v>VISSERS Kristof</v>
      </c>
      <c r="R809">
        <v>996</v>
      </c>
      <c r="S809">
        <v>2270</v>
      </c>
      <c r="T809">
        <v>0</v>
      </c>
      <c r="U809">
        <v>1</v>
      </c>
    </row>
    <row r="810" spans="1:24" x14ac:dyDescent="0.35">
      <c r="A810" t="s">
        <v>8</v>
      </c>
      <c r="B810" t="s">
        <v>9</v>
      </c>
      <c r="C810" t="str">
        <f t="shared" si="106"/>
        <v>11252</v>
      </c>
      <c r="D810" t="s">
        <v>14</v>
      </c>
      <c r="E810" t="str">
        <f t="shared" si="107"/>
        <v>29</v>
      </c>
      <c r="F810">
        <v>49717</v>
      </c>
      <c r="G810">
        <v>44678</v>
      </c>
      <c r="H810">
        <v>2069</v>
      </c>
      <c r="I810" t="str">
        <f t="shared" si="110"/>
        <v>7</v>
      </c>
      <c r="J810" t="str">
        <f t="shared" si="111"/>
        <v>PVDA</v>
      </c>
      <c r="K810">
        <v>1274</v>
      </c>
      <c r="L810">
        <v>3427</v>
      </c>
      <c r="M810">
        <v>4701</v>
      </c>
      <c r="N810">
        <v>3526</v>
      </c>
      <c r="O810">
        <v>3</v>
      </c>
      <c r="P810" t="str">
        <f>("2")</f>
        <v>2</v>
      </c>
      <c r="Q810" t="str">
        <f>("TOUMI Manal")</f>
        <v>TOUMI Manal</v>
      </c>
      <c r="R810">
        <v>557</v>
      </c>
      <c r="S810">
        <v>557</v>
      </c>
      <c r="T810">
        <v>0</v>
      </c>
      <c r="U810">
        <v>2</v>
      </c>
    </row>
    <row r="811" spans="1:24" x14ac:dyDescent="0.35">
      <c r="A811" t="s">
        <v>8</v>
      </c>
      <c r="B811" t="s">
        <v>9</v>
      </c>
      <c r="C811" t="str">
        <f t="shared" si="106"/>
        <v>11252</v>
      </c>
      <c r="D811" t="s">
        <v>14</v>
      </c>
      <c r="E811" t="str">
        <f t="shared" si="107"/>
        <v>29</v>
      </c>
      <c r="F811">
        <v>49717</v>
      </c>
      <c r="G811">
        <v>44678</v>
      </c>
      <c r="H811">
        <v>2069</v>
      </c>
      <c r="I811" t="str">
        <f t="shared" si="110"/>
        <v>7</v>
      </c>
      <c r="J811" t="str">
        <f t="shared" si="111"/>
        <v>PVDA</v>
      </c>
      <c r="K811">
        <v>1274</v>
      </c>
      <c r="L811">
        <v>3427</v>
      </c>
      <c r="M811">
        <v>4701</v>
      </c>
      <c r="N811">
        <v>3526</v>
      </c>
      <c r="O811">
        <v>3</v>
      </c>
      <c r="P811" t="str">
        <f>("3")</f>
        <v>3</v>
      </c>
      <c r="Q811" t="str">
        <f>("OSTYN Bart")</f>
        <v>OSTYN Bart</v>
      </c>
      <c r="R811">
        <v>284</v>
      </c>
      <c r="S811" t="s">
        <v>44</v>
      </c>
      <c r="T811">
        <v>0</v>
      </c>
      <c r="V811">
        <v>1</v>
      </c>
      <c r="W811">
        <v>1558</v>
      </c>
      <c r="X811">
        <v>0</v>
      </c>
    </row>
    <row r="812" spans="1:24" x14ac:dyDescent="0.35">
      <c r="A812" t="s">
        <v>8</v>
      </c>
      <c r="B812" t="s">
        <v>9</v>
      </c>
      <c r="C812" t="str">
        <f t="shared" si="106"/>
        <v>11252</v>
      </c>
      <c r="D812" t="s">
        <v>14</v>
      </c>
      <c r="E812" t="str">
        <f t="shared" si="107"/>
        <v>29</v>
      </c>
      <c r="F812">
        <v>49717</v>
      </c>
      <c r="G812">
        <v>44678</v>
      </c>
      <c r="H812">
        <v>2069</v>
      </c>
      <c r="I812" t="str">
        <f t="shared" si="110"/>
        <v>7</v>
      </c>
      <c r="J812" t="str">
        <f t="shared" si="111"/>
        <v>PVDA</v>
      </c>
      <c r="K812">
        <v>1274</v>
      </c>
      <c r="L812">
        <v>3427</v>
      </c>
      <c r="M812">
        <v>4701</v>
      </c>
      <c r="N812">
        <v>3526</v>
      </c>
      <c r="O812">
        <v>3</v>
      </c>
      <c r="P812" t="str">
        <f>("4")</f>
        <v>4</v>
      </c>
      <c r="Q812" t="str">
        <f>("PEETERS Ans")</f>
        <v>PEETERS Ans</v>
      </c>
      <c r="R812">
        <v>301</v>
      </c>
      <c r="S812" t="s">
        <v>44</v>
      </c>
      <c r="T812">
        <v>0</v>
      </c>
      <c r="V812">
        <v>5</v>
      </c>
      <c r="W812">
        <v>301</v>
      </c>
      <c r="X812">
        <v>0</v>
      </c>
    </row>
    <row r="813" spans="1:24" x14ac:dyDescent="0.35">
      <c r="A813" t="s">
        <v>8</v>
      </c>
      <c r="B813" t="s">
        <v>9</v>
      </c>
      <c r="C813" t="str">
        <f t="shared" si="106"/>
        <v>11252</v>
      </c>
      <c r="D813" t="s">
        <v>14</v>
      </c>
      <c r="E813" t="str">
        <f t="shared" si="107"/>
        <v>29</v>
      </c>
      <c r="F813">
        <v>49717</v>
      </c>
      <c r="G813">
        <v>44678</v>
      </c>
      <c r="H813">
        <v>2069</v>
      </c>
      <c r="I813" t="str">
        <f t="shared" si="110"/>
        <v>7</v>
      </c>
      <c r="J813" t="str">
        <f t="shared" si="111"/>
        <v>PVDA</v>
      </c>
      <c r="K813">
        <v>1274</v>
      </c>
      <c r="L813">
        <v>3427</v>
      </c>
      <c r="M813">
        <v>4701</v>
      </c>
      <c r="N813">
        <v>3526</v>
      </c>
      <c r="O813">
        <v>3</v>
      </c>
      <c r="P813" t="str">
        <f>("5")</f>
        <v>5</v>
      </c>
      <c r="Q813" t="str">
        <f>("FARAH BOUH Kadra")</f>
        <v>FARAH BOUH Kadra</v>
      </c>
      <c r="R813">
        <v>439</v>
      </c>
      <c r="S813" t="s">
        <v>44</v>
      </c>
      <c r="T813">
        <v>0</v>
      </c>
      <c r="V813">
        <v>3</v>
      </c>
      <c r="W813">
        <v>439</v>
      </c>
      <c r="X813">
        <v>0</v>
      </c>
    </row>
    <row r="814" spans="1:24" x14ac:dyDescent="0.35">
      <c r="A814" t="s">
        <v>8</v>
      </c>
      <c r="B814" t="s">
        <v>9</v>
      </c>
      <c r="C814" t="str">
        <f t="shared" si="106"/>
        <v>11252</v>
      </c>
      <c r="D814" t="s">
        <v>14</v>
      </c>
      <c r="E814" t="str">
        <f t="shared" si="107"/>
        <v>29</v>
      </c>
      <c r="F814">
        <v>49717</v>
      </c>
      <c r="G814">
        <v>44678</v>
      </c>
      <c r="H814">
        <v>2069</v>
      </c>
      <c r="I814" t="str">
        <f t="shared" si="110"/>
        <v>7</v>
      </c>
      <c r="J814" t="str">
        <f t="shared" si="111"/>
        <v>PVDA</v>
      </c>
      <c r="K814">
        <v>1274</v>
      </c>
      <c r="L814">
        <v>3427</v>
      </c>
      <c r="M814">
        <v>4701</v>
      </c>
      <c r="N814">
        <v>3526</v>
      </c>
      <c r="O814">
        <v>3</v>
      </c>
      <c r="P814" t="str">
        <f>("6")</f>
        <v>6</v>
      </c>
      <c r="Q814" t="str">
        <f>("VAN DEN HEUVEL Joke")</f>
        <v>VAN DEN HEUVEL Joke</v>
      </c>
      <c r="R814">
        <v>167</v>
      </c>
      <c r="S814" t="s">
        <v>44</v>
      </c>
      <c r="T814">
        <v>0</v>
      </c>
      <c r="V814">
        <v>9</v>
      </c>
      <c r="W814">
        <v>167</v>
      </c>
      <c r="X814">
        <v>0</v>
      </c>
    </row>
    <row r="815" spans="1:24" x14ac:dyDescent="0.35">
      <c r="A815" t="s">
        <v>8</v>
      </c>
      <c r="B815" t="s">
        <v>9</v>
      </c>
      <c r="C815" t="str">
        <f t="shared" si="106"/>
        <v>11252</v>
      </c>
      <c r="D815" t="s">
        <v>14</v>
      </c>
      <c r="E815" t="str">
        <f t="shared" si="107"/>
        <v>29</v>
      </c>
      <c r="F815">
        <v>49717</v>
      </c>
      <c r="G815">
        <v>44678</v>
      </c>
      <c r="H815">
        <v>2069</v>
      </c>
      <c r="I815" t="str">
        <f t="shared" si="110"/>
        <v>7</v>
      </c>
      <c r="J815" t="str">
        <f t="shared" si="111"/>
        <v>PVDA</v>
      </c>
      <c r="K815">
        <v>1274</v>
      </c>
      <c r="L815">
        <v>3427</v>
      </c>
      <c r="M815">
        <v>4701</v>
      </c>
      <c r="N815">
        <v>3526</v>
      </c>
      <c r="O815">
        <v>3</v>
      </c>
      <c r="P815" t="str">
        <f>("7")</f>
        <v>7</v>
      </c>
      <c r="Q815" t="str">
        <f>("DIALLO Kadidia")</f>
        <v>DIALLO Kadidia</v>
      </c>
      <c r="R815">
        <v>163</v>
      </c>
      <c r="S815" t="s">
        <v>44</v>
      </c>
      <c r="T815">
        <v>0</v>
      </c>
      <c r="V815">
        <v>11</v>
      </c>
      <c r="W815">
        <v>163</v>
      </c>
      <c r="X815">
        <v>0</v>
      </c>
    </row>
    <row r="816" spans="1:24" x14ac:dyDescent="0.35">
      <c r="A816" t="s">
        <v>8</v>
      </c>
      <c r="B816" t="s">
        <v>9</v>
      </c>
      <c r="C816" t="str">
        <f t="shared" si="106"/>
        <v>11252</v>
      </c>
      <c r="D816" t="s">
        <v>14</v>
      </c>
      <c r="E816" t="str">
        <f t="shared" si="107"/>
        <v>29</v>
      </c>
      <c r="F816">
        <v>49717</v>
      </c>
      <c r="G816">
        <v>44678</v>
      </c>
      <c r="H816">
        <v>2069</v>
      </c>
      <c r="I816" t="str">
        <f t="shared" si="110"/>
        <v>7</v>
      </c>
      <c r="J816" t="str">
        <f t="shared" si="111"/>
        <v>PVDA</v>
      </c>
      <c r="K816">
        <v>1274</v>
      </c>
      <c r="L816">
        <v>3427</v>
      </c>
      <c r="M816">
        <v>4701</v>
      </c>
      <c r="N816">
        <v>3526</v>
      </c>
      <c r="O816">
        <v>3</v>
      </c>
      <c r="P816" t="str">
        <f>("8")</f>
        <v>8</v>
      </c>
      <c r="Q816" t="str">
        <f>("EL FADILI Abdelaziz")</f>
        <v>EL FADILI Abdelaziz</v>
      </c>
      <c r="R816">
        <v>490</v>
      </c>
      <c r="S816">
        <v>490</v>
      </c>
      <c r="T816">
        <v>0</v>
      </c>
      <c r="U816">
        <v>3</v>
      </c>
    </row>
    <row r="817" spans="1:24" x14ac:dyDescent="0.35">
      <c r="A817" t="s">
        <v>8</v>
      </c>
      <c r="B817" t="s">
        <v>9</v>
      </c>
      <c r="C817" t="str">
        <f t="shared" si="106"/>
        <v>11252</v>
      </c>
      <c r="D817" t="s">
        <v>14</v>
      </c>
      <c r="E817" t="str">
        <f t="shared" si="107"/>
        <v>29</v>
      </c>
      <c r="F817">
        <v>49717</v>
      </c>
      <c r="G817">
        <v>44678</v>
      </c>
      <c r="H817">
        <v>2069</v>
      </c>
      <c r="I817" t="str">
        <f t="shared" si="110"/>
        <v>7</v>
      </c>
      <c r="J817" t="str">
        <f t="shared" si="111"/>
        <v>PVDA</v>
      </c>
      <c r="K817">
        <v>1274</v>
      </c>
      <c r="L817">
        <v>3427</v>
      </c>
      <c r="M817">
        <v>4701</v>
      </c>
      <c r="N817">
        <v>3526</v>
      </c>
      <c r="O817">
        <v>3</v>
      </c>
      <c r="P817" t="str">
        <f>("9")</f>
        <v>9</v>
      </c>
      <c r="Q817" t="str">
        <f>("NAHOOY Philippe")</f>
        <v>NAHOOY Philippe</v>
      </c>
      <c r="R817">
        <v>103</v>
      </c>
      <c r="S817" t="s">
        <v>44</v>
      </c>
      <c r="T817">
        <v>0</v>
      </c>
      <c r="V817">
        <v>22</v>
      </c>
      <c r="W817">
        <v>103</v>
      </c>
      <c r="X817">
        <v>0</v>
      </c>
    </row>
    <row r="818" spans="1:24" x14ac:dyDescent="0.35">
      <c r="A818" t="s">
        <v>8</v>
      </c>
      <c r="B818" t="s">
        <v>9</v>
      </c>
      <c r="C818" t="str">
        <f t="shared" si="106"/>
        <v>11252</v>
      </c>
      <c r="D818" t="s">
        <v>14</v>
      </c>
      <c r="E818" t="str">
        <f t="shared" si="107"/>
        <v>29</v>
      </c>
      <c r="F818">
        <v>49717</v>
      </c>
      <c r="G818">
        <v>44678</v>
      </c>
      <c r="H818">
        <v>2069</v>
      </c>
      <c r="I818" t="str">
        <f t="shared" si="110"/>
        <v>7</v>
      </c>
      <c r="J818" t="str">
        <f t="shared" si="111"/>
        <v>PVDA</v>
      </c>
      <c r="K818">
        <v>1274</v>
      </c>
      <c r="L818">
        <v>3427</v>
      </c>
      <c r="M818">
        <v>4701</v>
      </c>
      <c r="N818">
        <v>3526</v>
      </c>
      <c r="O818">
        <v>3</v>
      </c>
      <c r="P818" t="str">
        <f>("10")</f>
        <v>10</v>
      </c>
      <c r="Q818" t="str">
        <f>("DUYM Piet")</f>
        <v>DUYM Piet</v>
      </c>
      <c r="R818">
        <v>118</v>
      </c>
      <c r="S818" t="s">
        <v>44</v>
      </c>
      <c r="T818">
        <v>0</v>
      </c>
      <c r="V818">
        <v>15</v>
      </c>
      <c r="W818">
        <v>118</v>
      </c>
      <c r="X818">
        <v>0</v>
      </c>
    </row>
    <row r="819" spans="1:24" x14ac:dyDescent="0.35">
      <c r="A819" t="s">
        <v>8</v>
      </c>
      <c r="B819" t="s">
        <v>9</v>
      </c>
      <c r="C819" t="str">
        <f t="shared" si="106"/>
        <v>11252</v>
      </c>
      <c r="D819" t="s">
        <v>14</v>
      </c>
      <c r="E819" t="str">
        <f t="shared" si="107"/>
        <v>29</v>
      </c>
      <c r="F819">
        <v>49717</v>
      </c>
      <c r="G819">
        <v>44678</v>
      </c>
      <c r="H819">
        <v>2069</v>
      </c>
      <c r="I819" t="str">
        <f t="shared" si="110"/>
        <v>7</v>
      </c>
      <c r="J819" t="str">
        <f t="shared" si="111"/>
        <v>PVDA</v>
      </c>
      <c r="K819">
        <v>1274</v>
      </c>
      <c r="L819">
        <v>3427</v>
      </c>
      <c r="M819">
        <v>4701</v>
      </c>
      <c r="N819">
        <v>3526</v>
      </c>
      <c r="O819">
        <v>3</v>
      </c>
      <c r="P819" t="str">
        <f>("11")</f>
        <v>11</v>
      </c>
      <c r="Q819" t="str">
        <f>("RYSMAN An")</f>
        <v>RYSMAN An</v>
      </c>
      <c r="R819">
        <v>118</v>
      </c>
      <c r="S819" t="s">
        <v>44</v>
      </c>
      <c r="T819">
        <v>0</v>
      </c>
      <c r="V819">
        <v>16</v>
      </c>
      <c r="W819">
        <v>118</v>
      </c>
      <c r="X819">
        <v>0</v>
      </c>
    </row>
    <row r="820" spans="1:24" x14ac:dyDescent="0.35">
      <c r="A820" t="s">
        <v>8</v>
      </c>
      <c r="B820" t="s">
        <v>9</v>
      </c>
      <c r="C820" t="str">
        <f t="shared" si="106"/>
        <v>11252</v>
      </c>
      <c r="D820" t="s">
        <v>14</v>
      </c>
      <c r="E820" t="str">
        <f t="shared" si="107"/>
        <v>29</v>
      </c>
      <c r="F820">
        <v>49717</v>
      </c>
      <c r="G820">
        <v>44678</v>
      </c>
      <c r="H820">
        <v>2069</v>
      </c>
      <c r="I820" t="str">
        <f t="shared" si="110"/>
        <v>7</v>
      </c>
      <c r="J820" t="str">
        <f t="shared" si="111"/>
        <v>PVDA</v>
      </c>
      <c r="K820">
        <v>1274</v>
      </c>
      <c r="L820">
        <v>3427</v>
      </c>
      <c r="M820">
        <v>4701</v>
      </c>
      <c r="N820">
        <v>3526</v>
      </c>
      <c r="O820">
        <v>3</v>
      </c>
      <c r="P820" t="str">
        <f>("12")</f>
        <v>12</v>
      </c>
      <c r="Q820" t="str">
        <f>("STRUYF Ronny")</f>
        <v>STRUYF Ronny</v>
      </c>
      <c r="R820">
        <v>116</v>
      </c>
      <c r="S820" t="s">
        <v>44</v>
      </c>
      <c r="T820">
        <v>0</v>
      </c>
      <c r="V820">
        <v>17</v>
      </c>
      <c r="W820">
        <v>116</v>
      </c>
      <c r="X820">
        <v>0</v>
      </c>
    </row>
    <row r="821" spans="1:24" x14ac:dyDescent="0.35">
      <c r="A821" t="s">
        <v>8</v>
      </c>
      <c r="B821" t="s">
        <v>9</v>
      </c>
      <c r="C821" t="str">
        <f t="shared" si="106"/>
        <v>11252</v>
      </c>
      <c r="D821" t="s">
        <v>14</v>
      </c>
      <c r="E821" t="str">
        <f t="shared" si="107"/>
        <v>29</v>
      </c>
      <c r="F821">
        <v>49717</v>
      </c>
      <c r="G821">
        <v>44678</v>
      </c>
      <c r="H821">
        <v>2069</v>
      </c>
      <c r="I821" t="str">
        <f t="shared" si="110"/>
        <v>7</v>
      </c>
      <c r="J821" t="str">
        <f t="shared" si="111"/>
        <v>PVDA</v>
      </c>
      <c r="K821">
        <v>1274</v>
      </c>
      <c r="L821">
        <v>3427</v>
      </c>
      <c r="M821">
        <v>4701</v>
      </c>
      <c r="N821">
        <v>3526</v>
      </c>
      <c r="O821">
        <v>3</v>
      </c>
      <c r="P821" t="str">
        <f>("13")</f>
        <v>13</v>
      </c>
      <c r="Q821" t="str">
        <f>("PARIDAENS Johnny")</f>
        <v>PARIDAENS Johnny</v>
      </c>
      <c r="R821">
        <v>101</v>
      </c>
      <c r="S821" t="s">
        <v>44</v>
      </c>
      <c r="T821">
        <v>0</v>
      </c>
      <c r="V821">
        <v>23</v>
      </c>
      <c r="W821">
        <v>101</v>
      </c>
      <c r="X821">
        <v>0</v>
      </c>
    </row>
    <row r="822" spans="1:24" x14ac:dyDescent="0.35">
      <c r="A822" t="s">
        <v>8</v>
      </c>
      <c r="B822" t="s">
        <v>9</v>
      </c>
      <c r="C822" t="str">
        <f t="shared" si="106"/>
        <v>11252</v>
      </c>
      <c r="D822" t="s">
        <v>14</v>
      </c>
      <c r="E822" t="str">
        <f t="shared" si="107"/>
        <v>29</v>
      </c>
      <c r="F822">
        <v>49717</v>
      </c>
      <c r="G822">
        <v>44678</v>
      </c>
      <c r="H822">
        <v>2069</v>
      </c>
      <c r="I822" t="str">
        <f t="shared" si="110"/>
        <v>7</v>
      </c>
      <c r="J822" t="str">
        <f t="shared" si="111"/>
        <v>PVDA</v>
      </c>
      <c r="K822">
        <v>1274</v>
      </c>
      <c r="L822">
        <v>3427</v>
      </c>
      <c r="M822">
        <v>4701</v>
      </c>
      <c r="N822">
        <v>3526</v>
      </c>
      <c r="O822">
        <v>3</v>
      </c>
      <c r="P822" t="str">
        <f>("14")</f>
        <v>14</v>
      </c>
      <c r="Q822" t="str">
        <f>("VAN GIEL Sonja")</f>
        <v>VAN GIEL Sonja</v>
      </c>
      <c r="R822">
        <v>130</v>
      </c>
      <c r="S822" t="s">
        <v>44</v>
      </c>
      <c r="T822">
        <v>0</v>
      </c>
      <c r="V822">
        <v>12</v>
      </c>
      <c r="W822">
        <v>130</v>
      </c>
      <c r="X822">
        <v>0</v>
      </c>
    </row>
    <row r="823" spans="1:24" x14ac:dyDescent="0.35">
      <c r="A823" t="s">
        <v>8</v>
      </c>
      <c r="B823" t="s">
        <v>9</v>
      </c>
      <c r="C823" t="str">
        <f t="shared" si="106"/>
        <v>11252</v>
      </c>
      <c r="D823" t="s">
        <v>14</v>
      </c>
      <c r="E823" t="str">
        <f t="shared" si="107"/>
        <v>29</v>
      </c>
      <c r="F823">
        <v>49717</v>
      </c>
      <c r="G823">
        <v>44678</v>
      </c>
      <c r="H823">
        <v>2069</v>
      </c>
      <c r="I823" t="str">
        <f t="shared" si="110"/>
        <v>7</v>
      </c>
      <c r="J823" t="str">
        <f t="shared" si="111"/>
        <v>PVDA</v>
      </c>
      <c r="K823">
        <v>1274</v>
      </c>
      <c r="L823">
        <v>3427</v>
      </c>
      <c r="M823">
        <v>4701</v>
      </c>
      <c r="N823">
        <v>3526</v>
      </c>
      <c r="O823">
        <v>3</v>
      </c>
      <c r="P823" t="str">
        <f>("15")</f>
        <v>15</v>
      </c>
      <c r="Q823" t="str">
        <f>("TORUN Onur")</f>
        <v>TORUN Onur</v>
      </c>
      <c r="R823">
        <v>207</v>
      </c>
      <c r="S823" t="s">
        <v>44</v>
      </c>
      <c r="T823">
        <v>0</v>
      </c>
      <c r="V823">
        <v>7</v>
      </c>
      <c r="W823">
        <v>207</v>
      </c>
      <c r="X823">
        <v>0</v>
      </c>
    </row>
    <row r="824" spans="1:24" x14ac:dyDescent="0.35">
      <c r="A824" t="s">
        <v>8</v>
      </c>
      <c r="B824" t="s">
        <v>9</v>
      </c>
      <c r="C824" t="str">
        <f t="shared" si="106"/>
        <v>11252</v>
      </c>
      <c r="D824" t="s">
        <v>14</v>
      </c>
      <c r="E824" t="str">
        <f t="shared" si="107"/>
        <v>29</v>
      </c>
      <c r="F824">
        <v>49717</v>
      </c>
      <c r="G824">
        <v>44678</v>
      </c>
      <c r="H824">
        <v>2069</v>
      </c>
      <c r="I824" t="str">
        <f t="shared" si="110"/>
        <v>7</v>
      </c>
      <c r="J824" t="str">
        <f t="shared" si="111"/>
        <v>PVDA</v>
      </c>
      <c r="K824">
        <v>1274</v>
      </c>
      <c r="L824">
        <v>3427</v>
      </c>
      <c r="M824">
        <v>4701</v>
      </c>
      <c r="N824">
        <v>3526</v>
      </c>
      <c r="O824">
        <v>3</v>
      </c>
      <c r="P824" t="str">
        <f>("16")</f>
        <v>16</v>
      </c>
      <c r="Q824" t="str">
        <f>("VERBERCK Kim")</f>
        <v>VERBERCK Kim</v>
      </c>
      <c r="R824">
        <v>181</v>
      </c>
      <c r="S824" t="s">
        <v>44</v>
      </c>
      <c r="T824">
        <v>0</v>
      </c>
      <c r="V824">
        <v>8</v>
      </c>
      <c r="W824">
        <v>181</v>
      </c>
      <c r="X824">
        <v>0</v>
      </c>
    </row>
    <row r="825" spans="1:24" x14ac:dyDescent="0.35">
      <c r="A825" t="s">
        <v>8</v>
      </c>
      <c r="B825" t="s">
        <v>9</v>
      </c>
      <c r="C825" t="str">
        <f t="shared" si="106"/>
        <v>11252</v>
      </c>
      <c r="D825" t="s">
        <v>14</v>
      </c>
      <c r="E825" t="str">
        <f t="shared" si="107"/>
        <v>29</v>
      </c>
      <c r="F825">
        <v>49717</v>
      </c>
      <c r="G825">
        <v>44678</v>
      </c>
      <c r="H825">
        <v>2069</v>
      </c>
      <c r="I825" t="str">
        <f t="shared" si="110"/>
        <v>7</v>
      </c>
      <c r="J825" t="str">
        <f t="shared" si="111"/>
        <v>PVDA</v>
      </c>
      <c r="K825">
        <v>1274</v>
      </c>
      <c r="L825">
        <v>3427</v>
      </c>
      <c r="M825">
        <v>4701</v>
      </c>
      <c r="N825">
        <v>3526</v>
      </c>
      <c r="O825">
        <v>3</v>
      </c>
      <c r="P825" t="str">
        <f>("17")</f>
        <v>17</v>
      </c>
      <c r="Q825" t="str">
        <f>("DOLS Kjartan")</f>
        <v>DOLS Kjartan</v>
      </c>
      <c r="R825">
        <v>93</v>
      </c>
      <c r="S825" t="s">
        <v>44</v>
      </c>
      <c r="T825">
        <v>0</v>
      </c>
      <c r="V825">
        <v>24</v>
      </c>
      <c r="W825">
        <v>93</v>
      </c>
      <c r="X825">
        <v>0</v>
      </c>
    </row>
    <row r="826" spans="1:24" x14ac:dyDescent="0.35">
      <c r="A826" t="s">
        <v>8</v>
      </c>
      <c r="B826" t="s">
        <v>9</v>
      </c>
      <c r="C826" t="str">
        <f t="shared" si="106"/>
        <v>11252</v>
      </c>
      <c r="D826" t="s">
        <v>14</v>
      </c>
      <c r="E826" t="str">
        <f t="shared" si="107"/>
        <v>29</v>
      </c>
      <c r="F826">
        <v>49717</v>
      </c>
      <c r="G826">
        <v>44678</v>
      </c>
      <c r="H826">
        <v>2069</v>
      </c>
      <c r="I826" t="str">
        <f t="shared" si="110"/>
        <v>7</v>
      </c>
      <c r="J826" t="str">
        <f t="shared" si="111"/>
        <v>PVDA</v>
      </c>
      <c r="K826">
        <v>1274</v>
      </c>
      <c r="L826">
        <v>3427</v>
      </c>
      <c r="M826">
        <v>4701</v>
      </c>
      <c r="N826">
        <v>3526</v>
      </c>
      <c r="O826">
        <v>3</v>
      </c>
      <c r="P826" t="str">
        <f>("18")</f>
        <v>18</v>
      </c>
      <c r="Q826" t="str">
        <f>("VANTRICHT Ronald")</f>
        <v>VANTRICHT Ronald</v>
      </c>
      <c r="R826">
        <v>84</v>
      </c>
      <c r="S826" t="s">
        <v>44</v>
      </c>
      <c r="T826">
        <v>0</v>
      </c>
      <c r="V826">
        <v>26</v>
      </c>
      <c r="W826">
        <v>84</v>
      </c>
      <c r="X826">
        <v>0</v>
      </c>
    </row>
    <row r="827" spans="1:24" x14ac:dyDescent="0.35">
      <c r="A827" t="s">
        <v>8</v>
      </c>
      <c r="B827" t="s">
        <v>9</v>
      </c>
      <c r="C827" t="str">
        <f t="shared" ref="C827:C848" si="112">("11252")</f>
        <v>11252</v>
      </c>
      <c r="D827" t="s">
        <v>14</v>
      </c>
      <c r="E827" t="str">
        <f t="shared" ref="E827:E848" si="113">("29")</f>
        <v>29</v>
      </c>
      <c r="F827">
        <v>49717</v>
      </c>
      <c r="G827">
        <v>44678</v>
      </c>
      <c r="H827">
        <v>2069</v>
      </c>
      <c r="I827" t="str">
        <f t="shared" si="110"/>
        <v>7</v>
      </c>
      <c r="J827" t="str">
        <f t="shared" si="111"/>
        <v>PVDA</v>
      </c>
      <c r="K827">
        <v>1274</v>
      </c>
      <c r="L827">
        <v>3427</v>
      </c>
      <c r="M827">
        <v>4701</v>
      </c>
      <c r="N827">
        <v>3526</v>
      </c>
      <c r="O827">
        <v>3</v>
      </c>
      <c r="P827" t="str">
        <f>("19")</f>
        <v>19</v>
      </c>
      <c r="Q827" t="str">
        <f>("HAEPERS Ben")</f>
        <v>HAEPERS Ben</v>
      </c>
      <c r="R827">
        <v>91</v>
      </c>
      <c r="S827" t="s">
        <v>44</v>
      </c>
      <c r="T827">
        <v>0</v>
      </c>
      <c r="V827">
        <v>25</v>
      </c>
      <c r="W827">
        <v>91</v>
      </c>
      <c r="X827">
        <v>0</v>
      </c>
    </row>
    <row r="828" spans="1:24" x14ac:dyDescent="0.35">
      <c r="A828" t="s">
        <v>8</v>
      </c>
      <c r="B828" t="s">
        <v>9</v>
      </c>
      <c r="C828" t="str">
        <f t="shared" si="112"/>
        <v>11252</v>
      </c>
      <c r="D828" t="s">
        <v>14</v>
      </c>
      <c r="E828" t="str">
        <f t="shared" si="113"/>
        <v>29</v>
      </c>
      <c r="F828">
        <v>49717</v>
      </c>
      <c r="G828">
        <v>44678</v>
      </c>
      <c r="H828">
        <v>2069</v>
      </c>
      <c r="I828" t="str">
        <f t="shared" si="110"/>
        <v>7</v>
      </c>
      <c r="J828" t="str">
        <f t="shared" si="111"/>
        <v>PVDA</v>
      </c>
      <c r="K828">
        <v>1274</v>
      </c>
      <c r="L828">
        <v>3427</v>
      </c>
      <c r="M828">
        <v>4701</v>
      </c>
      <c r="N828">
        <v>3526</v>
      </c>
      <c r="O828">
        <v>3</v>
      </c>
      <c r="P828" t="str">
        <f>("20")</f>
        <v>20</v>
      </c>
      <c r="Q828" t="str">
        <f>("CASTEELS Katrien")</f>
        <v>CASTEELS Katrien</v>
      </c>
      <c r="R828">
        <v>123</v>
      </c>
      <c r="S828" t="s">
        <v>44</v>
      </c>
      <c r="T828">
        <v>0</v>
      </c>
      <c r="V828">
        <v>13</v>
      </c>
      <c r="W828">
        <v>123</v>
      </c>
      <c r="X828">
        <v>0</v>
      </c>
    </row>
    <row r="829" spans="1:24" x14ac:dyDescent="0.35">
      <c r="A829" t="s">
        <v>8</v>
      </c>
      <c r="B829" t="s">
        <v>9</v>
      </c>
      <c r="C829" t="str">
        <f t="shared" si="112"/>
        <v>11252</v>
      </c>
      <c r="D829" t="s">
        <v>14</v>
      </c>
      <c r="E829" t="str">
        <f t="shared" si="113"/>
        <v>29</v>
      </c>
      <c r="F829">
        <v>49717</v>
      </c>
      <c r="G829">
        <v>44678</v>
      </c>
      <c r="H829">
        <v>2069</v>
      </c>
      <c r="I829" t="str">
        <f t="shared" si="110"/>
        <v>7</v>
      </c>
      <c r="J829" t="str">
        <f t="shared" si="111"/>
        <v>PVDA</v>
      </c>
      <c r="K829">
        <v>1274</v>
      </c>
      <c r="L829">
        <v>3427</v>
      </c>
      <c r="M829">
        <v>4701</v>
      </c>
      <c r="N829">
        <v>3526</v>
      </c>
      <c r="O829">
        <v>3</v>
      </c>
      <c r="P829" t="str">
        <f>("21")</f>
        <v>21</v>
      </c>
      <c r="Q829" t="str">
        <f>("DIRIX Guido")</f>
        <v>DIRIX Guido</v>
      </c>
      <c r="R829">
        <v>111</v>
      </c>
      <c r="S829" t="s">
        <v>44</v>
      </c>
      <c r="T829">
        <v>0</v>
      </c>
      <c r="V829">
        <v>19</v>
      </c>
      <c r="W829">
        <v>111</v>
      </c>
      <c r="X829">
        <v>0</v>
      </c>
    </row>
    <row r="830" spans="1:24" x14ac:dyDescent="0.35">
      <c r="A830" t="s">
        <v>8</v>
      </c>
      <c r="B830" t="s">
        <v>9</v>
      </c>
      <c r="C830" t="str">
        <f t="shared" si="112"/>
        <v>11252</v>
      </c>
      <c r="D830" t="s">
        <v>14</v>
      </c>
      <c r="E830" t="str">
        <f t="shared" si="113"/>
        <v>29</v>
      </c>
      <c r="F830">
        <v>49717</v>
      </c>
      <c r="G830">
        <v>44678</v>
      </c>
      <c r="H830">
        <v>2069</v>
      </c>
      <c r="I830" t="str">
        <f t="shared" si="110"/>
        <v>7</v>
      </c>
      <c r="J830" t="str">
        <f t="shared" si="111"/>
        <v>PVDA</v>
      </c>
      <c r="K830">
        <v>1274</v>
      </c>
      <c r="L830">
        <v>3427</v>
      </c>
      <c r="M830">
        <v>4701</v>
      </c>
      <c r="N830">
        <v>3526</v>
      </c>
      <c r="O830">
        <v>3</v>
      </c>
      <c r="P830" t="str">
        <f>("22")</f>
        <v>22</v>
      </c>
      <c r="Q830" t="str">
        <f>("KOOYMAN Gerlinde")</f>
        <v>KOOYMAN Gerlinde</v>
      </c>
      <c r="R830">
        <v>106</v>
      </c>
      <c r="S830" t="s">
        <v>44</v>
      </c>
      <c r="T830">
        <v>0</v>
      </c>
      <c r="V830">
        <v>20</v>
      </c>
      <c r="W830">
        <v>106</v>
      </c>
      <c r="X830">
        <v>0</v>
      </c>
    </row>
    <row r="831" spans="1:24" x14ac:dyDescent="0.35">
      <c r="A831" t="s">
        <v>8</v>
      </c>
      <c r="B831" t="s">
        <v>9</v>
      </c>
      <c r="C831" t="str">
        <f t="shared" si="112"/>
        <v>11252</v>
      </c>
      <c r="D831" t="s">
        <v>14</v>
      </c>
      <c r="E831" t="str">
        <f t="shared" si="113"/>
        <v>29</v>
      </c>
      <c r="F831">
        <v>49717</v>
      </c>
      <c r="G831">
        <v>44678</v>
      </c>
      <c r="H831">
        <v>2069</v>
      </c>
      <c r="I831" t="str">
        <f t="shared" si="110"/>
        <v>7</v>
      </c>
      <c r="J831" t="str">
        <f t="shared" si="111"/>
        <v>PVDA</v>
      </c>
      <c r="K831">
        <v>1274</v>
      </c>
      <c r="L831">
        <v>3427</v>
      </c>
      <c r="M831">
        <v>4701</v>
      </c>
      <c r="N831">
        <v>3526</v>
      </c>
      <c r="O831">
        <v>3</v>
      </c>
      <c r="P831" t="str">
        <f>("23")</f>
        <v>23</v>
      </c>
      <c r="Q831" t="str">
        <f>("AZAROUAL Hakim")</f>
        <v>AZAROUAL Hakim</v>
      </c>
      <c r="R831">
        <v>339</v>
      </c>
      <c r="S831" t="s">
        <v>44</v>
      </c>
      <c r="T831">
        <v>0</v>
      </c>
      <c r="V831">
        <v>4</v>
      </c>
      <c r="W831">
        <v>339</v>
      </c>
      <c r="X831">
        <v>0</v>
      </c>
    </row>
    <row r="832" spans="1:24" x14ac:dyDescent="0.35">
      <c r="A832" t="s">
        <v>8</v>
      </c>
      <c r="B832" t="s">
        <v>9</v>
      </c>
      <c r="C832" t="str">
        <f t="shared" si="112"/>
        <v>11252</v>
      </c>
      <c r="D832" t="s">
        <v>14</v>
      </c>
      <c r="E832" t="str">
        <f t="shared" si="113"/>
        <v>29</v>
      </c>
      <c r="F832">
        <v>49717</v>
      </c>
      <c r="G832">
        <v>44678</v>
      </c>
      <c r="H832">
        <v>2069</v>
      </c>
      <c r="I832" t="str">
        <f t="shared" si="110"/>
        <v>7</v>
      </c>
      <c r="J832" t="str">
        <f t="shared" si="111"/>
        <v>PVDA</v>
      </c>
      <c r="K832">
        <v>1274</v>
      </c>
      <c r="L832">
        <v>3427</v>
      </c>
      <c r="M832">
        <v>4701</v>
      </c>
      <c r="N832">
        <v>3526</v>
      </c>
      <c r="O832">
        <v>3</v>
      </c>
      <c r="P832" t="str">
        <f>("24")</f>
        <v>24</v>
      </c>
      <c r="Q832" t="str">
        <f>("HEYMAN Sonja")</f>
        <v>HEYMAN Sonja</v>
      </c>
      <c r="R832">
        <v>105</v>
      </c>
      <c r="S832" t="s">
        <v>44</v>
      </c>
      <c r="T832">
        <v>0</v>
      </c>
      <c r="V832">
        <v>21</v>
      </c>
      <c r="W832">
        <v>105</v>
      </c>
      <c r="X832">
        <v>0</v>
      </c>
    </row>
    <row r="833" spans="1:24" x14ac:dyDescent="0.35">
      <c r="A833" t="s">
        <v>8</v>
      </c>
      <c r="B833" t="s">
        <v>9</v>
      </c>
      <c r="C833" t="str">
        <f t="shared" si="112"/>
        <v>11252</v>
      </c>
      <c r="D833" t="s">
        <v>14</v>
      </c>
      <c r="E833" t="str">
        <f t="shared" si="113"/>
        <v>29</v>
      </c>
      <c r="F833">
        <v>49717</v>
      </c>
      <c r="G833">
        <v>44678</v>
      </c>
      <c r="H833">
        <v>2069</v>
      </c>
      <c r="I833" t="str">
        <f t="shared" si="110"/>
        <v>7</v>
      </c>
      <c r="J833" t="str">
        <f t="shared" si="111"/>
        <v>PVDA</v>
      </c>
      <c r="K833">
        <v>1274</v>
      </c>
      <c r="L833">
        <v>3427</v>
      </c>
      <c r="M833">
        <v>4701</v>
      </c>
      <c r="N833">
        <v>3526</v>
      </c>
      <c r="O833">
        <v>3</v>
      </c>
      <c r="P833" t="str">
        <f>("25")</f>
        <v>25</v>
      </c>
      <c r="Q833" t="str">
        <f>("SEUNTJENS Lieve")</f>
        <v>SEUNTJENS Lieve</v>
      </c>
      <c r="R833">
        <v>288</v>
      </c>
      <c r="S833" t="s">
        <v>44</v>
      </c>
      <c r="T833">
        <v>0</v>
      </c>
      <c r="V833">
        <v>6</v>
      </c>
      <c r="W833">
        <v>288</v>
      </c>
      <c r="X833">
        <v>0</v>
      </c>
    </row>
    <row r="834" spans="1:24" x14ac:dyDescent="0.35">
      <c r="A834" t="s">
        <v>8</v>
      </c>
      <c r="B834" t="s">
        <v>9</v>
      </c>
      <c r="C834" t="str">
        <f t="shared" si="112"/>
        <v>11252</v>
      </c>
      <c r="D834" t="s">
        <v>14</v>
      </c>
      <c r="E834" t="str">
        <f t="shared" si="113"/>
        <v>29</v>
      </c>
      <c r="F834">
        <v>49717</v>
      </c>
      <c r="G834">
        <v>44678</v>
      </c>
      <c r="H834">
        <v>2069</v>
      </c>
      <c r="I834" t="str">
        <f t="shared" si="110"/>
        <v>7</v>
      </c>
      <c r="J834" t="str">
        <f t="shared" si="111"/>
        <v>PVDA</v>
      </c>
      <c r="K834">
        <v>1274</v>
      </c>
      <c r="L834">
        <v>3427</v>
      </c>
      <c r="M834">
        <v>4701</v>
      </c>
      <c r="N834">
        <v>3526</v>
      </c>
      <c r="O834">
        <v>3</v>
      </c>
      <c r="P834" t="str">
        <f>("26")</f>
        <v>26</v>
      </c>
      <c r="Q834" t="str">
        <f>("VAN GOETHEM Nele")</f>
        <v>VAN GOETHEM Nele</v>
      </c>
      <c r="R834">
        <v>112</v>
      </c>
      <c r="S834" t="s">
        <v>44</v>
      </c>
      <c r="T834">
        <v>0</v>
      </c>
      <c r="V834">
        <v>18</v>
      </c>
      <c r="W834">
        <v>112</v>
      </c>
      <c r="X834">
        <v>0</v>
      </c>
    </row>
    <row r="835" spans="1:24" x14ac:dyDescent="0.35">
      <c r="A835" t="s">
        <v>8</v>
      </c>
      <c r="B835" t="s">
        <v>9</v>
      </c>
      <c r="C835" t="str">
        <f t="shared" si="112"/>
        <v>11252</v>
      </c>
      <c r="D835" t="s">
        <v>14</v>
      </c>
      <c r="E835" t="str">
        <f t="shared" si="113"/>
        <v>29</v>
      </c>
      <c r="F835">
        <v>49717</v>
      </c>
      <c r="G835">
        <v>44678</v>
      </c>
      <c r="H835">
        <v>2069</v>
      </c>
      <c r="I835" t="str">
        <f t="shared" si="110"/>
        <v>7</v>
      </c>
      <c r="J835" t="str">
        <f t="shared" si="111"/>
        <v>PVDA</v>
      </c>
      <c r="K835">
        <v>1274</v>
      </c>
      <c r="L835">
        <v>3427</v>
      </c>
      <c r="M835">
        <v>4701</v>
      </c>
      <c r="N835">
        <v>3526</v>
      </c>
      <c r="O835">
        <v>3</v>
      </c>
      <c r="P835" t="str">
        <f>("27")</f>
        <v>27</v>
      </c>
      <c r="Q835" t="str">
        <f>("DHOOGHE Anne")</f>
        <v>DHOOGHE Anne</v>
      </c>
      <c r="R835">
        <v>120</v>
      </c>
      <c r="S835" t="s">
        <v>44</v>
      </c>
      <c r="T835">
        <v>0</v>
      </c>
      <c r="V835">
        <v>14</v>
      </c>
      <c r="W835">
        <v>120</v>
      </c>
      <c r="X835">
        <v>0</v>
      </c>
    </row>
    <row r="836" spans="1:24" x14ac:dyDescent="0.35">
      <c r="A836" t="s">
        <v>8</v>
      </c>
      <c r="B836" t="s">
        <v>9</v>
      </c>
      <c r="C836" t="str">
        <f t="shared" si="112"/>
        <v>11252</v>
      </c>
      <c r="D836" t="s">
        <v>14</v>
      </c>
      <c r="E836" t="str">
        <f t="shared" si="113"/>
        <v>29</v>
      </c>
      <c r="F836">
        <v>49717</v>
      </c>
      <c r="G836">
        <v>44678</v>
      </c>
      <c r="H836">
        <v>2069</v>
      </c>
      <c r="I836" t="str">
        <f t="shared" si="110"/>
        <v>7</v>
      </c>
      <c r="J836" t="str">
        <f t="shared" si="111"/>
        <v>PVDA</v>
      </c>
      <c r="K836">
        <v>1274</v>
      </c>
      <c r="L836">
        <v>3427</v>
      </c>
      <c r="M836">
        <v>4701</v>
      </c>
      <c r="N836">
        <v>3526</v>
      </c>
      <c r="O836">
        <v>3</v>
      </c>
      <c r="P836" t="str">
        <f>("28")</f>
        <v>28</v>
      </c>
      <c r="Q836" t="str">
        <f>("SWINNEN Leen")</f>
        <v>SWINNEN Leen</v>
      </c>
      <c r="R836">
        <v>167</v>
      </c>
      <c r="S836" t="s">
        <v>44</v>
      </c>
      <c r="T836">
        <v>0</v>
      </c>
      <c r="V836">
        <v>10</v>
      </c>
      <c r="W836">
        <v>167</v>
      </c>
      <c r="X836">
        <v>0</v>
      </c>
    </row>
    <row r="837" spans="1:24" x14ac:dyDescent="0.35">
      <c r="A837" t="s">
        <v>8</v>
      </c>
      <c r="B837" t="s">
        <v>9</v>
      </c>
      <c r="C837" t="str">
        <f t="shared" si="112"/>
        <v>11252</v>
      </c>
      <c r="D837" t="s">
        <v>14</v>
      </c>
      <c r="E837" t="str">
        <f t="shared" si="113"/>
        <v>29</v>
      </c>
      <c r="F837">
        <v>49717</v>
      </c>
      <c r="G837">
        <v>44678</v>
      </c>
      <c r="H837">
        <v>2069</v>
      </c>
      <c r="I837" t="str">
        <f t="shared" si="110"/>
        <v>7</v>
      </c>
      <c r="J837" t="str">
        <f t="shared" si="111"/>
        <v>PVDA</v>
      </c>
      <c r="K837">
        <v>1274</v>
      </c>
      <c r="L837">
        <v>3427</v>
      </c>
      <c r="M837">
        <v>4701</v>
      </c>
      <c r="N837">
        <v>3526</v>
      </c>
      <c r="O837">
        <v>3</v>
      </c>
      <c r="P837" t="str">
        <f>("29")</f>
        <v>29</v>
      </c>
      <c r="Q837" t="str">
        <f>("VAN DUPPEN Dirk")</f>
        <v>VAN DUPPEN Dirk</v>
      </c>
      <c r="R837">
        <v>465</v>
      </c>
      <c r="S837" t="s">
        <v>44</v>
      </c>
      <c r="T837">
        <v>0</v>
      </c>
      <c r="V837">
        <v>2</v>
      </c>
      <c r="W837">
        <v>465</v>
      </c>
      <c r="X837">
        <v>0</v>
      </c>
    </row>
    <row r="838" spans="1:24" x14ac:dyDescent="0.35">
      <c r="A838" t="s">
        <v>8</v>
      </c>
      <c r="B838" t="s">
        <v>9</v>
      </c>
      <c r="C838" t="str">
        <f t="shared" si="112"/>
        <v>11252</v>
      </c>
      <c r="D838" t="s">
        <v>14</v>
      </c>
      <c r="E838" t="str">
        <f t="shared" si="113"/>
        <v>29</v>
      </c>
      <c r="F838">
        <v>49717</v>
      </c>
      <c r="G838">
        <v>44678</v>
      </c>
      <c r="H838">
        <v>2069</v>
      </c>
      <c r="I838" t="str">
        <f>("8")</f>
        <v>8</v>
      </c>
      <c r="J838" t="str">
        <f>("Be.One")</f>
        <v>Be.One</v>
      </c>
      <c r="K838">
        <v>30</v>
      </c>
      <c r="L838">
        <v>215</v>
      </c>
      <c r="M838">
        <v>245</v>
      </c>
      <c r="O838">
        <v>0</v>
      </c>
      <c r="P838" t="str">
        <f>("1")</f>
        <v>1</v>
      </c>
      <c r="Q838" t="str">
        <f>("AREKTOUTE Karima")</f>
        <v>AREKTOUTE Karima</v>
      </c>
      <c r="R838">
        <v>215</v>
      </c>
      <c r="S838" t="s">
        <v>44</v>
      </c>
    </row>
    <row r="839" spans="1:24" x14ac:dyDescent="0.35">
      <c r="A839" t="s">
        <v>8</v>
      </c>
      <c r="B839" t="s">
        <v>9</v>
      </c>
      <c r="C839" t="str">
        <f t="shared" si="112"/>
        <v>11252</v>
      </c>
      <c r="D839" t="s">
        <v>14</v>
      </c>
      <c r="E839" t="str">
        <f t="shared" si="113"/>
        <v>29</v>
      </c>
      <c r="F839">
        <v>49717</v>
      </c>
      <c r="G839">
        <v>44678</v>
      </c>
      <c r="H839">
        <v>2069</v>
      </c>
      <c r="I839" t="str">
        <f>("9")</f>
        <v>9</v>
      </c>
      <c r="J839" t="str">
        <f>("PARTIJ VLAANDEREN")</f>
        <v>PARTIJ VLAANDEREN</v>
      </c>
      <c r="K839">
        <v>59</v>
      </c>
      <c r="L839">
        <v>122</v>
      </c>
      <c r="M839">
        <v>181</v>
      </c>
      <c r="O839">
        <v>0</v>
      </c>
      <c r="P839" t="str">
        <f>("1")</f>
        <v>1</v>
      </c>
      <c r="Q839" t="str">
        <f>("DENYS Bruno")</f>
        <v>DENYS Bruno</v>
      </c>
      <c r="R839">
        <v>35</v>
      </c>
      <c r="S839" t="s">
        <v>44</v>
      </c>
    </row>
    <row r="840" spans="1:24" x14ac:dyDescent="0.35">
      <c r="A840" t="s">
        <v>8</v>
      </c>
      <c r="B840" t="s">
        <v>9</v>
      </c>
      <c r="C840" t="str">
        <f t="shared" si="112"/>
        <v>11252</v>
      </c>
      <c r="D840" t="s">
        <v>14</v>
      </c>
      <c r="E840" t="str">
        <f t="shared" si="113"/>
        <v>29</v>
      </c>
      <c r="F840">
        <v>49717</v>
      </c>
      <c r="G840">
        <v>44678</v>
      </c>
      <c r="H840">
        <v>2069</v>
      </c>
      <c r="I840" t="str">
        <f>("9")</f>
        <v>9</v>
      </c>
      <c r="J840" t="str">
        <f>("PARTIJ VLAANDEREN")</f>
        <v>PARTIJ VLAANDEREN</v>
      </c>
      <c r="K840">
        <v>59</v>
      </c>
      <c r="L840">
        <v>122</v>
      </c>
      <c r="M840">
        <v>181</v>
      </c>
      <c r="O840">
        <v>0</v>
      </c>
      <c r="P840" t="str">
        <f>("2")</f>
        <v>2</v>
      </c>
      <c r="Q840" t="str">
        <f>("CLAES Petra")</f>
        <v>CLAES Petra</v>
      </c>
      <c r="R840">
        <v>33</v>
      </c>
      <c r="S840" t="s">
        <v>44</v>
      </c>
    </row>
    <row r="841" spans="1:24" x14ac:dyDescent="0.35">
      <c r="A841" t="s">
        <v>8</v>
      </c>
      <c r="B841" t="s">
        <v>9</v>
      </c>
      <c r="C841" t="str">
        <f t="shared" si="112"/>
        <v>11252</v>
      </c>
      <c r="D841" t="s">
        <v>14</v>
      </c>
      <c r="E841" t="str">
        <f t="shared" si="113"/>
        <v>29</v>
      </c>
      <c r="F841">
        <v>49717</v>
      </c>
      <c r="G841">
        <v>44678</v>
      </c>
      <c r="H841">
        <v>2069</v>
      </c>
      <c r="I841" t="str">
        <f>("9")</f>
        <v>9</v>
      </c>
      <c r="J841" t="str">
        <f>("PARTIJ VLAANDEREN")</f>
        <v>PARTIJ VLAANDEREN</v>
      </c>
      <c r="K841">
        <v>59</v>
      </c>
      <c r="L841">
        <v>122</v>
      </c>
      <c r="M841">
        <v>181</v>
      </c>
      <c r="O841">
        <v>0</v>
      </c>
      <c r="P841" t="str">
        <f>("3")</f>
        <v>3</v>
      </c>
      <c r="Q841" t="str">
        <f>("VAN DE WOUWER Raymond")</f>
        <v>VAN DE WOUWER Raymond</v>
      </c>
      <c r="R841">
        <v>18</v>
      </c>
      <c r="S841" t="s">
        <v>44</v>
      </c>
    </row>
    <row r="842" spans="1:24" x14ac:dyDescent="0.35">
      <c r="A842" t="s">
        <v>8</v>
      </c>
      <c r="B842" t="s">
        <v>9</v>
      </c>
      <c r="C842" t="str">
        <f t="shared" si="112"/>
        <v>11252</v>
      </c>
      <c r="D842" t="s">
        <v>14</v>
      </c>
      <c r="E842" t="str">
        <f t="shared" si="113"/>
        <v>29</v>
      </c>
      <c r="F842">
        <v>49717</v>
      </c>
      <c r="G842">
        <v>44678</v>
      </c>
      <c r="H842">
        <v>2069</v>
      </c>
      <c r="I842" t="str">
        <f>("9")</f>
        <v>9</v>
      </c>
      <c r="J842" t="str">
        <f>("PARTIJ VLAANDEREN")</f>
        <v>PARTIJ VLAANDEREN</v>
      </c>
      <c r="K842">
        <v>59</v>
      </c>
      <c r="L842">
        <v>122</v>
      </c>
      <c r="M842">
        <v>181</v>
      </c>
      <c r="O842">
        <v>0</v>
      </c>
      <c r="P842" t="str">
        <f>("4")</f>
        <v>4</v>
      </c>
      <c r="Q842" t="str">
        <f>("DENYS Kimberly")</f>
        <v>DENYS Kimberly</v>
      </c>
      <c r="R842">
        <v>46</v>
      </c>
      <c r="S842" t="s">
        <v>44</v>
      </c>
    </row>
    <row r="843" spans="1:24" x14ac:dyDescent="0.35">
      <c r="A843" t="s">
        <v>8</v>
      </c>
      <c r="B843" t="s">
        <v>9</v>
      </c>
      <c r="C843" t="str">
        <f t="shared" si="112"/>
        <v>11252</v>
      </c>
      <c r="D843" t="s">
        <v>14</v>
      </c>
      <c r="E843" t="str">
        <f t="shared" si="113"/>
        <v>29</v>
      </c>
      <c r="F843">
        <v>49717</v>
      </c>
      <c r="G843">
        <v>44678</v>
      </c>
      <c r="H843">
        <v>2069</v>
      </c>
      <c r="I843" t="str">
        <f t="shared" ref="I843:I848" si="114">("10")</f>
        <v>10</v>
      </c>
      <c r="J843" t="str">
        <f t="shared" ref="J843:J848" si="115">("D-SA")</f>
        <v>D-SA</v>
      </c>
      <c r="K843">
        <v>54</v>
      </c>
      <c r="L843">
        <v>486</v>
      </c>
      <c r="M843">
        <v>540</v>
      </c>
      <c r="O843">
        <v>0</v>
      </c>
      <c r="P843" t="str">
        <f>("1")</f>
        <v>1</v>
      </c>
      <c r="Q843" t="str">
        <f>("SABER Arfan Shahid")</f>
        <v>SABER Arfan Shahid</v>
      </c>
      <c r="R843">
        <v>234</v>
      </c>
      <c r="S843" t="s">
        <v>44</v>
      </c>
    </row>
    <row r="844" spans="1:24" x14ac:dyDescent="0.35">
      <c r="A844" t="s">
        <v>8</v>
      </c>
      <c r="B844" t="s">
        <v>9</v>
      </c>
      <c r="C844" t="str">
        <f t="shared" si="112"/>
        <v>11252</v>
      </c>
      <c r="D844" t="s">
        <v>14</v>
      </c>
      <c r="E844" t="str">
        <f t="shared" si="113"/>
        <v>29</v>
      </c>
      <c r="F844">
        <v>49717</v>
      </c>
      <c r="G844">
        <v>44678</v>
      </c>
      <c r="H844">
        <v>2069</v>
      </c>
      <c r="I844" t="str">
        <f t="shared" si="114"/>
        <v>10</v>
      </c>
      <c r="J844" t="str">
        <f t="shared" si="115"/>
        <v>D-SA</v>
      </c>
      <c r="K844">
        <v>54</v>
      </c>
      <c r="L844">
        <v>486</v>
      </c>
      <c r="M844">
        <v>540</v>
      </c>
      <c r="O844">
        <v>0</v>
      </c>
      <c r="P844" t="str">
        <f>("2")</f>
        <v>2</v>
      </c>
      <c r="Q844" t="str">
        <f>("SARIKAVAK Meryem")</f>
        <v>SARIKAVAK Meryem</v>
      </c>
      <c r="R844">
        <v>152</v>
      </c>
      <c r="S844" t="s">
        <v>44</v>
      </c>
    </row>
    <row r="845" spans="1:24" x14ac:dyDescent="0.35">
      <c r="A845" t="s">
        <v>8</v>
      </c>
      <c r="B845" t="s">
        <v>9</v>
      </c>
      <c r="C845" t="str">
        <f t="shared" si="112"/>
        <v>11252</v>
      </c>
      <c r="D845" t="s">
        <v>14</v>
      </c>
      <c r="E845" t="str">
        <f t="shared" si="113"/>
        <v>29</v>
      </c>
      <c r="F845">
        <v>49717</v>
      </c>
      <c r="G845">
        <v>44678</v>
      </c>
      <c r="H845">
        <v>2069</v>
      </c>
      <c r="I845" t="str">
        <f t="shared" si="114"/>
        <v>10</v>
      </c>
      <c r="J845" t="str">
        <f t="shared" si="115"/>
        <v>D-SA</v>
      </c>
      <c r="K845">
        <v>54</v>
      </c>
      <c r="L845">
        <v>486</v>
      </c>
      <c r="M845">
        <v>540</v>
      </c>
      <c r="O845">
        <v>0</v>
      </c>
      <c r="P845" t="str">
        <f>("3")</f>
        <v>3</v>
      </c>
      <c r="Q845" t="str">
        <f>("SMITS Joery")</f>
        <v>SMITS Joery</v>
      </c>
      <c r="R845">
        <v>59</v>
      </c>
      <c r="S845" t="s">
        <v>44</v>
      </c>
    </row>
    <row r="846" spans="1:24" x14ac:dyDescent="0.35">
      <c r="A846" t="s">
        <v>8</v>
      </c>
      <c r="B846" t="s">
        <v>9</v>
      </c>
      <c r="C846" t="str">
        <f t="shared" si="112"/>
        <v>11252</v>
      </c>
      <c r="D846" t="s">
        <v>14</v>
      </c>
      <c r="E846" t="str">
        <f t="shared" si="113"/>
        <v>29</v>
      </c>
      <c r="F846">
        <v>49717</v>
      </c>
      <c r="G846">
        <v>44678</v>
      </c>
      <c r="H846">
        <v>2069</v>
      </c>
      <c r="I846" t="str">
        <f t="shared" si="114"/>
        <v>10</v>
      </c>
      <c r="J846" t="str">
        <f t="shared" si="115"/>
        <v>D-SA</v>
      </c>
      <c r="K846">
        <v>54</v>
      </c>
      <c r="L846">
        <v>486</v>
      </c>
      <c r="M846">
        <v>540</v>
      </c>
      <c r="O846">
        <v>0</v>
      </c>
      <c r="P846" t="str">
        <f>("4")</f>
        <v>4</v>
      </c>
      <c r="Q846" t="str">
        <f>("DACIC Sabina")</f>
        <v>DACIC Sabina</v>
      </c>
      <c r="R846">
        <v>36</v>
      </c>
      <c r="S846" t="s">
        <v>44</v>
      </c>
    </row>
    <row r="847" spans="1:24" x14ac:dyDescent="0.35">
      <c r="A847" t="s">
        <v>8</v>
      </c>
      <c r="B847" t="s">
        <v>9</v>
      </c>
      <c r="C847" t="str">
        <f t="shared" si="112"/>
        <v>11252</v>
      </c>
      <c r="D847" t="s">
        <v>14</v>
      </c>
      <c r="E847" t="str">
        <f t="shared" si="113"/>
        <v>29</v>
      </c>
      <c r="F847">
        <v>49717</v>
      </c>
      <c r="G847">
        <v>44678</v>
      </c>
      <c r="H847">
        <v>2069</v>
      </c>
      <c r="I847" t="str">
        <f t="shared" si="114"/>
        <v>10</v>
      </c>
      <c r="J847" t="str">
        <f t="shared" si="115"/>
        <v>D-SA</v>
      </c>
      <c r="K847">
        <v>54</v>
      </c>
      <c r="L847">
        <v>486</v>
      </c>
      <c r="M847">
        <v>540</v>
      </c>
      <c r="O847">
        <v>0</v>
      </c>
      <c r="P847" t="str">
        <f>("5")</f>
        <v>5</v>
      </c>
      <c r="Q847" t="str">
        <f>("POKHREL Kishan")</f>
        <v>POKHREL Kishan</v>
      </c>
      <c r="R847">
        <v>63</v>
      </c>
      <c r="S847" t="s">
        <v>44</v>
      </c>
    </row>
    <row r="848" spans="1:24" x14ac:dyDescent="0.35">
      <c r="A848" t="s">
        <v>8</v>
      </c>
      <c r="B848" t="s">
        <v>9</v>
      </c>
      <c r="C848" t="str">
        <f t="shared" si="112"/>
        <v>11252</v>
      </c>
      <c r="D848" t="s">
        <v>14</v>
      </c>
      <c r="E848" t="str">
        <f t="shared" si="113"/>
        <v>29</v>
      </c>
      <c r="F848">
        <v>49717</v>
      </c>
      <c r="G848">
        <v>44678</v>
      </c>
      <c r="H848">
        <v>2069</v>
      </c>
      <c r="I848" t="str">
        <f t="shared" si="114"/>
        <v>10</v>
      </c>
      <c r="J848" t="str">
        <f t="shared" si="115"/>
        <v>D-SA</v>
      </c>
      <c r="K848">
        <v>54</v>
      </c>
      <c r="L848">
        <v>486</v>
      </c>
      <c r="M848">
        <v>540</v>
      </c>
      <c r="O848">
        <v>0</v>
      </c>
      <c r="P848" t="str">
        <f>("6")</f>
        <v>6</v>
      </c>
      <c r="Q848" t="str">
        <f>("KHALIL Rabiah")</f>
        <v>KHALIL Rabiah</v>
      </c>
      <c r="R848">
        <v>85</v>
      </c>
      <c r="S848" t="s">
        <v>44</v>
      </c>
    </row>
    <row r="849" spans="1:24" x14ac:dyDescent="0.35">
      <c r="A849" t="s">
        <v>8</v>
      </c>
      <c r="B849" t="s">
        <v>9</v>
      </c>
      <c r="C849" t="str">
        <f t="shared" ref="C849:C880" si="116">("11262")</f>
        <v>11262</v>
      </c>
      <c r="D849" t="s">
        <v>15</v>
      </c>
      <c r="E849" t="str">
        <f t="shared" ref="E849:E880" si="117">("21")</f>
        <v>21</v>
      </c>
      <c r="F849">
        <v>20401</v>
      </c>
      <c r="G849">
        <v>18599</v>
      </c>
      <c r="H849">
        <v>646</v>
      </c>
      <c r="I849" t="str">
        <f t="shared" ref="I849:I869" si="118">("1")</f>
        <v>1</v>
      </c>
      <c r="J849" t="str">
        <f t="shared" ref="J849:J869" si="119">("sp.a")</f>
        <v>sp.a</v>
      </c>
      <c r="K849">
        <v>452</v>
      </c>
      <c r="L849">
        <v>1169</v>
      </c>
      <c r="M849">
        <v>1621</v>
      </c>
      <c r="N849">
        <v>1081</v>
      </c>
      <c r="O849">
        <v>2</v>
      </c>
      <c r="P849" t="str">
        <f>("1")</f>
        <v>1</v>
      </c>
      <c r="Q849" t="str">
        <f>("KRUYNIERS Ronny")</f>
        <v>KRUYNIERS Ronny</v>
      </c>
      <c r="R849">
        <v>603</v>
      </c>
      <c r="S849">
        <v>905</v>
      </c>
      <c r="T849">
        <v>0</v>
      </c>
      <c r="U849">
        <v>1</v>
      </c>
    </row>
    <row r="850" spans="1:24" x14ac:dyDescent="0.35">
      <c r="A850" t="s">
        <v>8</v>
      </c>
      <c r="B850" t="s">
        <v>9</v>
      </c>
      <c r="C850" t="str">
        <f t="shared" si="116"/>
        <v>11262</v>
      </c>
      <c r="D850" t="s">
        <v>15</v>
      </c>
      <c r="E850" t="str">
        <f t="shared" si="117"/>
        <v>21</v>
      </c>
      <c r="F850">
        <v>20401</v>
      </c>
      <c r="G850">
        <v>18599</v>
      </c>
      <c r="H850">
        <v>646</v>
      </c>
      <c r="I850" t="str">
        <f t="shared" si="118"/>
        <v>1</v>
      </c>
      <c r="J850" t="str">
        <f t="shared" si="119"/>
        <v>sp.a</v>
      </c>
      <c r="K850">
        <v>452</v>
      </c>
      <c r="L850">
        <v>1169</v>
      </c>
      <c r="M850">
        <v>1621</v>
      </c>
      <c r="N850">
        <v>1081</v>
      </c>
      <c r="O850">
        <v>2</v>
      </c>
      <c r="P850" t="str">
        <f>("2")</f>
        <v>2</v>
      </c>
      <c r="Q850" t="str">
        <f>("VAN DAMME Fabienne")</f>
        <v>VAN DAMME Fabienne</v>
      </c>
      <c r="R850">
        <v>89</v>
      </c>
      <c r="S850" t="s">
        <v>44</v>
      </c>
      <c r="T850">
        <v>0</v>
      </c>
      <c r="V850">
        <v>1</v>
      </c>
      <c r="W850">
        <v>391</v>
      </c>
      <c r="X850">
        <v>0</v>
      </c>
    </row>
    <row r="851" spans="1:24" x14ac:dyDescent="0.35">
      <c r="A851" t="s">
        <v>8</v>
      </c>
      <c r="B851" t="s">
        <v>9</v>
      </c>
      <c r="C851" t="str">
        <f t="shared" si="116"/>
        <v>11262</v>
      </c>
      <c r="D851" t="s">
        <v>15</v>
      </c>
      <c r="E851" t="str">
        <f t="shared" si="117"/>
        <v>21</v>
      </c>
      <c r="F851">
        <v>20401</v>
      </c>
      <c r="G851">
        <v>18599</v>
      </c>
      <c r="H851">
        <v>646</v>
      </c>
      <c r="I851" t="str">
        <f t="shared" si="118"/>
        <v>1</v>
      </c>
      <c r="J851" t="str">
        <f t="shared" si="119"/>
        <v>sp.a</v>
      </c>
      <c r="K851">
        <v>452</v>
      </c>
      <c r="L851">
        <v>1169</v>
      </c>
      <c r="M851">
        <v>1621</v>
      </c>
      <c r="N851">
        <v>1081</v>
      </c>
      <c r="O851">
        <v>2</v>
      </c>
      <c r="P851" t="str">
        <f>("3")</f>
        <v>3</v>
      </c>
      <c r="Q851" t="str">
        <f>("KRUYNIERS Jan")</f>
        <v>KRUYNIERS Jan</v>
      </c>
      <c r="R851">
        <v>219</v>
      </c>
      <c r="S851">
        <v>219</v>
      </c>
      <c r="T851">
        <v>0</v>
      </c>
      <c r="U851">
        <v>2</v>
      </c>
    </row>
    <row r="852" spans="1:24" x14ac:dyDescent="0.35">
      <c r="A852" t="s">
        <v>8</v>
      </c>
      <c r="B852" t="s">
        <v>9</v>
      </c>
      <c r="C852" t="str">
        <f t="shared" si="116"/>
        <v>11262</v>
      </c>
      <c r="D852" t="s">
        <v>15</v>
      </c>
      <c r="E852" t="str">
        <f t="shared" si="117"/>
        <v>21</v>
      </c>
      <c r="F852">
        <v>20401</v>
      </c>
      <c r="G852">
        <v>18599</v>
      </c>
      <c r="H852">
        <v>646</v>
      </c>
      <c r="I852" t="str">
        <f t="shared" si="118"/>
        <v>1</v>
      </c>
      <c r="J852" t="str">
        <f t="shared" si="119"/>
        <v>sp.a</v>
      </c>
      <c r="K852">
        <v>452</v>
      </c>
      <c r="L852">
        <v>1169</v>
      </c>
      <c r="M852">
        <v>1621</v>
      </c>
      <c r="N852">
        <v>1081</v>
      </c>
      <c r="O852">
        <v>2</v>
      </c>
      <c r="P852" t="str">
        <f>("4")</f>
        <v>4</v>
      </c>
      <c r="Q852" t="str">
        <f>("OYATTO Fatiha")</f>
        <v>OYATTO Fatiha</v>
      </c>
      <c r="R852">
        <v>184</v>
      </c>
      <c r="S852" t="s">
        <v>44</v>
      </c>
      <c r="T852">
        <v>0</v>
      </c>
      <c r="V852">
        <v>3</v>
      </c>
      <c r="W852">
        <v>184</v>
      </c>
      <c r="X852">
        <v>0</v>
      </c>
    </row>
    <row r="853" spans="1:24" x14ac:dyDescent="0.35">
      <c r="A853" t="s">
        <v>8</v>
      </c>
      <c r="B853" t="s">
        <v>9</v>
      </c>
      <c r="C853" t="str">
        <f t="shared" si="116"/>
        <v>11262</v>
      </c>
      <c r="D853" t="s">
        <v>15</v>
      </c>
      <c r="E853" t="str">
        <f t="shared" si="117"/>
        <v>21</v>
      </c>
      <c r="F853">
        <v>20401</v>
      </c>
      <c r="G853">
        <v>18599</v>
      </c>
      <c r="H853">
        <v>646</v>
      </c>
      <c r="I853" t="str">
        <f t="shared" si="118"/>
        <v>1</v>
      </c>
      <c r="J853" t="str">
        <f t="shared" si="119"/>
        <v>sp.a</v>
      </c>
      <c r="K853">
        <v>452</v>
      </c>
      <c r="L853">
        <v>1169</v>
      </c>
      <c r="M853">
        <v>1621</v>
      </c>
      <c r="N853">
        <v>1081</v>
      </c>
      <c r="O853">
        <v>2</v>
      </c>
      <c r="P853" t="str">
        <f>("5")</f>
        <v>5</v>
      </c>
      <c r="Q853" t="str">
        <f>("HENKENS Henk")</f>
        <v>HENKENS Henk</v>
      </c>
      <c r="R853">
        <v>91</v>
      </c>
      <c r="S853" t="s">
        <v>44</v>
      </c>
      <c r="T853">
        <v>0</v>
      </c>
      <c r="V853">
        <v>4</v>
      </c>
      <c r="W853">
        <v>91</v>
      </c>
      <c r="X853">
        <v>0</v>
      </c>
    </row>
    <row r="854" spans="1:24" x14ac:dyDescent="0.35">
      <c r="A854" t="s">
        <v>8</v>
      </c>
      <c r="B854" t="s">
        <v>9</v>
      </c>
      <c r="C854" t="str">
        <f t="shared" si="116"/>
        <v>11262</v>
      </c>
      <c r="D854" t="s">
        <v>15</v>
      </c>
      <c r="E854" t="str">
        <f t="shared" si="117"/>
        <v>21</v>
      </c>
      <c r="F854">
        <v>20401</v>
      </c>
      <c r="G854">
        <v>18599</v>
      </c>
      <c r="H854">
        <v>646</v>
      </c>
      <c r="I854" t="str">
        <f t="shared" si="118"/>
        <v>1</v>
      </c>
      <c r="J854" t="str">
        <f t="shared" si="119"/>
        <v>sp.a</v>
      </c>
      <c r="K854">
        <v>452</v>
      </c>
      <c r="L854">
        <v>1169</v>
      </c>
      <c r="M854">
        <v>1621</v>
      </c>
      <c r="N854">
        <v>1081</v>
      </c>
      <c r="O854">
        <v>2</v>
      </c>
      <c r="P854" t="str">
        <f>("6")</f>
        <v>6</v>
      </c>
      <c r="Q854" t="str">
        <f>("VAN OPDORP Raf")</f>
        <v>VAN OPDORP Raf</v>
      </c>
      <c r="R854">
        <v>48</v>
      </c>
      <c r="S854" t="s">
        <v>44</v>
      </c>
      <c r="T854">
        <v>0</v>
      </c>
      <c r="V854">
        <v>11</v>
      </c>
      <c r="W854">
        <v>48</v>
      </c>
      <c r="X854">
        <v>0</v>
      </c>
    </row>
    <row r="855" spans="1:24" x14ac:dyDescent="0.35">
      <c r="A855" t="s">
        <v>8</v>
      </c>
      <c r="B855" t="s">
        <v>9</v>
      </c>
      <c r="C855" t="str">
        <f t="shared" si="116"/>
        <v>11262</v>
      </c>
      <c r="D855" t="s">
        <v>15</v>
      </c>
      <c r="E855" t="str">
        <f t="shared" si="117"/>
        <v>21</v>
      </c>
      <c r="F855">
        <v>20401</v>
      </c>
      <c r="G855">
        <v>18599</v>
      </c>
      <c r="H855">
        <v>646</v>
      </c>
      <c r="I855" t="str">
        <f t="shared" si="118"/>
        <v>1</v>
      </c>
      <c r="J855" t="str">
        <f t="shared" si="119"/>
        <v>sp.a</v>
      </c>
      <c r="K855">
        <v>452</v>
      </c>
      <c r="L855">
        <v>1169</v>
      </c>
      <c r="M855">
        <v>1621</v>
      </c>
      <c r="N855">
        <v>1081</v>
      </c>
      <c r="O855">
        <v>2</v>
      </c>
      <c r="P855" t="str">
        <f>("7")</f>
        <v>7</v>
      </c>
      <c r="Q855" t="str">
        <f>("GREFFE Laura")</f>
        <v>GREFFE Laura</v>
      </c>
      <c r="R855">
        <v>65</v>
      </c>
      <c r="S855" t="s">
        <v>44</v>
      </c>
      <c r="T855">
        <v>0</v>
      </c>
      <c r="V855">
        <v>6</v>
      </c>
      <c r="W855">
        <v>65</v>
      </c>
      <c r="X855">
        <v>0</v>
      </c>
    </row>
    <row r="856" spans="1:24" x14ac:dyDescent="0.35">
      <c r="A856" t="s">
        <v>8</v>
      </c>
      <c r="B856" t="s">
        <v>9</v>
      </c>
      <c r="C856" t="str">
        <f t="shared" si="116"/>
        <v>11262</v>
      </c>
      <c r="D856" t="s">
        <v>15</v>
      </c>
      <c r="E856" t="str">
        <f t="shared" si="117"/>
        <v>21</v>
      </c>
      <c r="F856">
        <v>20401</v>
      </c>
      <c r="G856">
        <v>18599</v>
      </c>
      <c r="H856">
        <v>646</v>
      </c>
      <c r="I856" t="str">
        <f t="shared" si="118"/>
        <v>1</v>
      </c>
      <c r="J856" t="str">
        <f t="shared" si="119"/>
        <v>sp.a</v>
      </c>
      <c r="K856">
        <v>452</v>
      </c>
      <c r="L856">
        <v>1169</v>
      </c>
      <c r="M856">
        <v>1621</v>
      </c>
      <c r="N856">
        <v>1081</v>
      </c>
      <c r="O856">
        <v>2</v>
      </c>
      <c r="P856" t="str">
        <f>("8")</f>
        <v>8</v>
      </c>
      <c r="Q856" t="str">
        <f>("SCHOONHEYDT Danny")</f>
        <v>SCHOONHEYDT Danny</v>
      </c>
      <c r="R856">
        <v>38</v>
      </c>
      <c r="S856" t="s">
        <v>44</v>
      </c>
      <c r="T856">
        <v>0</v>
      </c>
      <c r="V856">
        <v>14</v>
      </c>
      <c r="W856">
        <v>38</v>
      </c>
      <c r="X856">
        <v>0</v>
      </c>
    </row>
    <row r="857" spans="1:24" x14ac:dyDescent="0.35">
      <c r="A857" t="s">
        <v>8</v>
      </c>
      <c r="B857" t="s">
        <v>9</v>
      </c>
      <c r="C857" t="str">
        <f t="shared" si="116"/>
        <v>11262</v>
      </c>
      <c r="D857" t="s">
        <v>15</v>
      </c>
      <c r="E857" t="str">
        <f t="shared" si="117"/>
        <v>21</v>
      </c>
      <c r="F857">
        <v>20401</v>
      </c>
      <c r="G857">
        <v>18599</v>
      </c>
      <c r="H857">
        <v>646</v>
      </c>
      <c r="I857" t="str">
        <f t="shared" si="118"/>
        <v>1</v>
      </c>
      <c r="J857" t="str">
        <f t="shared" si="119"/>
        <v>sp.a</v>
      </c>
      <c r="K857">
        <v>452</v>
      </c>
      <c r="L857">
        <v>1169</v>
      </c>
      <c r="M857">
        <v>1621</v>
      </c>
      <c r="N857">
        <v>1081</v>
      </c>
      <c r="O857">
        <v>2</v>
      </c>
      <c r="P857" t="str">
        <f>("9")</f>
        <v>9</v>
      </c>
      <c r="Q857" t="str">
        <f>("SOMERS Tom")</f>
        <v>SOMERS Tom</v>
      </c>
      <c r="R857">
        <v>49</v>
      </c>
      <c r="S857" t="s">
        <v>44</v>
      </c>
      <c r="T857">
        <v>0</v>
      </c>
      <c r="V857">
        <v>8</v>
      </c>
      <c r="W857">
        <v>49</v>
      </c>
      <c r="X857">
        <v>0</v>
      </c>
    </row>
    <row r="858" spans="1:24" x14ac:dyDescent="0.35">
      <c r="A858" t="s">
        <v>8</v>
      </c>
      <c r="B858" t="s">
        <v>9</v>
      </c>
      <c r="C858" t="str">
        <f t="shared" si="116"/>
        <v>11262</v>
      </c>
      <c r="D858" t="s">
        <v>15</v>
      </c>
      <c r="E858" t="str">
        <f t="shared" si="117"/>
        <v>21</v>
      </c>
      <c r="F858">
        <v>20401</v>
      </c>
      <c r="G858">
        <v>18599</v>
      </c>
      <c r="H858">
        <v>646</v>
      </c>
      <c r="I858" t="str">
        <f t="shared" si="118"/>
        <v>1</v>
      </c>
      <c r="J858" t="str">
        <f t="shared" si="119"/>
        <v>sp.a</v>
      </c>
      <c r="K858">
        <v>452</v>
      </c>
      <c r="L858">
        <v>1169</v>
      </c>
      <c r="M858">
        <v>1621</v>
      </c>
      <c r="N858">
        <v>1081</v>
      </c>
      <c r="O858">
        <v>2</v>
      </c>
      <c r="P858" t="str">
        <f>("10")</f>
        <v>10</v>
      </c>
      <c r="Q858" t="str">
        <f>("BODEN Wilfried")</f>
        <v>BODEN Wilfried</v>
      </c>
      <c r="R858">
        <v>31</v>
      </c>
      <c r="S858" t="s">
        <v>44</v>
      </c>
      <c r="T858">
        <v>0</v>
      </c>
      <c r="V858">
        <v>18</v>
      </c>
      <c r="W858">
        <v>31</v>
      </c>
      <c r="X858">
        <v>0</v>
      </c>
    </row>
    <row r="859" spans="1:24" x14ac:dyDescent="0.35">
      <c r="A859" t="s">
        <v>8</v>
      </c>
      <c r="B859" t="s">
        <v>9</v>
      </c>
      <c r="C859" t="str">
        <f t="shared" si="116"/>
        <v>11262</v>
      </c>
      <c r="D859" t="s">
        <v>15</v>
      </c>
      <c r="E859" t="str">
        <f t="shared" si="117"/>
        <v>21</v>
      </c>
      <c r="F859">
        <v>20401</v>
      </c>
      <c r="G859">
        <v>18599</v>
      </c>
      <c r="H859">
        <v>646</v>
      </c>
      <c r="I859" t="str">
        <f t="shared" si="118"/>
        <v>1</v>
      </c>
      <c r="J859" t="str">
        <f t="shared" si="119"/>
        <v>sp.a</v>
      </c>
      <c r="K859">
        <v>452</v>
      </c>
      <c r="L859">
        <v>1169</v>
      </c>
      <c r="M859">
        <v>1621</v>
      </c>
      <c r="N859">
        <v>1081</v>
      </c>
      <c r="O859">
        <v>2</v>
      </c>
      <c r="P859" t="str">
        <f>("11")</f>
        <v>11</v>
      </c>
      <c r="Q859" t="str">
        <f>("MEES Nancy")</f>
        <v>MEES Nancy</v>
      </c>
      <c r="R859">
        <v>86</v>
      </c>
      <c r="S859" t="s">
        <v>44</v>
      </c>
      <c r="T859">
        <v>0</v>
      </c>
      <c r="V859">
        <v>5</v>
      </c>
      <c r="W859">
        <v>86</v>
      </c>
      <c r="X859">
        <v>0</v>
      </c>
    </row>
    <row r="860" spans="1:24" x14ac:dyDescent="0.35">
      <c r="A860" t="s">
        <v>8</v>
      </c>
      <c r="B860" t="s">
        <v>9</v>
      </c>
      <c r="C860" t="str">
        <f t="shared" si="116"/>
        <v>11262</v>
      </c>
      <c r="D860" t="s">
        <v>15</v>
      </c>
      <c r="E860" t="str">
        <f t="shared" si="117"/>
        <v>21</v>
      </c>
      <c r="F860">
        <v>20401</v>
      </c>
      <c r="G860">
        <v>18599</v>
      </c>
      <c r="H860">
        <v>646</v>
      </c>
      <c r="I860" t="str">
        <f t="shared" si="118"/>
        <v>1</v>
      </c>
      <c r="J860" t="str">
        <f t="shared" si="119"/>
        <v>sp.a</v>
      </c>
      <c r="K860">
        <v>452</v>
      </c>
      <c r="L860">
        <v>1169</v>
      </c>
      <c r="M860">
        <v>1621</v>
      </c>
      <c r="N860">
        <v>1081</v>
      </c>
      <c r="O860">
        <v>2</v>
      </c>
      <c r="P860" t="str">
        <f>("12")</f>
        <v>12</v>
      </c>
      <c r="Q860" t="str">
        <f>("MESSIAEN Leentje")</f>
        <v>MESSIAEN Leentje</v>
      </c>
      <c r="R860">
        <v>35</v>
      </c>
      <c r="S860" t="s">
        <v>44</v>
      </c>
      <c r="T860">
        <v>0</v>
      </c>
      <c r="V860">
        <v>16</v>
      </c>
      <c r="W860">
        <v>35</v>
      </c>
      <c r="X860">
        <v>0</v>
      </c>
    </row>
    <row r="861" spans="1:24" x14ac:dyDescent="0.35">
      <c r="A861" t="s">
        <v>8</v>
      </c>
      <c r="B861" t="s">
        <v>9</v>
      </c>
      <c r="C861" t="str">
        <f t="shared" si="116"/>
        <v>11262</v>
      </c>
      <c r="D861" t="s">
        <v>15</v>
      </c>
      <c r="E861" t="str">
        <f t="shared" si="117"/>
        <v>21</v>
      </c>
      <c r="F861">
        <v>20401</v>
      </c>
      <c r="G861">
        <v>18599</v>
      </c>
      <c r="H861">
        <v>646</v>
      </c>
      <c r="I861" t="str">
        <f t="shared" si="118"/>
        <v>1</v>
      </c>
      <c r="J861" t="str">
        <f t="shared" si="119"/>
        <v>sp.a</v>
      </c>
      <c r="K861">
        <v>452</v>
      </c>
      <c r="L861">
        <v>1169</v>
      </c>
      <c r="M861">
        <v>1621</v>
      </c>
      <c r="N861">
        <v>1081</v>
      </c>
      <c r="O861">
        <v>2</v>
      </c>
      <c r="P861" t="str">
        <f>("13")</f>
        <v>13</v>
      </c>
      <c r="Q861" t="str">
        <f>("RISKÉ Sven")</f>
        <v>RISKÉ Sven</v>
      </c>
      <c r="R861">
        <v>32</v>
      </c>
      <c r="S861" t="s">
        <v>44</v>
      </c>
      <c r="T861">
        <v>0</v>
      </c>
      <c r="V861">
        <v>17</v>
      </c>
      <c r="W861">
        <v>32</v>
      </c>
      <c r="X861">
        <v>0</v>
      </c>
    </row>
    <row r="862" spans="1:24" x14ac:dyDescent="0.35">
      <c r="A862" t="s">
        <v>8</v>
      </c>
      <c r="B862" t="s">
        <v>9</v>
      </c>
      <c r="C862" t="str">
        <f t="shared" si="116"/>
        <v>11262</v>
      </c>
      <c r="D862" t="s">
        <v>15</v>
      </c>
      <c r="E862" t="str">
        <f t="shared" si="117"/>
        <v>21</v>
      </c>
      <c r="F862">
        <v>20401</v>
      </c>
      <c r="G862">
        <v>18599</v>
      </c>
      <c r="H862">
        <v>646</v>
      </c>
      <c r="I862" t="str">
        <f t="shared" si="118"/>
        <v>1</v>
      </c>
      <c r="J862" t="str">
        <f t="shared" si="119"/>
        <v>sp.a</v>
      </c>
      <c r="K862">
        <v>452</v>
      </c>
      <c r="L862">
        <v>1169</v>
      </c>
      <c r="M862">
        <v>1621</v>
      </c>
      <c r="N862">
        <v>1081</v>
      </c>
      <c r="O862">
        <v>2</v>
      </c>
      <c r="P862" t="str">
        <f>("14")</f>
        <v>14</v>
      </c>
      <c r="Q862" t="str">
        <f>("LEEMANS Raymond")</f>
        <v>LEEMANS Raymond</v>
      </c>
      <c r="R862">
        <v>49</v>
      </c>
      <c r="S862" t="s">
        <v>44</v>
      </c>
      <c r="T862">
        <v>0</v>
      </c>
      <c r="V862">
        <v>9</v>
      </c>
      <c r="W862">
        <v>49</v>
      </c>
      <c r="X862">
        <v>0</v>
      </c>
    </row>
    <row r="863" spans="1:24" x14ac:dyDescent="0.35">
      <c r="A863" t="s">
        <v>8</v>
      </c>
      <c r="B863" t="s">
        <v>9</v>
      </c>
      <c r="C863" t="str">
        <f t="shared" si="116"/>
        <v>11262</v>
      </c>
      <c r="D863" t="s">
        <v>15</v>
      </c>
      <c r="E863" t="str">
        <f t="shared" si="117"/>
        <v>21</v>
      </c>
      <c r="F863">
        <v>20401</v>
      </c>
      <c r="G863">
        <v>18599</v>
      </c>
      <c r="H863">
        <v>646</v>
      </c>
      <c r="I863" t="str">
        <f t="shared" si="118"/>
        <v>1</v>
      </c>
      <c r="J863" t="str">
        <f t="shared" si="119"/>
        <v>sp.a</v>
      </c>
      <c r="K863">
        <v>452</v>
      </c>
      <c r="L863">
        <v>1169</v>
      </c>
      <c r="M863">
        <v>1621</v>
      </c>
      <c r="N863">
        <v>1081</v>
      </c>
      <c r="O863">
        <v>2</v>
      </c>
      <c r="P863" t="str">
        <f>("15")</f>
        <v>15</v>
      </c>
      <c r="Q863" t="str">
        <f>("CROMBEZ Corry")</f>
        <v>CROMBEZ Corry</v>
      </c>
      <c r="R863">
        <v>37</v>
      </c>
      <c r="S863" t="s">
        <v>44</v>
      </c>
      <c r="T863">
        <v>0</v>
      </c>
      <c r="V863">
        <v>15</v>
      </c>
      <c r="W863">
        <v>37</v>
      </c>
      <c r="X863">
        <v>0</v>
      </c>
    </row>
    <row r="864" spans="1:24" x14ac:dyDescent="0.35">
      <c r="A864" t="s">
        <v>8</v>
      </c>
      <c r="B864" t="s">
        <v>9</v>
      </c>
      <c r="C864" t="str">
        <f t="shared" si="116"/>
        <v>11262</v>
      </c>
      <c r="D864" t="s">
        <v>15</v>
      </c>
      <c r="E864" t="str">
        <f t="shared" si="117"/>
        <v>21</v>
      </c>
      <c r="F864">
        <v>20401</v>
      </c>
      <c r="G864">
        <v>18599</v>
      </c>
      <c r="H864">
        <v>646</v>
      </c>
      <c r="I864" t="str">
        <f t="shared" si="118"/>
        <v>1</v>
      </c>
      <c r="J864" t="str">
        <f t="shared" si="119"/>
        <v>sp.a</v>
      </c>
      <c r="K864">
        <v>452</v>
      </c>
      <c r="L864">
        <v>1169</v>
      </c>
      <c r="M864">
        <v>1621</v>
      </c>
      <c r="N864">
        <v>1081</v>
      </c>
      <c r="O864">
        <v>2</v>
      </c>
      <c r="P864" t="str">
        <f>("16")</f>
        <v>16</v>
      </c>
      <c r="Q864" t="str">
        <f>("JOHNN Lucinda")</f>
        <v>JOHNN Lucinda</v>
      </c>
      <c r="R864">
        <v>26</v>
      </c>
      <c r="S864" t="s">
        <v>44</v>
      </c>
      <c r="T864">
        <v>0</v>
      </c>
      <c r="V864">
        <v>19</v>
      </c>
      <c r="W864">
        <v>26</v>
      </c>
      <c r="X864">
        <v>0</v>
      </c>
    </row>
    <row r="865" spans="1:24" x14ac:dyDescent="0.35">
      <c r="A865" t="s">
        <v>8</v>
      </c>
      <c r="B865" t="s">
        <v>9</v>
      </c>
      <c r="C865" t="str">
        <f t="shared" si="116"/>
        <v>11262</v>
      </c>
      <c r="D865" t="s">
        <v>15</v>
      </c>
      <c r="E865" t="str">
        <f t="shared" si="117"/>
        <v>21</v>
      </c>
      <c r="F865">
        <v>20401</v>
      </c>
      <c r="G865">
        <v>18599</v>
      </c>
      <c r="H865">
        <v>646</v>
      </c>
      <c r="I865" t="str">
        <f t="shared" si="118"/>
        <v>1</v>
      </c>
      <c r="J865" t="str">
        <f t="shared" si="119"/>
        <v>sp.a</v>
      </c>
      <c r="K865">
        <v>452</v>
      </c>
      <c r="L865">
        <v>1169</v>
      </c>
      <c r="M865">
        <v>1621</v>
      </c>
      <c r="N865">
        <v>1081</v>
      </c>
      <c r="O865">
        <v>2</v>
      </c>
      <c r="P865" t="str">
        <f>("17")</f>
        <v>17</v>
      </c>
      <c r="Q865" t="str">
        <f>("VAN HAM Simonne")</f>
        <v>VAN HAM Simonne</v>
      </c>
      <c r="R865">
        <v>57</v>
      </c>
      <c r="S865" t="s">
        <v>44</v>
      </c>
      <c r="T865">
        <v>0</v>
      </c>
      <c r="V865">
        <v>7</v>
      </c>
      <c r="W865">
        <v>57</v>
      </c>
      <c r="X865">
        <v>0</v>
      </c>
    </row>
    <row r="866" spans="1:24" x14ac:dyDescent="0.35">
      <c r="A866" t="s">
        <v>8</v>
      </c>
      <c r="B866" t="s">
        <v>9</v>
      </c>
      <c r="C866" t="str">
        <f t="shared" si="116"/>
        <v>11262</v>
      </c>
      <c r="D866" t="s">
        <v>15</v>
      </c>
      <c r="E866" t="str">
        <f t="shared" si="117"/>
        <v>21</v>
      </c>
      <c r="F866">
        <v>20401</v>
      </c>
      <c r="G866">
        <v>18599</v>
      </c>
      <c r="H866">
        <v>646</v>
      </c>
      <c r="I866" t="str">
        <f t="shared" si="118"/>
        <v>1</v>
      </c>
      <c r="J866" t="str">
        <f t="shared" si="119"/>
        <v>sp.a</v>
      </c>
      <c r="K866">
        <v>452</v>
      </c>
      <c r="L866">
        <v>1169</v>
      </c>
      <c r="M866">
        <v>1621</v>
      </c>
      <c r="N866">
        <v>1081</v>
      </c>
      <c r="O866">
        <v>2</v>
      </c>
      <c r="P866" t="str">
        <f>("18")</f>
        <v>18</v>
      </c>
      <c r="Q866" t="str">
        <f>("VERHEYEN John")</f>
        <v>VERHEYEN John</v>
      </c>
      <c r="R866">
        <v>48</v>
      </c>
      <c r="S866" t="s">
        <v>44</v>
      </c>
      <c r="T866">
        <v>0</v>
      </c>
      <c r="V866">
        <v>12</v>
      </c>
      <c r="W866">
        <v>48</v>
      </c>
      <c r="X866">
        <v>0</v>
      </c>
    </row>
    <row r="867" spans="1:24" x14ac:dyDescent="0.35">
      <c r="A867" t="s">
        <v>8</v>
      </c>
      <c r="B867" t="s">
        <v>9</v>
      </c>
      <c r="C867" t="str">
        <f t="shared" si="116"/>
        <v>11262</v>
      </c>
      <c r="D867" t="s">
        <v>15</v>
      </c>
      <c r="E867" t="str">
        <f t="shared" si="117"/>
        <v>21</v>
      </c>
      <c r="F867">
        <v>20401</v>
      </c>
      <c r="G867">
        <v>18599</v>
      </c>
      <c r="H867">
        <v>646</v>
      </c>
      <c r="I867" t="str">
        <f t="shared" si="118"/>
        <v>1</v>
      </c>
      <c r="J867" t="str">
        <f t="shared" si="119"/>
        <v>sp.a</v>
      </c>
      <c r="K867">
        <v>452</v>
      </c>
      <c r="L867">
        <v>1169</v>
      </c>
      <c r="M867">
        <v>1621</v>
      </c>
      <c r="N867">
        <v>1081</v>
      </c>
      <c r="O867">
        <v>2</v>
      </c>
      <c r="P867" t="str">
        <f>("19")</f>
        <v>19</v>
      </c>
      <c r="Q867" t="str">
        <f>("VAN HAM Ingrid")</f>
        <v>VAN HAM Ingrid</v>
      </c>
      <c r="R867">
        <v>49</v>
      </c>
      <c r="S867" t="s">
        <v>44</v>
      </c>
      <c r="T867">
        <v>0</v>
      </c>
      <c r="V867">
        <v>10</v>
      </c>
      <c r="W867">
        <v>49</v>
      </c>
      <c r="X867">
        <v>0</v>
      </c>
    </row>
    <row r="868" spans="1:24" x14ac:dyDescent="0.35">
      <c r="A868" t="s">
        <v>8</v>
      </c>
      <c r="B868" t="s">
        <v>9</v>
      </c>
      <c r="C868" t="str">
        <f t="shared" si="116"/>
        <v>11262</v>
      </c>
      <c r="D868" t="s">
        <v>15</v>
      </c>
      <c r="E868" t="str">
        <f t="shared" si="117"/>
        <v>21</v>
      </c>
      <c r="F868">
        <v>20401</v>
      </c>
      <c r="G868">
        <v>18599</v>
      </c>
      <c r="H868">
        <v>646</v>
      </c>
      <c r="I868" t="str">
        <f t="shared" si="118"/>
        <v>1</v>
      </c>
      <c r="J868" t="str">
        <f t="shared" si="119"/>
        <v>sp.a</v>
      </c>
      <c r="K868">
        <v>452</v>
      </c>
      <c r="L868">
        <v>1169</v>
      </c>
      <c r="M868">
        <v>1621</v>
      </c>
      <c r="N868">
        <v>1081</v>
      </c>
      <c r="O868">
        <v>2</v>
      </c>
      <c r="P868" t="str">
        <f>("20")</f>
        <v>20</v>
      </c>
      <c r="Q868" t="str">
        <f>("LAMBRECHTS John")</f>
        <v>LAMBRECHTS John</v>
      </c>
      <c r="R868">
        <v>41</v>
      </c>
      <c r="S868" t="s">
        <v>44</v>
      </c>
      <c r="T868">
        <v>0</v>
      </c>
      <c r="V868">
        <v>13</v>
      </c>
      <c r="W868">
        <v>41</v>
      </c>
      <c r="X868">
        <v>0</v>
      </c>
    </row>
    <row r="869" spans="1:24" x14ac:dyDescent="0.35">
      <c r="A869" t="s">
        <v>8</v>
      </c>
      <c r="B869" t="s">
        <v>9</v>
      </c>
      <c r="C869" t="str">
        <f t="shared" si="116"/>
        <v>11262</v>
      </c>
      <c r="D869" t="s">
        <v>15</v>
      </c>
      <c r="E869" t="str">
        <f t="shared" si="117"/>
        <v>21</v>
      </c>
      <c r="F869">
        <v>20401</v>
      </c>
      <c r="G869">
        <v>18599</v>
      </c>
      <c r="H869">
        <v>646</v>
      </c>
      <c r="I869" t="str">
        <f t="shared" si="118"/>
        <v>1</v>
      </c>
      <c r="J869" t="str">
        <f t="shared" si="119"/>
        <v>sp.a</v>
      </c>
      <c r="K869">
        <v>452</v>
      </c>
      <c r="L869">
        <v>1169</v>
      </c>
      <c r="M869">
        <v>1621</v>
      </c>
      <c r="N869">
        <v>1081</v>
      </c>
      <c r="O869">
        <v>2</v>
      </c>
      <c r="P869" t="str">
        <f>("21")</f>
        <v>21</v>
      </c>
      <c r="Q869" t="str">
        <f>("DE CONINCK Monica")</f>
        <v>DE CONINCK Monica</v>
      </c>
      <c r="R869">
        <v>190</v>
      </c>
      <c r="S869" t="s">
        <v>44</v>
      </c>
      <c r="T869">
        <v>0</v>
      </c>
      <c r="V869">
        <v>2</v>
      </c>
      <c r="W869">
        <v>190</v>
      </c>
      <c r="X869">
        <v>0</v>
      </c>
    </row>
    <row r="870" spans="1:24" x14ac:dyDescent="0.35">
      <c r="A870" t="s">
        <v>8</v>
      </c>
      <c r="B870" t="s">
        <v>9</v>
      </c>
      <c r="C870" t="str">
        <f t="shared" si="116"/>
        <v>11262</v>
      </c>
      <c r="D870" t="s">
        <v>15</v>
      </c>
      <c r="E870" t="str">
        <f t="shared" si="117"/>
        <v>21</v>
      </c>
      <c r="F870">
        <v>20401</v>
      </c>
      <c r="G870">
        <v>18599</v>
      </c>
      <c r="H870">
        <v>646</v>
      </c>
      <c r="I870" t="str">
        <f t="shared" ref="I870:I890" si="120">("2")</f>
        <v>2</v>
      </c>
      <c r="J870" t="str">
        <f t="shared" ref="J870:J890" si="121">("N-VA")</f>
        <v>N-VA</v>
      </c>
      <c r="K870">
        <v>2360</v>
      </c>
      <c r="L870">
        <v>4911</v>
      </c>
      <c r="M870">
        <v>7271</v>
      </c>
      <c r="N870">
        <v>6544</v>
      </c>
      <c r="O870">
        <v>9</v>
      </c>
      <c r="P870" t="str">
        <f>("1")</f>
        <v>1</v>
      </c>
      <c r="Q870" t="str">
        <f>("PALINCKX Koen")</f>
        <v>PALINCKX Koen</v>
      </c>
      <c r="R870">
        <v>2942</v>
      </c>
      <c r="S870">
        <v>6544</v>
      </c>
      <c r="T870">
        <v>3478</v>
      </c>
      <c r="U870">
        <v>1</v>
      </c>
    </row>
    <row r="871" spans="1:24" x14ac:dyDescent="0.35">
      <c r="A871" t="s">
        <v>8</v>
      </c>
      <c r="B871" t="s">
        <v>9</v>
      </c>
      <c r="C871" t="str">
        <f t="shared" si="116"/>
        <v>11262</v>
      </c>
      <c r="D871" t="s">
        <v>15</v>
      </c>
      <c r="E871" t="str">
        <f t="shared" si="117"/>
        <v>21</v>
      </c>
      <c r="F871">
        <v>20401</v>
      </c>
      <c r="G871">
        <v>18599</v>
      </c>
      <c r="H871">
        <v>646</v>
      </c>
      <c r="I871" t="str">
        <f t="shared" si="120"/>
        <v>2</v>
      </c>
      <c r="J871" t="str">
        <f t="shared" si="121"/>
        <v>N-VA</v>
      </c>
      <c r="K871">
        <v>2360</v>
      </c>
      <c r="L871">
        <v>4911</v>
      </c>
      <c r="M871">
        <v>7271</v>
      </c>
      <c r="N871">
        <v>6544</v>
      </c>
      <c r="O871">
        <v>9</v>
      </c>
      <c r="P871" t="str">
        <f>("2")</f>
        <v>2</v>
      </c>
      <c r="Q871" t="str">
        <f>("COENE Sabine")</f>
        <v>COENE Sabine</v>
      </c>
      <c r="R871">
        <v>650</v>
      </c>
      <c r="S871">
        <v>4128</v>
      </c>
      <c r="T871">
        <v>0</v>
      </c>
      <c r="U871">
        <v>2</v>
      </c>
    </row>
    <row r="872" spans="1:24" x14ac:dyDescent="0.35">
      <c r="A872" t="s">
        <v>8</v>
      </c>
      <c r="B872" t="s">
        <v>9</v>
      </c>
      <c r="C872" t="str">
        <f t="shared" si="116"/>
        <v>11262</v>
      </c>
      <c r="D872" t="s">
        <v>15</v>
      </c>
      <c r="E872" t="str">
        <f t="shared" si="117"/>
        <v>21</v>
      </c>
      <c r="F872">
        <v>20401</v>
      </c>
      <c r="G872">
        <v>18599</v>
      </c>
      <c r="H872">
        <v>646</v>
      </c>
      <c r="I872" t="str">
        <f t="shared" si="120"/>
        <v>2</v>
      </c>
      <c r="J872" t="str">
        <f t="shared" si="121"/>
        <v>N-VA</v>
      </c>
      <c r="K872">
        <v>2360</v>
      </c>
      <c r="L872">
        <v>4911</v>
      </c>
      <c r="M872">
        <v>7271</v>
      </c>
      <c r="N872">
        <v>6544</v>
      </c>
      <c r="O872">
        <v>9</v>
      </c>
      <c r="P872" t="str">
        <f>("3")</f>
        <v>3</v>
      </c>
      <c r="Q872" t="str">
        <f>("VAN REUSEL Ludo")</f>
        <v>VAN REUSEL Ludo</v>
      </c>
      <c r="R872">
        <v>383</v>
      </c>
      <c r="S872">
        <v>383</v>
      </c>
      <c r="T872">
        <v>0</v>
      </c>
      <c r="U872">
        <v>6</v>
      </c>
    </row>
    <row r="873" spans="1:24" x14ac:dyDescent="0.35">
      <c r="A873" t="s">
        <v>8</v>
      </c>
      <c r="B873" t="s">
        <v>9</v>
      </c>
      <c r="C873" t="str">
        <f t="shared" si="116"/>
        <v>11262</v>
      </c>
      <c r="D873" t="s">
        <v>15</v>
      </c>
      <c r="E873" t="str">
        <f t="shared" si="117"/>
        <v>21</v>
      </c>
      <c r="F873">
        <v>20401</v>
      </c>
      <c r="G873">
        <v>18599</v>
      </c>
      <c r="H873">
        <v>646</v>
      </c>
      <c r="I873" t="str">
        <f t="shared" si="120"/>
        <v>2</v>
      </c>
      <c r="J873" t="str">
        <f t="shared" si="121"/>
        <v>N-VA</v>
      </c>
      <c r="K873">
        <v>2360</v>
      </c>
      <c r="L873">
        <v>4911</v>
      </c>
      <c r="M873">
        <v>7271</v>
      </c>
      <c r="N873">
        <v>6544</v>
      </c>
      <c r="O873">
        <v>9</v>
      </c>
      <c r="P873" t="str">
        <f>("4")</f>
        <v>4</v>
      </c>
      <c r="Q873" t="str">
        <f>("PLOMPEN Annemie")</f>
        <v>PLOMPEN Annemie</v>
      </c>
      <c r="R873">
        <v>454</v>
      </c>
      <c r="S873">
        <v>454</v>
      </c>
      <c r="T873">
        <v>0</v>
      </c>
      <c r="U873">
        <v>4</v>
      </c>
    </row>
    <row r="874" spans="1:24" x14ac:dyDescent="0.35">
      <c r="A874" t="s">
        <v>8</v>
      </c>
      <c r="B874" t="s">
        <v>9</v>
      </c>
      <c r="C874" t="str">
        <f t="shared" si="116"/>
        <v>11262</v>
      </c>
      <c r="D874" t="s">
        <v>15</v>
      </c>
      <c r="E874" t="str">
        <f t="shared" si="117"/>
        <v>21</v>
      </c>
      <c r="F874">
        <v>20401</v>
      </c>
      <c r="G874">
        <v>18599</v>
      </c>
      <c r="H874">
        <v>646</v>
      </c>
      <c r="I874" t="str">
        <f t="shared" si="120"/>
        <v>2</v>
      </c>
      <c r="J874" t="str">
        <f t="shared" si="121"/>
        <v>N-VA</v>
      </c>
      <c r="K874">
        <v>2360</v>
      </c>
      <c r="L874">
        <v>4911</v>
      </c>
      <c r="M874">
        <v>7271</v>
      </c>
      <c r="N874">
        <v>6544</v>
      </c>
      <c r="O874">
        <v>9</v>
      </c>
      <c r="P874" t="str">
        <f>("5")</f>
        <v>5</v>
      </c>
      <c r="Q874" t="str">
        <f>("MERTENS Brecht")</f>
        <v>MERTENS Brecht</v>
      </c>
      <c r="R874">
        <v>190</v>
      </c>
      <c r="S874" t="s">
        <v>44</v>
      </c>
      <c r="T874">
        <v>0</v>
      </c>
      <c r="V874">
        <v>1</v>
      </c>
      <c r="W874">
        <v>6544</v>
      </c>
      <c r="X874">
        <v>726</v>
      </c>
    </row>
    <row r="875" spans="1:24" x14ac:dyDescent="0.35">
      <c r="A875" t="s">
        <v>8</v>
      </c>
      <c r="B875" t="s">
        <v>9</v>
      </c>
      <c r="C875" t="str">
        <f t="shared" si="116"/>
        <v>11262</v>
      </c>
      <c r="D875" t="s">
        <v>15</v>
      </c>
      <c r="E875" t="str">
        <f t="shared" si="117"/>
        <v>21</v>
      </c>
      <c r="F875">
        <v>20401</v>
      </c>
      <c r="G875">
        <v>18599</v>
      </c>
      <c r="H875">
        <v>646</v>
      </c>
      <c r="I875" t="str">
        <f t="shared" si="120"/>
        <v>2</v>
      </c>
      <c r="J875" t="str">
        <f t="shared" si="121"/>
        <v>N-VA</v>
      </c>
      <c r="K875">
        <v>2360</v>
      </c>
      <c r="L875">
        <v>4911</v>
      </c>
      <c r="M875">
        <v>7271</v>
      </c>
      <c r="N875">
        <v>6544</v>
      </c>
      <c r="O875">
        <v>9</v>
      </c>
      <c r="P875" t="str">
        <f>("6")</f>
        <v>6</v>
      </c>
      <c r="Q875" t="str">
        <f>("KOEKHOVEN Ann")</f>
        <v>KOEKHOVEN Ann</v>
      </c>
      <c r="R875">
        <v>289</v>
      </c>
      <c r="S875">
        <v>289</v>
      </c>
      <c r="T875">
        <v>0</v>
      </c>
      <c r="U875">
        <v>7</v>
      </c>
    </row>
    <row r="876" spans="1:24" x14ac:dyDescent="0.35">
      <c r="A876" t="s">
        <v>8</v>
      </c>
      <c r="B876" t="s">
        <v>9</v>
      </c>
      <c r="C876" t="str">
        <f t="shared" si="116"/>
        <v>11262</v>
      </c>
      <c r="D876" t="s">
        <v>15</v>
      </c>
      <c r="E876" t="str">
        <f t="shared" si="117"/>
        <v>21</v>
      </c>
      <c r="F876">
        <v>20401</v>
      </c>
      <c r="G876">
        <v>18599</v>
      </c>
      <c r="H876">
        <v>646</v>
      </c>
      <c r="I876" t="str">
        <f t="shared" si="120"/>
        <v>2</v>
      </c>
      <c r="J876" t="str">
        <f t="shared" si="121"/>
        <v>N-VA</v>
      </c>
      <c r="K876">
        <v>2360</v>
      </c>
      <c r="L876">
        <v>4911</v>
      </c>
      <c r="M876">
        <v>7271</v>
      </c>
      <c r="N876">
        <v>6544</v>
      </c>
      <c r="O876">
        <v>9</v>
      </c>
      <c r="P876" t="str">
        <f>("7")</f>
        <v>7</v>
      </c>
      <c r="Q876" t="str">
        <f>("MICHIELS Wilfried")</f>
        <v>MICHIELS Wilfried</v>
      </c>
      <c r="R876">
        <v>164</v>
      </c>
      <c r="S876" t="s">
        <v>44</v>
      </c>
      <c r="T876">
        <v>0</v>
      </c>
      <c r="V876">
        <v>2</v>
      </c>
      <c r="W876">
        <v>890</v>
      </c>
      <c r="X876">
        <v>0</v>
      </c>
    </row>
    <row r="877" spans="1:24" x14ac:dyDescent="0.35">
      <c r="A877" t="s">
        <v>8</v>
      </c>
      <c r="B877" t="s">
        <v>9</v>
      </c>
      <c r="C877" t="str">
        <f t="shared" si="116"/>
        <v>11262</v>
      </c>
      <c r="D877" t="s">
        <v>15</v>
      </c>
      <c r="E877" t="str">
        <f t="shared" si="117"/>
        <v>21</v>
      </c>
      <c r="F877">
        <v>20401</v>
      </c>
      <c r="G877">
        <v>18599</v>
      </c>
      <c r="H877">
        <v>646</v>
      </c>
      <c r="I877" t="str">
        <f t="shared" si="120"/>
        <v>2</v>
      </c>
      <c r="J877" t="str">
        <f t="shared" si="121"/>
        <v>N-VA</v>
      </c>
      <c r="K877">
        <v>2360</v>
      </c>
      <c r="L877">
        <v>4911</v>
      </c>
      <c r="M877">
        <v>7271</v>
      </c>
      <c r="N877">
        <v>6544</v>
      </c>
      <c r="O877">
        <v>9</v>
      </c>
      <c r="P877" t="str">
        <f>("8")</f>
        <v>8</v>
      </c>
      <c r="Q877" t="str">
        <f>("DIERICK Bieke")</f>
        <v>DIERICK Bieke</v>
      </c>
      <c r="R877">
        <v>218</v>
      </c>
      <c r="S877" t="s">
        <v>44</v>
      </c>
      <c r="T877">
        <v>0</v>
      </c>
      <c r="V877">
        <v>4</v>
      </c>
      <c r="W877">
        <v>218</v>
      </c>
      <c r="X877">
        <v>0</v>
      </c>
    </row>
    <row r="878" spans="1:24" x14ac:dyDescent="0.35">
      <c r="A878" t="s">
        <v>8</v>
      </c>
      <c r="B878" t="s">
        <v>9</v>
      </c>
      <c r="C878" t="str">
        <f t="shared" si="116"/>
        <v>11262</v>
      </c>
      <c r="D878" t="s">
        <v>15</v>
      </c>
      <c r="E878" t="str">
        <f t="shared" si="117"/>
        <v>21</v>
      </c>
      <c r="F878">
        <v>20401</v>
      </c>
      <c r="G878">
        <v>18599</v>
      </c>
      <c r="H878">
        <v>646</v>
      </c>
      <c r="I878" t="str">
        <f t="shared" si="120"/>
        <v>2</v>
      </c>
      <c r="J878" t="str">
        <f t="shared" si="121"/>
        <v>N-VA</v>
      </c>
      <c r="K878">
        <v>2360</v>
      </c>
      <c r="L878">
        <v>4911</v>
      </c>
      <c r="M878">
        <v>7271</v>
      </c>
      <c r="N878">
        <v>6544</v>
      </c>
      <c r="O878">
        <v>9</v>
      </c>
      <c r="P878" t="str">
        <f>("9")</f>
        <v>9</v>
      </c>
      <c r="Q878" t="str">
        <f>("MALFLIET Ellen")</f>
        <v>MALFLIET Ellen</v>
      </c>
      <c r="R878">
        <v>229</v>
      </c>
      <c r="S878">
        <v>229</v>
      </c>
      <c r="T878">
        <v>0</v>
      </c>
      <c r="U878">
        <v>9</v>
      </c>
    </row>
    <row r="879" spans="1:24" x14ac:dyDescent="0.35">
      <c r="A879" t="s">
        <v>8</v>
      </c>
      <c r="B879" t="s">
        <v>9</v>
      </c>
      <c r="C879" t="str">
        <f t="shared" si="116"/>
        <v>11262</v>
      </c>
      <c r="D879" t="s">
        <v>15</v>
      </c>
      <c r="E879" t="str">
        <f t="shared" si="117"/>
        <v>21</v>
      </c>
      <c r="F879">
        <v>20401</v>
      </c>
      <c r="G879">
        <v>18599</v>
      </c>
      <c r="H879">
        <v>646</v>
      </c>
      <c r="I879" t="str">
        <f t="shared" si="120"/>
        <v>2</v>
      </c>
      <c r="J879" t="str">
        <f t="shared" si="121"/>
        <v>N-VA</v>
      </c>
      <c r="K879">
        <v>2360</v>
      </c>
      <c r="L879">
        <v>4911</v>
      </c>
      <c r="M879">
        <v>7271</v>
      </c>
      <c r="N879">
        <v>6544</v>
      </c>
      <c r="O879">
        <v>9</v>
      </c>
      <c r="P879" t="str">
        <f>("10")</f>
        <v>10</v>
      </c>
      <c r="Q879" t="str">
        <f>("VOETS Martine")</f>
        <v>VOETS Martine</v>
      </c>
      <c r="R879">
        <v>268</v>
      </c>
      <c r="S879">
        <v>268</v>
      </c>
      <c r="T879">
        <v>0</v>
      </c>
      <c r="U879">
        <v>8</v>
      </c>
    </row>
    <row r="880" spans="1:24" x14ac:dyDescent="0.35">
      <c r="A880" t="s">
        <v>8</v>
      </c>
      <c r="B880" t="s">
        <v>9</v>
      </c>
      <c r="C880" t="str">
        <f t="shared" si="116"/>
        <v>11262</v>
      </c>
      <c r="D880" t="s">
        <v>15</v>
      </c>
      <c r="E880" t="str">
        <f t="shared" si="117"/>
        <v>21</v>
      </c>
      <c r="F880">
        <v>20401</v>
      </c>
      <c r="G880">
        <v>18599</v>
      </c>
      <c r="H880">
        <v>646</v>
      </c>
      <c r="I880" t="str">
        <f t="shared" si="120"/>
        <v>2</v>
      </c>
      <c r="J880" t="str">
        <f t="shared" si="121"/>
        <v>N-VA</v>
      </c>
      <c r="K880">
        <v>2360</v>
      </c>
      <c r="L880">
        <v>4911</v>
      </c>
      <c r="M880">
        <v>7271</v>
      </c>
      <c r="N880">
        <v>6544</v>
      </c>
      <c r="O880">
        <v>9</v>
      </c>
      <c r="P880" t="str">
        <f>("11")</f>
        <v>11</v>
      </c>
      <c r="Q880" t="str">
        <f>("HUYBRECHTS Serge")</f>
        <v>HUYBRECHTS Serge</v>
      </c>
      <c r="R880">
        <v>223</v>
      </c>
      <c r="S880" t="s">
        <v>44</v>
      </c>
      <c r="T880">
        <v>0</v>
      </c>
      <c r="V880">
        <v>3</v>
      </c>
      <c r="W880">
        <v>223</v>
      </c>
      <c r="X880">
        <v>0</v>
      </c>
    </row>
    <row r="881" spans="1:24" x14ac:dyDescent="0.35">
      <c r="A881" t="s">
        <v>8</v>
      </c>
      <c r="B881" t="s">
        <v>9</v>
      </c>
      <c r="C881" t="str">
        <f t="shared" ref="C881:C912" si="122">("11262")</f>
        <v>11262</v>
      </c>
      <c r="D881" t="s">
        <v>15</v>
      </c>
      <c r="E881" t="str">
        <f t="shared" ref="E881:E912" si="123">("21")</f>
        <v>21</v>
      </c>
      <c r="F881">
        <v>20401</v>
      </c>
      <c r="G881">
        <v>18599</v>
      </c>
      <c r="H881">
        <v>646</v>
      </c>
      <c r="I881" t="str">
        <f t="shared" si="120"/>
        <v>2</v>
      </c>
      <c r="J881" t="str">
        <f t="shared" si="121"/>
        <v>N-VA</v>
      </c>
      <c r="K881">
        <v>2360</v>
      </c>
      <c r="L881">
        <v>4911</v>
      </c>
      <c r="M881">
        <v>7271</v>
      </c>
      <c r="N881">
        <v>6544</v>
      </c>
      <c r="O881">
        <v>9</v>
      </c>
      <c r="P881" t="str">
        <f>("12")</f>
        <v>12</v>
      </c>
      <c r="Q881" t="str">
        <f>("LEGON Ivo")</f>
        <v>LEGON Ivo</v>
      </c>
      <c r="R881">
        <v>168</v>
      </c>
      <c r="S881" t="s">
        <v>44</v>
      </c>
      <c r="T881">
        <v>0</v>
      </c>
      <c r="V881">
        <v>7</v>
      </c>
      <c r="W881">
        <v>168</v>
      </c>
      <c r="X881">
        <v>0</v>
      </c>
    </row>
    <row r="882" spans="1:24" x14ac:dyDescent="0.35">
      <c r="A882" t="s">
        <v>8</v>
      </c>
      <c r="B882" t="s">
        <v>9</v>
      </c>
      <c r="C882" t="str">
        <f t="shared" si="122"/>
        <v>11262</v>
      </c>
      <c r="D882" t="s">
        <v>15</v>
      </c>
      <c r="E882" t="str">
        <f t="shared" si="123"/>
        <v>21</v>
      </c>
      <c r="F882">
        <v>20401</v>
      </c>
      <c r="G882">
        <v>18599</v>
      </c>
      <c r="H882">
        <v>646</v>
      </c>
      <c r="I882" t="str">
        <f t="shared" si="120"/>
        <v>2</v>
      </c>
      <c r="J882" t="str">
        <f t="shared" si="121"/>
        <v>N-VA</v>
      </c>
      <c r="K882">
        <v>2360</v>
      </c>
      <c r="L882">
        <v>4911</v>
      </c>
      <c r="M882">
        <v>7271</v>
      </c>
      <c r="N882">
        <v>6544</v>
      </c>
      <c r="O882">
        <v>9</v>
      </c>
      <c r="P882" t="str">
        <f>("13")</f>
        <v>13</v>
      </c>
      <c r="Q882" t="str">
        <f>("SHEA Nancy")</f>
        <v>SHEA Nancy</v>
      </c>
      <c r="R882">
        <v>129</v>
      </c>
      <c r="S882" t="s">
        <v>44</v>
      </c>
      <c r="T882">
        <v>0</v>
      </c>
      <c r="V882">
        <v>12</v>
      </c>
      <c r="W882">
        <v>129</v>
      </c>
      <c r="X882">
        <v>0</v>
      </c>
    </row>
    <row r="883" spans="1:24" x14ac:dyDescent="0.35">
      <c r="A883" t="s">
        <v>8</v>
      </c>
      <c r="B883" t="s">
        <v>9</v>
      </c>
      <c r="C883" t="str">
        <f t="shared" si="122"/>
        <v>11262</v>
      </c>
      <c r="D883" t="s">
        <v>15</v>
      </c>
      <c r="E883" t="str">
        <f t="shared" si="123"/>
        <v>21</v>
      </c>
      <c r="F883">
        <v>20401</v>
      </c>
      <c r="G883">
        <v>18599</v>
      </c>
      <c r="H883">
        <v>646</v>
      </c>
      <c r="I883" t="str">
        <f t="shared" si="120"/>
        <v>2</v>
      </c>
      <c r="J883" t="str">
        <f t="shared" si="121"/>
        <v>N-VA</v>
      </c>
      <c r="K883">
        <v>2360</v>
      </c>
      <c r="L883">
        <v>4911</v>
      </c>
      <c r="M883">
        <v>7271</v>
      </c>
      <c r="N883">
        <v>6544</v>
      </c>
      <c r="O883">
        <v>9</v>
      </c>
      <c r="P883" t="str">
        <f>("14")</f>
        <v>14</v>
      </c>
      <c r="Q883" t="str">
        <f>("SCHERER Peter")</f>
        <v>SCHERER Peter</v>
      </c>
      <c r="R883">
        <v>164</v>
      </c>
      <c r="S883" t="s">
        <v>44</v>
      </c>
      <c r="T883">
        <v>0</v>
      </c>
      <c r="V883">
        <v>9</v>
      </c>
      <c r="W883">
        <v>164</v>
      </c>
      <c r="X883">
        <v>0</v>
      </c>
    </row>
    <row r="884" spans="1:24" x14ac:dyDescent="0.35">
      <c r="A884" t="s">
        <v>8</v>
      </c>
      <c r="B884" t="s">
        <v>9</v>
      </c>
      <c r="C884" t="str">
        <f t="shared" si="122"/>
        <v>11262</v>
      </c>
      <c r="D884" t="s">
        <v>15</v>
      </c>
      <c r="E884" t="str">
        <f t="shared" si="123"/>
        <v>21</v>
      </c>
      <c r="F884">
        <v>20401</v>
      </c>
      <c r="G884">
        <v>18599</v>
      </c>
      <c r="H884">
        <v>646</v>
      </c>
      <c r="I884" t="str">
        <f t="shared" si="120"/>
        <v>2</v>
      </c>
      <c r="J884" t="str">
        <f t="shared" si="121"/>
        <v>N-VA</v>
      </c>
      <c r="K884">
        <v>2360</v>
      </c>
      <c r="L884">
        <v>4911</v>
      </c>
      <c r="M884">
        <v>7271</v>
      </c>
      <c r="N884">
        <v>6544</v>
      </c>
      <c r="O884">
        <v>9</v>
      </c>
      <c r="P884" t="str">
        <f>("15")</f>
        <v>15</v>
      </c>
      <c r="Q884" t="str">
        <f>("VAN BELLE Ivo")</f>
        <v>VAN BELLE Ivo</v>
      </c>
      <c r="R884">
        <v>168</v>
      </c>
      <c r="S884" t="s">
        <v>44</v>
      </c>
      <c r="T884">
        <v>0</v>
      </c>
      <c r="V884">
        <v>8</v>
      </c>
      <c r="W884">
        <v>168</v>
      </c>
      <c r="X884">
        <v>0</v>
      </c>
    </row>
    <row r="885" spans="1:24" x14ac:dyDescent="0.35">
      <c r="A885" t="s">
        <v>8</v>
      </c>
      <c r="B885" t="s">
        <v>9</v>
      </c>
      <c r="C885" t="str">
        <f t="shared" si="122"/>
        <v>11262</v>
      </c>
      <c r="D885" t="s">
        <v>15</v>
      </c>
      <c r="E885" t="str">
        <f t="shared" si="123"/>
        <v>21</v>
      </c>
      <c r="F885">
        <v>20401</v>
      </c>
      <c r="G885">
        <v>18599</v>
      </c>
      <c r="H885">
        <v>646</v>
      </c>
      <c r="I885" t="str">
        <f t="shared" si="120"/>
        <v>2</v>
      </c>
      <c r="J885" t="str">
        <f t="shared" si="121"/>
        <v>N-VA</v>
      </c>
      <c r="K885">
        <v>2360</v>
      </c>
      <c r="L885">
        <v>4911</v>
      </c>
      <c r="M885">
        <v>7271</v>
      </c>
      <c r="N885">
        <v>6544</v>
      </c>
      <c r="O885">
        <v>9</v>
      </c>
      <c r="P885" t="str">
        <f>("16")</f>
        <v>16</v>
      </c>
      <c r="Q885" t="str">
        <f>("MESSIAEN Femke")</f>
        <v>MESSIAEN Femke</v>
      </c>
      <c r="R885">
        <v>175</v>
      </c>
      <c r="S885" t="s">
        <v>44</v>
      </c>
      <c r="T885">
        <v>0</v>
      </c>
      <c r="V885">
        <v>6</v>
      </c>
      <c r="W885">
        <v>175</v>
      </c>
      <c r="X885">
        <v>0</v>
      </c>
    </row>
    <row r="886" spans="1:24" x14ac:dyDescent="0.35">
      <c r="A886" t="s">
        <v>8</v>
      </c>
      <c r="B886" t="s">
        <v>9</v>
      </c>
      <c r="C886" t="str">
        <f t="shared" si="122"/>
        <v>11262</v>
      </c>
      <c r="D886" t="s">
        <v>15</v>
      </c>
      <c r="E886" t="str">
        <f t="shared" si="123"/>
        <v>21</v>
      </c>
      <c r="F886">
        <v>20401</v>
      </c>
      <c r="G886">
        <v>18599</v>
      </c>
      <c r="H886">
        <v>646</v>
      </c>
      <c r="I886" t="str">
        <f t="shared" si="120"/>
        <v>2</v>
      </c>
      <c r="J886" t="str">
        <f t="shared" si="121"/>
        <v>N-VA</v>
      </c>
      <c r="K886">
        <v>2360</v>
      </c>
      <c r="L886">
        <v>4911</v>
      </c>
      <c r="M886">
        <v>7271</v>
      </c>
      <c r="N886">
        <v>6544</v>
      </c>
      <c r="O886">
        <v>9</v>
      </c>
      <c r="P886" t="str">
        <f>("17")</f>
        <v>17</v>
      </c>
      <c r="Q886" t="str">
        <f>("CEULEMANS Robin")</f>
        <v>CEULEMANS Robin</v>
      </c>
      <c r="R886">
        <v>195</v>
      </c>
      <c r="S886" t="s">
        <v>44</v>
      </c>
      <c r="T886">
        <v>0</v>
      </c>
      <c r="V886">
        <v>5</v>
      </c>
      <c r="W886">
        <v>195</v>
      </c>
      <c r="X886">
        <v>0</v>
      </c>
    </row>
    <row r="887" spans="1:24" x14ac:dyDescent="0.35">
      <c r="A887" t="s">
        <v>8</v>
      </c>
      <c r="B887" t="s">
        <v>9</v>
      </c>
      <c r="C887" t="str">
        <f t="shared" si="122"/>
        <v>11262</v>
      </c>
      <c r="D887" t="s">
        <v>15</v>
      </c>
      <c r="E887" t="str">
        <f t="shared" si="123"/>
        <v>21</v>
      </c>
      <c r="F887">
        <v>20401</v>
      </c>
      <c r="G887">
        <v>18599</v>
      </c>
      <c r="H887">
        <v>646</v>
      </c>
      <c r="I887" t="str">
        <f t="shared" si="120"/>
        <v>2</v>
      </c>
      <c r="J887" t="str">
        <f t="shared" si="121"/>
        <v>N-VA</v>
      </c>
      <c r="K887">
        <v>2360</v>
      </c>
      <c r="L887">
        <v>4911</v>
      </c>
      <c r="M887">
        <v>7271</v>
      </c>
      <c r="N887">
        <v>6544</v>
      </c>
      <c r="O887">
        <v>9</v>
      </c>
      <c r="P887" t="str">
        <f>("18")</f>
        <v>18</v>
      </c>
      <c r="Q887" t="str">
        <f>("TEUGELS Myriam")</f>
        <v>TEUGELS Myriam</v>
      </c>
      <c r="R887">
        <v>161</v>
      </c>
      <c r="S887" t="s">
        <v>44</v>
      </c>
      <c r="T887">
        <v>0</v>
      </c>
      <c r="V887">
        <v>10</v>
      </c>
      <c r="W887">
        <v>161</v>
      </c>
      <c r="X887">
        <v>0</v>
      </c>
    </row>
    <row r="888" spans="1:24" x14ac:dyDescent="0.35">
      <c r="A888" t="s">
        <v>8</v>
      </c>
      <c r="B888" t="s">
        <v>9</v>
      </c>
      <c r="C888" t="str">
        <f t="shared" si="122"/>
        <v>11262</v>
      </c>
      <c r="D888" t="s">
        <v>15</v>
      </c>
      <c r="E888" t="str">
        <f t="shared" si="123"/>
        <v>21</v>
      </c>
      <c r="F888">
        <v>20401</v>
      </c>
      <c r="G888">
        <v>18599</v>
      </c>
      <c r="H888">
        <v>646</v>
      </c>
      <c r="I888" t="str">
        <f t="shared" si="120"/>
        <v>2</v>
      </c>
      <c r="J888" t="str">
        <f t="shared" si="121"/>
        <v>N-VA</v>
      </c>
      <c r="K888">
        <v>2360</v>
      </c>
      <c r="L888">
        <v>4911</v>
      </c>
      <c r="M888">
        <v>7271</v>
      </c>
      <c r="N888">
        <v>6544</v>
      </c>
      <c r="O888">
        <v>9</v>
      </c>
      <c r="P888" t="str">
        <f>("19")</f>
        <v>19</v>
      </c>
      <c r="Q888" t="str">
        <f>("KEYL Werner")</f>
        <v>KEYL Werner</v>
      </c>
      <c r="R888">
        <v>130</v>
      </c>
      <c r="S888" t="s">
        <v>44</v>
      </c>
      <c r="T888">
        <v>0</v>
      </c>
      <c r="V888">
        <v>11</v>
      </c>
      <c r="W888">
        <v>130</v>
      </c>
      <c r="X888">
        <v>0</v>
      </c>
    </row>
    <row r="889" spans="1:24" x14ac:dyDescent="0.35">
      <c r="A889" t="s">
        <v>8</v>
      </c>
      <c r="B889" t="s">
        <v>9</v>
      </c>
      <c r="C889" t="str">
        <f t="shared" si="122"/>
        <v>11262</v>
      </c>
      <c r="D889" t="s">
        <v>15</v>
      </c>
      <c r="E889" t="str">
        <f t="shared" si="123"/>
        <v>21</v>
      </c>
      <c r="F889">
        <v>20401</v>
      </c>
      <c r="G889">
        <v>18599</v>
      </c>
      <c r="H889">
        <v>646</v>
      </c>
      <c r="I889" t="str">
        <f t="shared" si="120"/>
        <v>2</v>
      </c>
      <c r="J889" t="str">
        <f t="shared" si="121"/>
        <v>N-VA</v>
      </c>
      <c r="K889">
        <v>2360</v>
      </c>
      <c r="L889">
        <v>4911</v>
      </c>
      <c r="M889">
        <v>7271</v>
      </c>
      <c r="N889">
        <v>6544</v>
      </c>
      <c r="O889">
        <v>9</v>
      </c>
      <c r="P889" t="str">
        <f>("20")</f>
        <v>20</v>
      </c>
      <c r="Q889" t="str">
        <f>("SOMERS Kristel")</f>
        <v>SOMERS Kristel</v>
      </c>
      <c r="R889">
        <v>521</v>
      </c>
      <c r="S889">
        <v>521</v>
      </c>
      <c r="T889">
        <v>0</v>
      </c>
      <c r="U889">
        <v>3</v>
      </c>
    </row>
    <row r="890" spans="1:24" x14ac:dyDescent="0.35">
      <c r="A890" t="s">
        <v>8</v>
      </c>
      <c r="B890" t="s">
        <v>9</v>
      </c>
      <c r="C890" t="str">
        <f t="shared" si="122"/>
        <v>11262</v>
      </c>
      <c r="D890" t="s">
        <v>15</v>
      </c>
      <c r="E890" t="str">
        <f t="shared" si="123"/>
        <v>21</v>
      </c>
      <c r="F890">
        <v>20401</v>
      </c>
      <c r="G890">
        <v>18599</v>
      </c>
      <c r="H890">
        <v>646</v>
      </c>
      <c r="I890" t="str">
        <f t="shared" si="120"/>
        <v>2</v>
      </c>
      <c r="J890" t="str">
        <f t="shared" si="121"/>
        <v>N-VA</v>
      </c>
      <c r="K890">
        <v>2360</v>
      </c>
      <c r="L890">
        <v>4911</v>
      </c>
      <c r="M890">
        <v>7271</v>
      </c>
      <c r="N890">
        <v>6544</v>
      </c>
      <c r="O890">
        <v>9</v>
      </c>
      <c r="P890" t="str">
        <f>("21")</f>
        <v>21</v>
      </c>
      <c r="Q890" t="str">
        <f>("ELSEVIERS Marc")</f>
        <v>ELSEVIERS Marc</v>
      </c>
      <c r="R890">
        <v>426</v>
      </c>
      <c r="S890">
        <v>426</v>
      </c>
      <c r="T890">
        <v>0</v>
      </c>
      <c r="U890">
        <v>5</v>
      </c>
    </row>
    <row r="891" spans="1:24" x14ac:dyDescent="0.35">
      <c r="A891" t="s">
        <v>8</v>
      </c>
      <c r="B891" t="s">
        <v>9</v>
      </c>
      <c r="C891" t="str">
        <f t="shared" si="122"/>
        <v>11262</v>
      </c>
      <c r="D891" t="s">
        <v>15</v>
      </c>
      <c r="E891" t="str">
        <f t="shared" si="123"/>
        <v>21</v>
      </c>
      <c r="F891">
        <v>20401</v>
      </c>
      <c r="G891">
        <v>18599</v>
      </c>
      <c r="H891">
        <v>646</v>
      </c>
      <c r="I891" t="str">
        <f t="shared" ref="I891:I911" si="124">("3")</f>
        <v>3</v>
      </c>
      <c r="J891" t="str">
        <f t="shared" ref="J891:J911" si="125">("CD&amp;V")</f>
        <v>CD&amp;V</v>
      </c>
      <c r="K891">
        <v>397</v>
      </c>
      <c r="L891">
        <v>951</v>
      </c>
      <c r="M891">
        <v>1348</v>
      </c>
      <c r="N891">
        <v>674</v>
      </c>
      <c r="O891">
        <v>1</v>
      </c>
      <c r="P891" t="str">
        <f>("1")</f>
        <v>1</v>
      </c>
      <c r="Q891" t="str">
        <f>("HEYNEN Tamara")</f>
        <v>HEYNEN Tamara</v>
      </c>
      <c r="R891">
        <v>337</v>
      </c>
      <c r="S891">
        <v>470</v>
      </c>
      <c r="T891">
        <v>0</v>
      </c>
      <c r="U891">
        <v>1</v>
      </c>
    </row>
    <row r="892" spans="1:24" x14ac:dyDescent="0.35">
      <c r="A892" t="s">
        <v>8</v>
      </c>
      <c r="B892" t="s">
        <v>9</v>
      </c>
      <c r="C892" t="str">
        <f t="shared" si="122"/>
        <v>11262</v>
      </c>
      <c r="D892" t="s">
        <v>15</v>
      </c>
      <c r="E892" t="str">
        <f t="shared" si="123"/>
        <v>21</v>
      </c>
      <c r="F892">
        <v>20401</v>
      </c>
      <c r="G892">
        <v>18599</v>
      </c>
      <c r="H892">
        <v>646</v>
      </c>
      <c r="I892" t="str">
        <f t="shared" si="124"/>
        <v>3</v>
      </c>
      <c r="J892" t="str">
        <f t="shared" si="125"/>
        <v>CD&amp;V</v>
      </c>
      <c r="K892">
        <v>397</v>
      </c>
      <c r="L892">
        <v>951</v>
      </c>
      <c r="M892">
        <v>1348</v>
      </c>
      <c r="N892">
        <v>674</v>
      </c>
      <c r="O892">
        <v>1</v>
      </c>
      <c r="P892" t="str">
        <f>("2")</f>
        <v>2</v>
      </c>
      <c r="Q892" t="str">
        <f>("VAN DEN BERGH Jeroen")</f>
        <v>VAN DEN BERGH Jeroen</v>
      </c>
      <c r="R892">
        <v>139</v>
      </c>
      <c r="S892" t="s">
        <v>44</v>
      </c>
      <c r="T892">
        <v>0</v>
      </c>
      <c r="V892">
        <v>1</v>
      </c>
      <c r="W892">
        <v>272</v>
      </c>
      <c r="X892">
        <v>0</v>
      </c>
    </row>
    <row r="893" spans="1:24" x14ac:dyDescent="0.35">
      <c r="A893" t="s">
        <v>8</v>
      </c>
      <c r="B893" t="s">
        <v>9</v>
      </c>
      <c r="C893" t="str">
        <f t="shared" si="122"/>
        <v>11262</v>
      </c>
      <c r="D893" t="s">
        <v>15</v>
      </c>
      <c r="E893" t="str">
        <f t="shared" si="123"/>
        <v>21</v>
      </c>
      <c r="F893">
        <v>20401</v>
      </c>
      <c r="G893">
        <v>18599</v>
      </c>
      <c r="H893">
        <v>646</v>
      </c>
      <c r="I893" t="str">
        <f t="shared" si="124"/>
        <v>3</v>
      </c>
      <c r="J893" t="str">
        <f t="shared" si="125"/>
        <v>CD&amp;V</v>
      </c>
      <c r="K893">
        <v>397</v>
      </c>
      <c r="L893">
        <v>951</v>
      </c>
      <c r="M893">
        <v>1348</v>
      </c>
      <c r="N893">
        <v>674</v>
      </c>
      <c r="O893">
        <v>1</v>
      </c>
      <c r="P893" t="str">
        <f>("3")</f>
        <v>3</v>
      </c>
      <c r="Q893" t="str">
        <f>("BROOSUS Stephanie")</f>
        <v>BROOSUS Stephanie</v>
      </c>
      <c r="R893">
        <v>135</v>
      </c>
      <c r="S893" t="s">
        <v>44</v>
      </c>
      <c r="T893">
        <v>0</v>
      </c>
      <c r="V893">
        <v>3</v>
      </c>
      <c r="W893">
        <v>135</v>
      </c>
      <c r="X893">
        <v>0</v>
      </c>
    </row>
    <row r="894" spans="1:24" x14ac:dyDescent="0.35">
      <c r="A894" t="s">
        <v>8</v>
      </c>
      <c r="B894" t="s">
        <v>9</v>
      </c>
      <c r="C894" t="str">
        <f t="shared" si="122"/>
        <v>11262</v>
      </c>
      <c r="D894" t="s">
        <v>15</v>
      </c>
      <c r="E894" t="str">
        <f t="shared" si="123"/>
        <v>21</v>
      </c>
      <c r="F894">
        <v>20401</v>
      </c>
      <c r="G894">
        <v>18599</v>
      </c>
      <c r="H894">
        <v>646</v>
      </c>
      <c r="I894" t="str">
        <f t="shared" si="124"/>
        <v>3</v>
      </c>
      <c r="J894" t="str">
        <f t="shared" si="125"/>
        <v>CD&amp;V</v>
      </c>
      <c r="K894">
        <v>397</v>
      </c>
      <c r="L894">
        <v>951</v>
      </c>
      <c r="M894">
        <v>1348</v>
      </c>
      <c r="N894">
        <v>674</v>
      </c>
      <c r="O894">
        <v>1</v>
      </c>
      <c r="P894" t="str">
        <f>("4")</f>
        <v>4</v>
      </c>
      <c r="Q894" t="str">
        <f>("WENS Freddy")</f>
        <v>WENS Freddy</v>
      </c>
      <c r="R894">
        <v>61</v>
      </c>
      <c r="S894" t="s">
        <v>44</v>
      </c>
      <c r="T894">
        <v>0</v>
      </c>
      <c r="V894">
        <v>7</v>
      </c>
      <c r="W894">
        <v>61</v>
      </c>
      <c r="X894">
        <v>0</v>
      </c>
    </row>
    <row r="895" spans="1:24" x14ac:dyDescent="0.35">
      <c r="A895" t="s">
        <v>8</v>
      </c>
      <c r="B895" t="s">
        <v>9</v>
      </c>
      <c r="C895" t="str">
        <f t="shared" si="122"/>
        <v>11262</v>
      </c>
      <c r="D895" t="s">
        <v>15</v>
      </c>
      <c r="E895" t="str">
        <f t="shared" si="123"/>
        <v>21</v>
      </c>
      <c r="F895">
        <v>20401</v>
      </c>
      <c r="G895">
        <v>18599</v>
      </c>
      <c r="H895">
        <v>646</v>
      </c>
      <c r="I895" t="str">
        <f t="shared" si="124"/>
        <v>3</v>
      </c>
      <c r="J895" t="str">
        <f t="shared" si="125"/>
        <v>CD&amp;V</v>
      </c>
      <c r="K895">
        <v>397</v>
      </c>
      <c r="L895">
        <v>951</v>
      </c>
      <c r="M895">
        <v>1348</v>
      </c>
      <c r="N895">
        <v>674</v>
      </c>
      <c r="O895">
        <v>1</v>
      </c>
      <c r="P895" t="str">
        <f>("5")</f>
        <v>5</v>
      </c>
      <c r="Q895" t="str">
        <f>("FRANKEN Sofie")</f>
        <v>FRANKEN Sofie</v>
      </c>
      <c r="R895">
        <v>103</v>
      </c>
      <c r="S895" t="s">
        <v>44</v>
      </c>
      <c r="T895">
        <v>0</v>
      </c>
      <c r="V895">
        <v>4</v>
      </c>
      <c r="W895">
        <v>103</v>
      </c>
      <c r="X895">
        <v>0</v>
      </c>
    </row>
    <row r="896" spans="1:24" x14ac:dyDescent="0.35">
      <c r="A896" t="s">
        <v>8</v>
      </c>
      <c r="B896" t="s">
        <v>9</v>
      </c>
      <c r="C896" t="str">
        <f t="shared" si="122"/>
        <v>11262</v>
      </c>
      <c r="D896" t="s">
        <v>15</v>
      </c>
      <c r="E896" t="str">
        <f t="shared" si="123"/>
        <v>21</v>
      </c>
      <c r="F896">
        <v>20401</v>
      </c>
      <c r="G896">
        <v>18599</v>
      </c>
      <c r="H896">
        <v>646</v>
      </c>
      <c r="I896" t="str">
        <f t="shared" si="124"/>
        <v>3</v>
      </c>
      <c r="J896" t="str">
        <f t="shared" si="125"/>
        <v>CD&amp;V</v>
      </c>
      <c r="K896">
        <v>397</v>
      </c>
      <c r="L896">
        <v>951</v>
      </c>
      <c r="M896">
        <v>1348</v>
      </c>
      <c r="N896">
        <v>674</v>
      </c>
      <c r="O896">
        <v>1</v>
      </c>
      <c r="P896" t="str">
        <f>("6")</f>
        <v>6</v>
      </c>
      <c r="Q896" t="str">
        <f>("ROOZE Ina")</f>
        <v>ROOZE Ina</v>
      </c>
      <c r="R896">
        <v>49</v>
      </c>
      <c r="S896" t="s">
        <v>44</v>
      </c>
      <c r="T896">
        <v>0</v>
      </c>
      <c r="V896">
        <v>12</v>
      </c>
      <c r="W896">
        <v>49</v>
      </c>
      <c r="X896">
        <v>0</v>
      </c>
    </row>
    <row r="897" spans="1:24" x14ac:dyDescent="0.35">
      <c r="A897" t="s">
        <v>8</v>
      </c>
      <c r="B897" t="s">
        <v>9</v>
      </c>
      <c r="C897" t="str">
        <f t="shared" si="122"/>
        <v>11262</v>
      </c>
      <c r="D897" t="s">
        <v>15</v>
      </c>
      <c r="E897" t="str">
        <f t="shared" si="123"/>
        <v>21</v>
      </c>
      <c r="F897">
        <v>20401</v>
      </c>
      <c r="G897">
        <v>18599</v>
      </c>
      <c r="H897">
        <v>646</v>
      </c>
      <c r="I897" t="str">
        <f t="shared" si="124"/>
        <v>3</v>
      </c>
      <c r="J897" t="str">
        <f t="shared" si="125"/>
        <v>CD&amp;V</v>
      </c>
      <c r="K897">
        <v>397</v>
      </c>
      <c r="L897">
        <v>951</v>
      </c>
      <c r="M897">
        <v>1348</v>
      </c>
      <c r="N897">
        <v>674</v>
      </c>
      <c r="O897">
        <v>1</v>
      </c>
      <c r="P897" t="str">
        <f>("7")</f>
        <v>7</v>
      </c>
      <c r="Q897" t="str">
        <f>("HUYGEN Wiske")</f>
        <v>HUYGEN Wiske</v>
      </c>
      <c r="R897">
        <v>61</v>
      </c>
      <c r="S897" t="s">
        <v>44</v>
      </c>
      <c r="T897">
        <v>0</v>
      </c>
      <c r="V897">
        <v>8</v>
      </c>
      <c r="W897">
        <v>61</v>
      </c>
      <c r="X897">
        <v>0</v>
      </c>
    </row>
    <row r="898" spans="1:24" x14ac:dyDescent="0.35">
      <c r="A898" t="s">
        <v>8</v>
      </c>
      <c r="B898" t="s">
        <v>9</v>
      </c>
      <c r="C898" t="str">
        <f t="shared" si="122"/>
        <v>11262</v>
      </c>
      <c r="D898" t="s">
        <v>15</v>
      </c>
      <c r="E898" t="str">
        <f t="shared" si="123"/>
        <v>21</v>
      </c>
      <c r="F898">
        <v>20401</v>
      </c>
      <c r="G898">
        <v>18599</v>
      </c>
      <c r="H898">
        <v>646</v>
      </c>
      <c r="I898" t="str">
        <f t="shared" si="124"/>
        <v>3</v>
      </c>
      <c r="J898" t="str">
        <f t="shared" si="125"/>
        <v>CD&amp;V</v>
      </c>
      <c r="K898">
        <v>397</v>
      </c>
      <c r="L898">
        <v>951</v>
      </c>
      <c r="M898">
        <v>1348</v>
      </c>
      <c r="N898">
        <v>674</v>
      </c>
      <c r="O898">
        <v>1</v>
      </c>
      <c r="P898" t="str">
        <f>("8")</f>
        <v>8</v>
      </c>
      <c r="Q898" t="str">
        <f>("VAN BOUWEL Ludo")</f>
        <v>VAN BOUWEL Ludo</v>
      </c>
      <c r="R898">
        <v>60</v>
      </c>
      <c r="S898" t="s">
        <v>44</v>
      </c>
      <c r="T898">
        <v>0</v>
      </c>
      <c r="V898">
        <v>9</v>
      </c>
      <c r="W898">
        <v>60</v>
      </c>
      <c r="X898">
        <v>0</v>
      </c>
    </row>
    <row r="899" spans="1:24" x14ac:dyDescent="0.35">
      <c r="A899" t="s">
        <v>8</v>
      </c>
      <c r="B899" t="s">
        <v>9</v>
      </c>
      <c r="C899" t="str">
        <f t="shared" si="122"/>
        <v>11262</v>
      </c>
      <c r="D899" t="s">
        <v>15</v>
      </c>
      <c r="E899" t="str">
        <f t="shared" si="123"/>
        <v>21</v>
      </c>
      <c r="F899">
        <v>20401</v>
      </c>
      <c r="G899">
        <v>18599</v>
      </c>
      <c r="H899">
        <v>646</v>
      </c>
      <c r="I899" t="str">
        <f t="shared" si="124"/>
        <v>3</v>
      </c>
      <c r="J899" t="str">
        <f t="shared" si="125"/>
        <v>CD&amp;V</v>
      </c>
      <c r="K899">
        <v>397</v>
      </c>
      <c r="L899">
        <v>951</v>
      </c>
      <c r="M899">
        <v>1348</v>
      </c>
      <c r="N899">
        <v>674</v>
      </c>
      <c r="O899">
        <v>1</v>
      </c>
      <c r="P899" t="str">
        <f>("9")</f>
        <v>9</v>
      </c>
      <c r="Q899" t="str">
        <f>("DEWITTE-VAN DEUN Agnes")</f>
        <v>DEWITTE-VAN DEUN Agnes</v>
      </c>
      <c r="R899">
        <v>72</v>
      </c>
      <c r="S899" t="s">
        <v>44</v>
      </c>
      <c r="T899">
        <v>0</v>
      </c>
      <c r="V899">
        <v>5</v>
      </c>
      <c r="W899">
        <v>72</v>
      </c>
      <c r="X899">
        <v>0</v>
      </c>
    </row>
    <row r="900" spans="1:24" x14ac:dyDescent="0.35">
      <c r="A900" t="s">
        <v>8</v>
      </c>
      <c r="B900" t="s">
        <v>9</v>
      </c>
      <c r="C900" t="str">
        <f t="shared" si="122"/>
        <v>11262</v>
      </c>
      <c r="D900" t="s">
        <v>15</v>
      </c>
      <c r="E900" t="str">
        <f t="shared" si="123"/>
        <v>21</v>
      </c>
      <c r="F900">
        <v>20401</v>
      </c>
      <c r="G900">
        <v>18599</v>
      </c>
      <c r="H900">
        <v>646</v>
      </c>
      <c r="I900" t="str">
        <f t="shared" si="124"/>
        <v>3</v>
      </c>
      <c r="J900" t="str">
        <f t="shared" si="125"/>
        <v>CD&amp;V</v>
      </c>
      <c r="K900">
        <v>397</v>
      </c>
      <c r="L900">
        <v>951</v>
      </c>
      <c r="M900">
        <v>1348</v>
      </c>
      <c r="N900">
        <v>674</v>
      </c>
      <c r="O900">
        <v>1</v>
      </c>
      <c r="P900" t="str">
        <f>("10")</f>
        <v>10</v>
      </c>
      <c r="Q900" t="str">
        <f>("SCHELLEKENS Hugo")</f>
        <v>SCHELLEKENS Hugo</v>
      </c>
      <c r="R900">
        <v>62</v>
      </c>
      <c r="S900" t="s">
        <v>44</v>
      </c>
      <c r="T900">
        <v>0</v>
      </c>
      <c r="V900">
        <v>6</v>
      </c>
      <c r="W900">
        <v>62</v>
      </c>
      <c r="X900">
        <v>0</v>
      </c>
    </row>
    <row r="901" spans="1:24" x14ac:dyDescent="0.35">
      <c r="A901" t="s">
        <v>8</v>
      </c>
      <c r="B901" t="s">
        <v>9</v>
      </c>
      <c r="C901" t="str">
        <f t="shared" si="122"/>
        <v>11262</v>
      </c>
      <c r="D901" t="s">
        <v>15</v>
      </c>
      <c r="E901" t="str">
        <f t="shared" si="123"/>
        <v>21</v>
      </c>
      <c r="F901">
        <v>20401</v>
      </c>
      <c r="G901">
        <v>18599</v>
      </c>
      <c r="H901">
        <v>646</v>
      </c>
      <c r="I901" t="str">
        <f t="shared" si="124"/>
        <v>3</v>
      </c>
      <c r="J901" t="str">
        <f t="shared" si="125"/>
        <v>CD&amp;V</v>
      </c>
      <c r="K901">
        <v>397</v>
      </c>
      <c r="L901">
        <v>951</v>
      </c>
      <c r="M901">
        <v>1348</v>
      </c>
      <c r="N901">
        <v>674</v>
      </c>
      <c r="O901">
        <v>1</v>
      </c>
      <c r="P901" t="str">
        <f>("11")</f>
        <v>11</v>
      </c>
      <c r="Q901" t="str">
        <f>("COOREMANS Jarkko")</f>
        <v>COOREMANS Jarkko</v>
      </c>
      <c r="R901">
        <v>46</v>
      </c>
      <c r="S901" t="s">
        <v>44</v>
      </c>
      <c r="T901">
        <v>0</v>
      </c>
      <c r="V901">
        <v>13</v>
      </c>
      <c r="W901">
        <v>46</v>
      </c>
      <c r="X901">
        <v>0</v>
      </c>
    </row>
    <row r="902" spans="1:24" x14ac:dyDescent="0.35">
      <c r="A902" t="s">
        <v>8</v>
      </c>
      <c r="B902" t="s">
        <v>9</v>
      </c>
      <c r="C902" t="str">
        <f t="shared" si="122"/>
        <v>11262</v>
      </c>
      <c r="D902" t="s">
        <v>15</v>
      </c>
      <c r="E902" t="str">
        <f t="shared" si="123"/>
        <v>21</v>
      </c>
      <c r="F902">
        <v>20401</v>
      </c>
      <c r="G902">
        <v>18599</v>
      </c>
      <c r="H902">
        <v>646</v>
      </c>
      <c r="I902" t="str">
        <f t="shared" si="124"/>
        <v>3</v>
      </c>
      <c r="J902" t="str">
        <f t="shared" si="125"/>
        <v>CD&amp;V</v>
      </c>
      <c r="K902">
        <v>397</v>
      </c>
      <c r="L902">
        <v>951</v>
      </c>
      <c r="M902">
        <v>1348</v>
      </c>
      <c r="N902">
        <v>674</v>
      </c>
      <c r="O902">
        <v>1</v>
      </c>
      <c r="P902" t="str">
        <f>("12")</f>
        <v>12</v>
      </c>
      <c r="Q902" t="str">
        <f>("BROECKX Raymond")</f>
        <v>BROECKX Raymond</v>
      </c>
      <c r="R902">
        <v>34</v>
      </c>
      <c r="S902" t="s">
        <v>44</v>
      </c>
      <c r="T902">
        <v>0</v>
      </c>
      <c r="V902">
        <v>16</v>
      </c>
      <c r="W902">
        <v>34</v>
      </c>
      <c r="X902">
        <v>0</v>
      </c>
    </row>
    <row r="903" spans="1:24" x14ac:dyDescent="0.35">
      <c r="A903" t="s">
        <v>8</v>
      </c>
      <c r="B903" t="s">
        <v>9</v>
      </c>
      <c r="C903" t="str">
        <f t="shared" si="122"/>
        <v>11262</v>
      </c>
      <c r="D903" t="s">
        <v>15</v>
      </c>
      <c r="E903" t="str">
        <f t="shared" si="123"/>
        <v>21</v>
      </c>
      <c r="F903">
        <v>20401</v>
      </c>
      <c r="G903">
        <v>18599</v>
      </c>
      <c r="H903">
        <v>646</v>
      </c>
      <c r="I903" t="str">
        <f t="shared" si="124"/>
        <v>3</v>
      </c>
      <c r="J903" t="str">
        <f t="shared" si="125"/>
        <v>CD&amp;V</v>
      </c>
      <c r="K903">
        <v>397</v>
      </c>
      <c r="L903">
        <v>951</v>
      </c>
      <c r="M903">
        <v>1348</v>
      </c>
      <c r="N903">
        <v>674</v>
      </c>
      <c r="O903">
        <v>1</v>
      </c>
      <c r="P903" t="str">
        <f>("13")</f>
        <v>13</v>
      </c>
      <c r="Q903" t="str">
        <f>("HEIRMAN Liliana")</f>
        <v>HEIRMAN Liliana</v>
      </c>
      <c r="R903">
        <v>35</v>
      </c>
      <c r="S903" t="s">
        <v>44</v>
      </c>
      <c r="T903">
        <v>0</v>
      </c>
      <c r="V903">
        <v>15</v>
      </c>
      <c r="W903">
        <v>35</v>
      </c>
      <c r="X903">
        <v>0</v>
      </c>
    </row>
    <row r="904" spans="1:24" x14ac:dyDescent="0.35">
      <c r="A904" t="s">
        <v>8</v>
      </c>
      <c r="B904" t="s">
        <v>9</v>
      </c>
      <c r="C904" t="str">
        <f t="shared" si="122"/>
        <v>11262</v>
      </c>
      <c r="D904" t="s">
        <v>15</v>
      </c>
      <c r="E904" t="str">
        <f t="shared" si="123"/>
        <v>21</v>
      </c>
      <c r="F904">
        <v>20401</v>
      </c>
      <c r="G904">
        <v>18599</v>
      </c>
      <c r="H904">
        <v>646</v>
      </c>
      <c r="I904" t="str">
        <f t="shared" si="124"/>
        <v>3</v>
      </c>
      <c r="J904" t="str">
        <f t="shared" si="125"/>
        <v>CD&amp;V</v>
      </c>
      <c r="K904">
        <v>397</v>
      </c>
      <c r="L904">
        <v>951</v>
      </c>
      <c r="M904">
        <v>1348</v>
      </c>
      <c r="N904">
        <v>674</v>
      </c>
      <c r="O904">
        <v>1</v>
      </c>
      <c r="P904" t="str">
        <f>("14")</f>
        <v>14</v>
      </c>
      <c r="Q904" t="str">
        <f>("HENQUET René")</f>
        <v>HENQUET René</v>
      </c>
      <c r="R904">
        <v>30</v>
      </c>
      <c r="S904" t="s">
        <v>44</v>
      </c>
      <c r="T904">
        <v>0</v>
      </c>
      <c r="V904">
        <v>18</v>
      </c>
      <c r="W904">
        <v>30</v>
      </c>
      <c r="X904">
        <v>0</v>
      </c>
    </row>
    <row r="905" spans="1:24" x14ac:dyDescent="0.35">
      <c r="A905" t="s">
        <v>8</v>
      </c>
      <c r="B905" t="s">
        <v>9</v>
      </c>
      <c r="C905" t="str">
        <f t="shared" si="122"/>
        <v>11262</v>
      </c>
      <c r="D905" t="s">
        <v>15</v>
      </c>
      <c r="E905" t="str">
        <f t="shared" si="123"/>
        <v>21</v>
      </c>
      <c r="F905">
        <v>20401</v>
      </c>
      <c r="G905">
        <v>18599</v>
      </c>
      <c r="H905">
        <v>646</v>
      </c>
      <c r="I905" t="str">
        <f t="shared" si="124"/>
        <v>3</v>
      </c>
      <c r="J905" t="str">
        <f t="shared" si="125"/>
        <v>CD&amp;V</v>
      </c>
      <c r="K905">
        <v>397</v>
      </c>
      <c r="L905">
        <v>951</v>
      </c>
      <c r="M905">
        <v>1348</v>
      </c>
      <c r="N905">
        <v>674</v>
      </c>
      <c r="O905">
        <v>1</v>
      </c>
      <c r="P905" t="str">
        <f>("15")</f>
        <v>15</v>
      </c>
      <c r="Q905" t="str">
        <f>("HUYSMANS Britney")</f>
        <v>HUYSMANS Britney</v>
      </c>
      <c r="R905">
        <v>33</v>
      </c>
      <c r="S905" t="s">
        <v>44</v>
      </c>
      <c r="T905">
        <v>0</v>
      </c>
      <c r="V905">
        <v>17</v>
      </c>
      <c r="W905">
        <v>33</v>
      </c>
      <c r="X905">
        <v>0</v>
      </c>
    </row>
    <row r="906" spans="1:24" x14ac:dyDescent="0.35">
      <c r="A906" t="s">
        <v>8</v>
      </c>
      <c r="B906" t="s">
        <v>9</v>
      </c>
      <c r="C906" t="str">
        <f t="shared" si="122"/>
        <v>11262</v>
      </c>
      <c r="D906" t="s">
        <v>15</v>
      </c>
      <c r="E906" t="str">
        <f t="shared" si="123"/>
        <v>21</v>
      </c>
      <c r="F906">
        <v>20401</v>
      </c>
      <c r="G906">
        <v>18599</v>
      </c>
      <c r="H906">
        <v>646</v>
      </c>
      <c r="I906" t="str">
        <f t="shared" si="124"/>
        <v>3</v>
      </c>
      <c r="J906" t="str">
        <f t="shared" si="125"/>
        <v>CD&amp;V</v>
      </c>
      <c r="K906">
        <v>397</v>
      </c>
      <c r="L906">
        <v>951</v>
      </c>
      <c r="M906">
        <v>1348</v>
      </c>
      <c r="N906">
        <v>674</v>
      </c>
      <c r="O906">
        <v>1</v>
      </c>
      <c r="P906" t="str">
        <f>("16")</f>
        <v>16</v>
      </c>
      <c r="Q906" t="str">
        <f>("VAASEN Raf")</f>
        <v>VAASEN Raf</v>
      </c>
      <c r="R906">
        <v>45</v>
      </c>
      <c r="S906" t="s">
        <v>44</v>
      </c>
      <c r="T906">
        <v>0</v>
      </c>
      <c r="V906">
        <v>14</v>
      </c>
      <c r="W906">
        <v>45</v>
      </c>
      <c r="X906">
        <v>0</v>
      </c>
    </row>
    <row r="907" spans="1:24" x14ac:dyDescent="0.35">
      <c r="A907" t="s">
        <v>8</v>
      </c>
      <c r="B907" t="s">
        <v>9</v>
      </c>
      <c r="C907" t="str">
        <f t="shared" si="122"/>
        <v>11262</v>
      </c>
      <c r="D907" t="s">
        <v>15</v>
      </c>
      <c r="E907" t="str">
        <f t="shared" si="123"/>
        <v>21</v>
      </c>
      <c r="F907">
        <v>20401</v>
      </c>
      <c r="G907">
        <v>18599</v>
      </c>
      <c r="H907">
        <v>646</v>
      </c>
      <c r="I907" t="str">
        <f t="shared" si="124"/>
        <v>3</v>
      </c>
      <c r="J907" t="str">
        <f t="shared" si="125"/>
        <v>CD&amp;V</v>
      </c>
      <c r="K907">
        <v>397</v>
      </c>
      <c r="L907">
        <v>951</v>
      </c>
      <c r="M907">
        <v>1348</v>
      </c>
      <c r="N907">
        <v>674</v>
      </c>
      <c r="O907">
        <v>1</v>
      </c>
      <c r="P907" t="str">
        <f>("17")</f>
        <v>17</v>
      </c>
      <c r="Q907" t="str">
        <f>("RESSEN Erwin")</f>
        <v>RESSEN Erwin</v>
      </c>
      <c r="R907">
        <v>29</v>
      </c>
      <c r="S907" t="s">
        <v>44</v>
      </c>
      <c r="T907">
        <v>0</v>
      </c>
      <c r="V907">
        <v>19</v>
      </c>
      <c r="W907">
        <v>29</v>
      </c>
      <c r="X907">
        <v>0</v>
      </c>
    </row>
    <row r="908" spans="1:24" x14ac:dyDescent="0.35">
      <c r="A908" t="s">
        <v>8</v>
      </c>
      <c r="B908" t="s">
        <v>9</v>
      </c>
      <c r="C908" t="str">
        <f t="shared" si="122"/>
        <v>11262</v>
      </c>
      <c r="D908" t="s">
        <v>15</v>
      </c>
      <c r="E908" t="str">
        <f t="shared" si="123"/>
        <v>21</v>
      </c>
      <c r="F908">
        <v>20401</v>
      </c>
      <c r="G908">
        <v>18599</v>
      </c>
      <c r="H908">
        <v>646</v>
      </c>
      <c r="I908" t="str">
        <f t="shared" si="124"/>
        <v>3</v>
      </c>
      <c r="J908" t="str">
        <f t="shared" si="125"/>
        <v>CD&amp;V</v>
      </c>
      <c r="K908">
        <v>397</v>
      </c>
      <c r="L908">
        <v>951</v>
      </c>
      <c r="M908">
        <v>1348</v>
      </c>
      <c r="N908">
        <v>674</v>
      </c>
      <c r="O908">
        <v>1</v>
      </c>
      <c r="P908" t="str">
        <f>("18")</f>
        <v>18</v>
      </c>
      <c r="Q908" t="str">
        <f>("HEYNEN Charlotte")</f>
        <v>HEYNEN Charlotte</v>
      </c>
      <c r="R908">
        <v>60</v>
      </c>
      <c r="S908" t="s">
        <v>44</v>
      </c>
      <c r="T908">
        <v>0</v>
      </c>
      <c r="V908">
        <v>10</v>
      </c>
      <c r="W908">
        <v>60</v>
      </c>
      <c r="X908">
        <v>0</v>
      </c>
    </row>
    <row r="909" spans="1:24" x14ac:dyDescent="0.35">
      <c r="A909" t="s">
        <v>8</v>
      </c>
      <c r="B909" t="s">
        <v>9</v>
      </c>
      <c r="C909" t="str">
        <f t="shared" si="122"/>
        <v>11262</v>
      </c>
      <c r="D909" t="s">
        <v>15</v>
      </c>
      <c r="E909" t="str">
        <f t="shared" si="123"/>
        <v>21</v>
      </c>
      <c r="F909">
        <v>20401</v>
      </c>
      <c r="G909">
        <v>18599</v>
      </c>
      <c r="H909">
        <v>646</v>
      </c>
      <c r="I909" t="str">
        <f t="shared" si="124"/>
        <v>3</v>
      </c>
      <c r="J909" t="str">
        <f t="shared" si="125"/>
        <v>CD&amp;V</v>
      </c>
      <c r="K909">
        <v>397</v>
      </c>
      <c r="L909">
        <v>951</v>
      </c>
      <c r="M909">
        <v>1348</v>
      </c>
      <c r="N909">
        <v>674</v>
      </c>
      <c r="O909">
        <v>1</v>
      </c>
      <c r="P909" t="str">
        <f>("19")</f>
        <v>19</v>
      </c>
      <c r="Q909" t="str">
        <f>("HOYAS Bernard")</f>
        <v>HOYAS Bernard</v>
      </c>
      <c r="R909">
        <v>28</v>
      </c>
      <c r="S909" t="s">
        <v>44</v>
      </c>
      <c r="T909">
        <v>0</v>
      </c>
      <c r="V909">
        <v>20</v>
      </c>
      <c r="W909">
        <v>28</v>
      </c>
      <c r="X909">
        <v>0</v>
      </c>
    </row>
    <row r="910" spans="1:24" x14ac:dyDescent="0.35">
      <c r="A910" t="s">
        <v>8</v>
      </c>
      <c r="B910" t="s">
        <v>9</v>
      </c>
      <c r="C910" t="str">
        <f t="shared" si="122"/>
        <v>11262</v>
      </c>
      <c r="D910" t="s">
        <v>15</v>
      </c>
      <c r="E910" t="str">
        <f t="shared" si="123"/>
        <v>21</v>
      </c>
      <c r="F910">
        <v>20401</v>
      </c>
      <c r="G910">
        <v>18599</v>
      </c>
      <c r="H910">
        <v>646</v>
      </c>
      <c r="I910" t="str">
        <f t="shared" si="124"/>
        <v>3</v>
      </c>
      <c r="J910" t="str">
        <f t="shared" si="125"/>
        <v>CD&amp;V</v>
      </c>
      <c r="K910">
        <v>397</v>
      </c>
      <c r="L910">
        <v>951</v>
      </c>
      <c r="M910">
        <v>1348</v>
      </c>
      <c r="N910">
        <v>674</v>
      </c>
      <c r="O910">
        <v>1</v>
      </c>
      <c r="P910" t="str">
        <f>("20")</f>
        <v>20</v>
      </c>
      <c r="Q910" t="str">
        <f>("MATUSHINA Galina")</f>
        <v>MATUSHINA Galina</v>
      </c>
      <c r="R910">
        <v>51</v>
      </c>
      <c r="S910" t="s">
        <v>44</v>
      </c>
      <c r="T910">
        <v>0</v>
      </c>
      <c r="V910">
        <v>11</v>
      </c>
      <c r="W910">
        <v>51</v>
      </c>
      <c r="X910">
        <v>0</v>
      </c>
    </row>
    <row r="911" spans="1:24" x14ac:dyDescent="0.35">
      <c r="A911" t="s">
        <v>8</v>
      </c>
      <c r="B911" t="s">
        <v>9</v>
      </c>
      <c r="C911" t="str">
        <f t="shared" si="122"/>
        <v>11262</v>
      </c>
      <c r="D911" t="s">
        <v>15</v>
      </c>
      <c r="E911" t="str">
        <f t="shared" si="123"/>
        <v>21</v>
      </c>
      <c r="F911">
        <v>20401</v>
      </c>
      <c r="G911">
        <v>18599</v>
      </c>
      <c r="H911">
        <v>646</v>
      </c>
      <c r="I911" t="str">
        <f t="shared" si="124"/>
        <v>3</v>
      </c>
      <c r="J911" t="str">
        <f t="shared" si="125"/>
        <v>CD&amp;V</v>
      </c>
      <c r="K911">
        <v>397</v>
      </c>
      <c r="L911">
        <v>951</v>
      </c>
      <c r="M911">
        <v>1348</v>
      </c>
      <c r="N911">
        <v>674</v>
      </c>
      <c r="O911">
        <v>1</v>
      </c>
      <c r="P911" t="str">
        <f>("21")</f>
        <v>21</v>
      </c>
      <c r="Q911" t="str">
        <f>("VAN DEN BOSSCHE Bert")</f>
        <v>VAN DEN BOSSCHE Bert</v>
      </c>
      <c r="R911">
        <v>181</v>
      </c>
      <c r="S911" t="s">
        <v>44</v>
      </c>
      <c r="T911">
        <v>0</v>
      </c>
      <c r="V911">
        <v>2</v>
      </c>
      <c r="W911">
        <v>181</v>
      </c>
      <c r="X911">
        <v>0</v>
      </c>
    </row>
    <row r="912" spans="1:24" x14ac:dyDescent="0.35">
      <c r="A912" t="s">
        <v>8</v>
      </c>
      <c r="B912" t="s">
        <v>9</v>
      </c>
      <c r="C912" t="str">
        <f t="shared" si="122"/>
        <v>11262</v>
      </c>
      <c r="D912" t="s">
        <v>15</v>
      </c>
      <c r="E912" t="str">
        <f t="shared" si="123"/>
        <v>21</v>
      </c>
      <c r="F912">
        <v>20401</v>
      </c>
      <c r="G912">
        <v>18599</v>
      </c>
      <c r="H912">
        <v>646</v>
      </c>
      <c r="I912" t="str">
        <f t="shared" ref="I912:I932" si="126">("4")</f>
        <v>4</v>
      </c>
      <c r="J912" t="str">
        <f t="shared" ref="J912:J932" si="127">("Groen")</f>
        <v>Groen</v>
      </c>
      <c r="K912">
        <v>1166</v>
      </c>
      <c r="L912">
        <v>1707</v>
      </c>
      <c r="M912">
        <v>2873</v>
      </c>
      <c r="N912">
        <v>2155</v>
      </c>
      <c r="O912">
        <v>3</v>
      </c>
      <c r="P912" t="str">
        <f>("1")</f>
        <v>1</v>
      </c>
      <c r="Q912" t="str">
        <f>("DE SCHUTTER Ilse")</f>
        <v>DE SCHUTTER Ilse</v>
      </c>
      <c r="R912">
        <v>684</v>
      </c>
      <c r="S912">
        <v>1850</v>
      </c>
      <c r="T912">
        <v>0</v>
      </c>
      <c r="U912">
        <v>1</v>
      </c>
    </row>
    <row r="913" spans="1:24" x14ac:dyDescent="0.35">
      <c r="A913" t="s">
        <v>8</v>
      </c>
      <c r="B913" t="s">
        <v>9</v>
      </c>
      <c r="C913" t="str">
        <f t="shared" ref="C913:C944" si="128">("11262")</f>
        <v>11262</v>
      </c>
      <c r="D913" t="s">
        <v>15</v>
      </c>
      <c r="E913" t="str">
        <f t="shared" ref="E913:E944" si="129">("21")</f>
        <v>21</v>
      </c>
      <c r="F913">
        <v>20401</v>
      </c>
      <c r="G913">
        <v>18599</v>
      </c>
      <c r="H913">
        <v>646</v>
      </c>
      <c r="I913" t="str">
        <f t="shared" si="126"/>
        <v>4</v>
      </c>
      <c r="J913" t="str">
        <f t="shared" si="127"/>
        <v>Groen</v>
      </c>
      <c r="K913">
        <v>1166</v>
      </c>
      <c r="L913">
        <v>1707</v>
      </c>
      <c r="M913">
        <v>2873</v>
      </c>
      <c r="N913">
        <v>2155</v>
      </c>
      <c r="O913">
        <v>3</v>
      </c>
      <c r="P913" t="str">
        <f>("2")</f>
        <v>2</v>
      </c>
      <c r="Q913" t="str">
        <f>("STAES Guido")</f>
        <v>STAES Guido</v>
      </c>
      <c r="R913">
        <v>211</v>
      </c>
      <c r="S913" t="s">
        <v>44</v>
      </c>
      <c r="T913">
        <v>0</v>
      </c>
      <c r="V913">
        <v>1</v>
      </c>
      <c r="W913">
        <v>1377</v>
      </c>
      <c r="X913">
        <v>0</v>
      </c>
    </row>
    <row r="914" spans="1:24" x14ac:dyDescent="0.35">
      <c r="A914" t="s">
        <v>8</v>
      </c>
      <c r="B914" t="s">
        <v>9</v>
      </c>
      <c r="C914" t="str">
        <f t="shared" si="128"/>
        <v>11262</v>
      </c>
      <c r="D914" t="s">
        <v>15</v>
      </c>
      <c r="E914" t="str">
        <f t="shared" si="129"/>
        <v>21</v>
      </c>
      <c r="F914">
        <v>20401</v>
      </c>
      <c r="G914">
        <v>18599</v>
      </c>
      <c r="H914">
        <v>646</v>
      </c>
      <c r="I914" t="str">
        <f t="shared" si="126"/>
        <v>4</v>
      </c>
      <c r="J914" t="str">
        <f t="shared" si="127"/>
        <v>Groen</v>
      </c>
      <c r="K914">
        <v>1166</v>
      </c>
      <c r="L914">
        <v>1707</v>
      </c>
      <c r="M914">
        <v>2873</v>
      </c>
      <c r="N914">
        <v>2155</v>
      </c>
      <c r="O914">
        <v>3</v>
      </c>
      <c r="P914" t="str">
        <f>("3")</f>
        <v>3</v>
      </c>
      <c r="Q914" t="str">
        <f>("VERGAUWEN Lotte")</f>
        <v>VERGAUWEN Lotte</v>
      </c>
      <c r="R914">
        <v>312</v>
      </c>
      <c r="S914">
        <v>312</v>
      </c>
      <c r="T914">
        <v>0</v>
      </c>
      <c r="U914">
        <v>2</v>
      </c>
    </row>
    <row r="915" spans="1:24" x14ac:dyDescent="0.35">
      <c r="A915" t="s">
        <v>8</v>
      </c>
      <c r="B915" t="s">
        <v>9</v>
      </c>
      <c r="C915" t="str">
        <f t="shared" si="128"/>
        <v>11262</v>
      </c>
      <c r="D915" t="s">
        <v>15</v>
      </c>
      <c r="E915" t="str">
        <f t="shared" si="129"/>
        <v>21</v>
      </c>
      <c r="F915">
        <v>20401</v>
      </c>
      <c r="G915">
        <v>18599</v>
      </c>
      <c r="H915">
        <v>646</v>
      </c>
      <c r="I915" t="str">
        <f t="shared" si="126"/>
        <v>4</v>
      </c>
      <c r="J915" t="str">
        <f t="shared" si="127"/>
        <v>Groen</v>
      </c>
      <c r="K915">
        <v>1166</v>
      </c>
      <c r="L915">
        <v>1707</v>
      </c>
      <c r="M915">
        <v>2873</v>
      </c>
      <c r="N915">
        <v>2155</v>
      </c>
      <c r="O915">
        <v>3</v>
      </c>
      <c r="P915" t="str">
        <f>("4")</f>
        <v>4</v>
      </c>
      <c r="Q915" t="str">
        <f>("JORISSEN Bert")</f>
        <v>JORISSEN Bert</v>
      </c>
      <c r="R915">
        <v>174</v>
      </c>
      <c r="S915" t="s">
        <v>44</v>
      </c>
      <c r="T915">
        <v>0</v>
      </c>
      <c r="V915">
        <v>4</v>
      </c>
      <c r="W915">
        <v>174</v>
      </c>
      <c r="X915">
        <v>0</v>
      </c>
    </row>
    <row r="916" spans="1:24" x14ac:dyDescent="0.35">
      <c r="A916" t="s">
        <v>8</v>
      </c>
      <c r="B916" t="s">
        <v>9</v>
      </c>
      <c r="C916" t="str">
        <f t="shared" si="128"/>
        <v>11262</v>
      </c>
      <c r="D916" t="s">
        <v>15</v>
      </c>
      <c r="E916" t="str">
        <f t="shared" si="129"/>
        <v>21</v>
      </c>
      <c r="F916">
        <v>20401</v>
      </c>
      <c r="G916">
        <v>18599</v>
      </c>
      <c r="H916">
        <v>646</v>
      </c>
      <c r="I916" t="str">
        <f t="shared" si="126"/>
        <v>4</v>
      </c>
      <c r="J916" t="str">
        <f t="shared" si="127"/>
        <v>Groen</v>
      </c>
      <c r="K916">
        <v>1166</v>
      </c>
      <c r="L916">
        <v>1707</v>
      </c>
      <c r="M916">
        <v>2873</v>
      </c>
      <c r="N916">
        <v>2155</v>
      </c>
      <c r="O916">
        <v>3</v>
      </c>
      <c r="P916" t="str">
        <f>("5")</f>
        <v>5</v>
      </c>
      <c r="Q916" t="str">
        <f>("VAN BOVEN Annelies")</f>
        <v>VAN BOVEN Annelies</v>
      </c>
      <c r="R916">
        <v>205</v>
      </c>
      <c r="S916" t="s">
        <v>44</v>
      </c>
      <c r="T916">
        <v>0</v>
      </c>
      <c r="V916">
        <v>2</v>
      </c>
      <c r="W916">
        <v>205</v>
      </c>
      <c r="X916">
        <v>0</v>
      </c>
    </row>
    <row r="917" spans="1:24" x14ac:dyDescent="0.35">
      <c r="A917" t="s">
        <v>8</v>
      </c>
      <c r="B917" t="s">
        <v>9</v>
      </c>
      <c r="C917" t="str">
        <f t="shared" si="128"/>
        <v>11262</v>
      </c>
      <c r="D917" t="s">
        <v>15</v>
      </c>
      <c r="E917" t="str">
        <f t="shared" si="129"/>
        <v>21</v>
      </c>
      <c r="F917">
        <v>20401</v>
      </c>
      <c r="G917">
        <v>18599</v>
      </c>
      <c r="H917">
        <v>646</v>
      </c>
      <c r="I917" t="str">
        <f t="shared" si="126"/>
        <v>4</v>
      </c>
      <c r="J917" t="str">
        <f t="shared" si="127"/>
        <v>Groen</v>
      </c>
      <c r="K917">
        <v>1166</v>
      </c>
      <c r="L917">
        <v>1707</v>
      </c>
      <c r="M917">
        <v>2873</v>
      </c>
      <c r="N917">
        <v>2155</v>
      </c>
      <c r="O917">
        <v>3</v>
      </c>
      <c r="P917" t="str">
        <f>("6")</f>
        <v>6</v>
      </c>
      <c r="Q917" t="str">
        <f>("DE JAGER William")</f>
        <v>DE JAGER William</v>
      </c>
      <c r="R917">
        <v>69</v>
      </c>
      <c r="S917" t="s">
        <v>44</v>
      </c>
      <c r="T917">
        <v>0</v>
      </c>
      <c r="V917">
        <v>16</v>
      </c>
      <c r="W917">
        <v>69</v>
      </c>
      <c r="X917">
        <v>0</v>
      </c>
    </row>
    <row r="918" spans="1:24" x14ac:dyDescent="0.35">
      <c r="A918" t="s">
        <v>8</v>
      </c>
      <c r="B918" t="s">
        <v>9</v>
      </c>
      <c r="C918" t="str">
        <f t="shared" si="128"/>
        <v>11262</v>
      </c>
      <c r="D918" t="s">
        <v>15</v>
      </c>
      <c r="E918" t="str">
        <f t="shared" si="129"/>
        <v>21</v>
      </c>
      <c r="F918">
        <v>20401</v>
      </c>
      <c r="G918">
        <v>18599</v>
      </c>
      <c r="H918">
        <v>646</v>
      </c>
      <c r="I918" t="str">
        <f t="shared" si="126"/>
        <v>4</v>
      </c>
      <c r="J918" t="str">
        <f t="shared" si="127"/>
        <v>Groen</v>
      </c>
      <c r="K918">
        <v>1166</v>
      </c>
      <c r="L918">
        <v>1707</v>
      </c>
      <c r="M918">
        <v>2873</v>
      </c>
      <c r="N918">
        <v>2155</v>
      </c>
      <c r="O918">
        <v>3</v>
      </c>
      <c r="P918" t="str">
        <f>("7")</f>
        <v>7</v>
      </c>
      <c r="Q918" t="str">
        <f>("BRITS Sofie")</f>
        <v>BRITS Sofie</v>
      </c>
      <c r="R918">
        <v>170</v>
      </c>
      <c r="S918" t="s">
        <v>44</v>
      </c>
      <c r="T918">
        <v>0</v>
      </c>
      <c r="V918">
        <v>6</v>
      </c>
      <c r="W918">
        <v>170</v>
      </c>
      <c r="X918">
        <v>0</v>
      </c>
    </row>
    <row r="919" spans="1:24" x14ac:dyDescent="0.35">
      <c r="A919" t="s">
        <v>8</v>
      </c>
      <c r="B919" t="s">
        <v>9</v>
      </c>
      <c r="C919" t="str">
        <f t="shared" si="128"/>
        <v>11262</v>
      </c>
      <c r="D919" t="s">
        <v>15</v>
      </c>
      <c r="E919" t="str">
        <f t="shared" si="129"/>
        <v>21</v>
      </c>
      <c r="F919">
        <v>20401</v>
      </c>
      <c r="G919">
        <v>18599</v>
      </c>
      <c r="H919">
        <v>646</v>
      </c>
      <c r="I919" t="str">
        <f t="shared" si="126"/>
        <v>4</v>
      </c>
      <c r="J919" t="str">
        <f t="shared" si="127"/>
        <v>Groen</v>
      </c>
      <c r="K919">
        <v>1166</v>
      </c>
      <c r="L919">
        <v>1707</v>
      </c>
      <c r="M919">
        <v>2873</v>
      </c>
      <c r="N919">
        <v>2155</v>
      </c>
      <c r="O919">
        <v>3</v>
      </c>
      <c r="P919" t="str">
        <f>("8")</f>
        <v>8</v>
      </c>
      <c r="Q919" t="str">
        <f>("BUDTS Jeroen")</f>
        <v>BUDTS Jeroen</v>
      </c>
      <c r="R919">
        <v>105</v>
      </c>
      <c r="S919" t="s">
        <v>44</v>
      </c>
      <c r="T919">
        <v>0</v>
      </c>
      <c r="V919">
        <v>10</v>
      </c>
      <c r="W919">
        <v>105</v>
      </c>
      <c r="X919">
        <v>0</v>
      </c>
    </row>
    <row r="920" spans="1:24" x14ac:dyDescent="0.35">
      <c r="A920" t="s">
        <v>8</v>
      </c>
      <c r="B920" t="s">
        <v>9</v>
      </c>
      <c r="C920" t="str">
        <f t="shared" si="128"/>
        <v>11262</v>
      </c>
      <c r="D920" t="s">
        <v>15</v>
      </c>
      <c r="E920" t="str">
        <f t="shared" si="129"/>
        <v>21</v>
      </c>
      <c r="F920">
        <v>20401</v>
      </c>
      <c r="G920">
        <v>18599</v>
      </c>
      <c r="H920">
        <v>646</v>
      </c>
      <c r="I920" t="str">
        <f t="shared" si="126"/>
        <v>4</v>
      </c>
      <c r="J920" t="str">
        <f t="shared" si="127"/>
        <v>Groen</v>
      </c>
      <c r="K920">
        <v>1166</v>
      </c>
      <c r="L920">
        <v>1707</v>
      </c>
      <c r="M920">
        <v>2873</v>
      </c>
      <c r="N920">
        <v>2155</v>
      </c>
      <c r="O920">
        <v>3</v>
      </c>
      <c r="P920" t="str">
        <f>("9")</f>
        <v>9</v>
      </c>
      <c r="Q920" t="str">
        <f>("TOUSSEIN Fabienne")</f>
        <v>TOUSSEIN Fabienne</v>
      </c>
      <c r="R920">
        <v>143</v>
      </c>
      <c r="S920" t="s">
        <v>44</v>
      </c>
      <c r="T920">
        <v>0</v>
      </c>
      <c r="V920">
        <v>7</v>
      </c>
      <c r="W920">
        <v>143</v>
      </c>
      <c r="X920">
        <v>0</v>
      </c>
    </row>
    <row r="921" spans="1:24" x14ac:dyDescent="0.35">
      <c r="A921" t="s">
        <v>8</v>
      </c>
      <c r="B921" t="s">
        <v>9</v>
      </c>
      <c r="C921" t="str">
        <f t="shared" si="128"/>
        <v>11262</v>
      </c>
      <c r="D921" t="s">
        <v>15</v>
      </c>
      <c r="E921" t="str">
        <f t="shared" si="129"/>
        <v>21</v>
      </c>
      <c r="F921">
        <v>20401</v>
      </c>
      <c r="G921">
        <v>18599</v>
      </c>
      <c r="H921">
        <v>646</v>
      </c>
      <c r="I921" t="str">
        <f t="shared" si="126"/>
        <v>4</v>
      </c>
      <c r="J921" t="str">
        <f t="shared" si="127"/>
        <v>Groen</v>
      </c>
      <c r="K921">
        <v>1166</v>
      </c>
      <c r="L921">
        <v>1707</v>
      </c>
      <c r="M921">
        <v>2873</v>
      </c>
      <c r="N921">
        <v>2155</v>
      </c>
      <c r="O921">
        <v>3</v>
      </c>
      <c r="P921" t="str">
        <f>("10")</f>
        <v>10</v>
      </c>
      <c r="Q921" t="str">
        <f>("VAN DER LINDEN Jan")</f>
        <v>VAN DER LINDEN Jan</v>
      </c>
      <c r="R921">
        <v>68</v>
      </c>
      <c r="S921" t="s">
        <v>44</v>
      </c>
      <c r="T921">
        <v>0</v>
      </c>
      <c r="V921">
        <v>18</v>
      </c>
      <c r="W921">
        <v>68</v>
      </c>
      <c r="X921">
        <v>0</v>
      </c>
    </row>
    <row r="922" spans="1:24" x14ac:dyDescent="0.35">
      <c r="A922" t="s">
        <v>8</v>
      </c>
      <c r="B922" t="s">
        <v>9</v>
      </c>
      <c r="C922" t="str">
        <f t="shared" si="128"/>
        <v>11262</v>
      </c>
      <c r="D922" t="s">
        <v>15</v>
      </c>
      <c r="E922" t="str">
        <f t="shared" si="129"/>
        <v>21</v>
      </c>
      <c r="F922">
        <v>20401</v>
      </c>
      <c r="G922">
        <v>18599</v>
      </c>
      <c r="H922">
        <v>646</v>
      </c>
      <c r="I922" t="str">
        <f t="shared" si="126"/>
        <v>4</v>
      </c>
      <c r="J922" t="str">
        <f t="shared" si="127"/>
        <v>Groen</v>
      </c>
      <c r="K922">
        <v>1166</v>
      </c>
      <c r="L922">
        <v>1707</v>
      </c>
      <c r="M922">
        <v>2873</v>
      </c>
      <c r="N922">
        <v>2155</v>
      </c>
      <c r="O922">
        <v>3</v>
      </c>
      <c r="P922" t="str">
        <f>("11")</f>
        <v>11</v>
      </c>
      <c r="Q922" t="str">
        <f>("EMBRECHTS Miep")</f>
        <v>EMBRECHTS Miep</v>
      </c>
      <c r="R922">
        <v>201</v>
      </c>
      <c r="S922" t="s">
        <v>44</v>
      </c>
      <c r="T922">
        <v>0</v>
      </c>
      <c r="V922">
        <v>3</v>
      </c>
      <c r="W922">
        <v>201</v>
      </c>
      <c r="X922">
        <v>0</v>
      </c>
    </row>
    <row r="923" spans="1:24" x14ac:dyDescent="0.35">
      <c r="A923" t="s">
        <v>8</v>
      </c>
      <c r="B923" t="s">
        <v>9</v>
      </c>
      <c r="C923" t="str">
        <f t="shared" si="128"/>
        <v>11262</v>
      </c>
      <c r="D923" t="s">
        <v>15</v>
      </c>
      <c r="E923" t="str">
        <f t="shared" si="129"/>
        <v>21</v>
      </c>
      <c r="F923">
        <v>20401</v>
      </c>
      <c r="G923">
        <v>18599</v>
      </c>
      <c r="H923">
        <v>646</v>
      </c>
      <c r="I923" t="str">
        <f t="shared" si="126"/>
        <v>4</v>
      </c>
      <c r="J923" t="str">
        <f t="shared" si="127"/>
        <v>Groen</v>
      </c>
      <c r="K923">
        <v>1166</v>
      </c>
      <c r="L923">
        <v>1707</v>
      </c>
      <c r="M923">
        <v>2873</v>
      </c>
      <c r="N923">
        <v>2155</v>
      </c>
      <c r="O923">
        <v>3</v>
      </c>
      <c r="P923" t="str">
        <f>("12")</f>
        <v>12</v>
      </c>
      <c r="Q923" t="str">
        <f>("DELACOURT Bart")</f>
        <v>DELACOURT Bart</v>
      </c>
      <c r="R923">
        <v>135</v>
      </c>
      <c r="S923" t="s">
        <v>44</v>
      </c>
      <c r="T923">
        <v>0</v>
      </c>
      <c r="V923">
        <v>8</v>
      </c>
      <c r="W923">
        <v>135</v>
      </c>
      <c r="X923">
        <v>0</v>
      </c>
    </row>
    <row r="924" spans="1:24" x14ac:dyDescent="0.35">
      <c r="A924" t="s">
        <v>8</v>
      </c>
      <c r="B924" t="s">
        <v>9</v>
      </c>
      <c r="C924" t="str">
        <f t="shared" si="128"/>
        <v>11262</v>
      </c>
      <c r="D924" t="s">
        <v>15</v>
      </c>
      <c r="E924" t="str">
        <f t="shared" si="129"/>
        <v>21</v>
      </c>
      <c r="F924">
        <v>20401</v>
      </c>
      <c r="G924">
        <v>18599</v>
      </c>
      <c r="H924">
        <v>646</v>
      </c>
      <c r="I924" t="str">
        <f t="shared" si="126"/>
        <v>4</v>
      </c>
      <c r="J924" t="str">
        <f t="shared" si="127"/>
        <v>Groen</v>
      </c>
      <c r="K924">
        <v>1166</v>
      </c>
      <c r="L924">
        <v>1707</v>
      </c>
      <c r="M924">
        <v>2873</v>
      </c>
      <c r="N924">
        <v>2155</v>
      </c>
      <c r="O924">
        <v>3</v>
      </c>
      <c r="P924" t="str">
        <f>("13")</f>
        <v>13</v>
      </c>
      <c r="Q924" t="str">
        <f>("DE PEUTER Marja")</f>
        <v>DE PEUTER Marja</v>
      </c>
      <c r="R924">
        <v>105</v>
      </c>
      <c r="S924" t="s">
        <v>44</v>
      </c>
      <c r="T924">
        <v>0</v>
      </c>
      <c r="V924">
        <v>11</v>
      </c>
      <c r="W924">
        <v>105</v>
      </c>
      <c r="X924">
        <v>0</v>
      </c>
    </row>
    <row r="925" spans="1:24" x14ac:dyDescent="0.35">
      <c r="A925" t="s">
        <v>8</v>
      </c>
      <c r="B925" t="s">
        <v>9</v>
      </c>
      <c r="C925" t="str">
        <f t="shared" si="128"/>
        <v>11262</v>
      </c>
      <c r="D925" t="s">
        <v>15</v>
      </c>
      <c r="E925" t="str">
        <f t="shared" si="129"/>
        <v>21</v>
      </c>
      <c r="F925">
        <v>20401</v>
      </c>
      <c r="G925">
        <v>18599</v>
      </c>
      <c r="H925">
        <v>646</v>
      </c>
      <c r="I925" t="str">
        <f t="shared" si="126"/>
        <v>4</v>
      </c>
      <c r="J925" t="str">
        <f t="shared" si="127"/>
        <v>Groen</v>
      </c>
      <c r="K925">
        <v>1166</v>
      </c>
      <c r="L925">
        <v>1707</v>
      </c>
      <c r="M925">
        <v>2873</v>
      </c>
      <c r="N925">
        <v>2155</v>
      </c>
      <c r="O925">
        <v>3</v>
      </c>
      <c r="P925" t="str">
        <f>("14")</f>
        <v>14</v>
      </c>
      <c r="Q925" t="str">
        <f>("DE KOCK Guy")</f>
        <v>DE KOCK Guy</v>
      </c>
      <c r="R925">
        <v>83</v>
      </c>
      <c r="S925" t="s">
        <v>44</v>
      </c>
      <c r="T925">
        <v>0</v>
      </c>
      <c r="V925">
        <v>14</v>
      </c>
      <c r="W925">
        <v>83</v>
      </c>
      <c r="X925">
        <v>0</v>
      </c>
    </row>
    <row r="926" spans="1:24" x14ac:dyDescent="0.35">
      <c r="A926" t="s">
        <v>8</v>
      </c>
      <c r="B926" t="s">
        <v>9</v>
      </c>
      <c r="C926" t="str">
        <f t="shared" si="128"/>
        <v>11262</v>
      </c>
      <c r="D926" t="s">
        <v>15</v>
      </c>
      <c r="E926" t="str">
        <f t="shared" si="129"/>
        <v>21</v>
      </c>
      <c r="F926">
        <v>20401</v>
      </c>
      <c r="G926">
        <v>18599</v>
      </c>
      <c r="H926">
        <v>646</v>
      </c>
      <c r="I926" t="str">
        <f t="shared" si="126"/>
        <v>4</v>
      </c>
      <c r="J926" t="str">
        <f t="shared" si="127"/>
        <v>Groen</v>
      </c>
      <c r="K926">
        <v>1166</v>
      </c>
      <c r="L926">
        <v>1707</v>
      </c>
      <c r="M926">
        <v>2873</v>
      </c>
      <c r="N926">
        <v>2155</v>
      </c>
      <c r="O926">
        <v>3</v>
      </c>
      <c r="P926" t="str">
        <f>("15")</f>
        <v>15</v>
      </c>
      <c r="Q926" t="str">
        <f>("DE KOCK Amber")</f>
        <v>DE KOCK Amber</v>
      </c>
      <c r="R926">
        <v>174</v>
      </c>
      <c r="S926" t="s">
        <v>44</v>
      </c>
      <c r="T926">
        <v>0</v>
      </c>
      <c r="V926">
        <v>5</v>
      </c>
      <c r="W926">
        <v>174</v>
      </c>
      <c r="X926">
        <v>0</v>
      </c>
    </row>
    <row r="927" spans="1:24" x14ac:dyDescent="0.35">
      <c r="A927" t="s">
        <v>8</v>
      </c>
      <c r="B927" t="s">
        <v>9</v>
      </c>
      <c r="C927" t="str">
        <f t="shared" si="128"/>
        <v>11262</v>
      </c>
      <c r="D927" t="s">
        <v>15</v>
      </c>
      <c r="E927" t="str">
        <f t="shared" si="129"/>
        <v>21</v>
      </c>
      <c r="F927">
        <v>20401</v>
      </c>
      <c r="G927">
        <v>18599</v>
      </c>
      <c r="H927">
        <v>646</v>
      </c>
      <c r="I927" t="str">
        <f t="shared" si="126"/>
        <v>4</v>
      </c>
      <c r="J927" t="str">
        <f t="shared" si="127"/>
        <v>Groen</v>
      </c>
      <c r="K927">
        <v>1166</v>
      </c>
      <c r="L927">
        <v>1707</v>
      </c>
      <c r="M927">
        <v>2873</v>
      </c>
      <c r="N927">
        <v>2155</v>
      </c>
      <c r="O927">
        <v>3</v>
      </c>
      <c r="P927" t="str">
        <f>("16")</f>
        <v>16</v>
      </c>
      <c r="Q927" t="str">
        <f>("DEZITTER Cédric")</f>
        <v>DEZITTER Cédric</v>
      </c>
      <c r="R927">
        <v>73</v>
      </c>
      <c r="S927" t="s">
        <v>44</v>
      </c>
      <c r="T927">
        <v>0</v>
      </c>
      <c r="V927">
        <v>15</v>
      </c>
      <c r="W927">
        <v>73</v>
      </c>
      <c r="X927">
        <v>0</v>
      </c>
    </row>
    <row r="928" spans="1:24" x14ac:dyDescent="0.35">
      <c r="A928" t="s">
        <v>8</v>
      </c>
      <c r="B928" t="s">
        <v>9</v>
      </c>
      <c r="C928" t="str">
        <f t="shared" si="128"/>
        <v>11262</v>
      </c>
      <c r="D928" t="s">
        <v>15</v>
      </c>
      <c r="E928" t="str">
        <f t="shared" si="129"/>
        <v>21</v>
      </c>
      <c r="F928">
        <v>20401</v>
      </c>
      <c r="G928">
        <v>18599</v>
      </c>
      <c r="H928">
        <v>646</v>
      </c>
      <c r="I928" t="str">
        <f t="shared" si="126"/>
        <v>4</v>
      </c>
      <c r="J928" t="str">
        <f t="shared" si="127"/>
        <v>Groen</v>
      </c>
      <c r="K928">
        <v>1166</v>
      </c>
      <c r="L928">
        <v>1707</v>
      </c>
      <c r="M928">
        <v>2873</v>
      </c>
      <c r="N928">
        <v>2155</v>
      </c>
      <c r="O928">
        <v>3</v>
      </c>
      <c r="P928" t="str">
        <f>("17")</f>
        <v>17</v>
      </c>
      <c r="Q928" t="str">
        <f>("WEVERBERGH Ingrid")</f>
        <v>WEVERBERGH Ingrid</v>
      </c>
      <c r="R928">
        <v>95</v>
      </c>
      <c r="S928" t="s">
        <v>44</v>
      </c>
      <c r="T928">
        <v>0</v>
      </c>
      <c r="V928">
        <v>12</v>
      </c>
      <c r="W928">
        <v>95</v>
      </c>
      <c r="X928">
        <v>0</v>
      </c>
    </row>
    <row r="929" spans="1:24" x14ac:dyDescent="0.35">
      <c r="A929" t="s">
        <v>8</v>
      </c>
      <c r="B929" t="s">
        <v>9</v>
      </c>
      <c r="C929" t="str">
        <f t="shared" si="128"/>
        <v>11262</v>
      </c>
      <c r="D929" t="s">
        <v>15</v>
      </c>
      <c r="E929" t="str">
        <f t="shared" si="129"/>
        <v>21</v>
      </c>
      <c r="F929">
        <v>20401</v>
      </c>
      <c r="G929">
        <v>18599</v>
      </c>
      <c r="H929">
        <v>646</v>
      </c>
      <c r="I929" t="str">
        <f t="shared" si="126"/>
        <v>4</v>
      </c>
      <c r="J929" t="str">
        <f t="shared" si="127"/>
        <v>Groen</v>
      </c>
      <c r="K929">
        <v>1166</v>
      </c>
      <c r="L929">
        <v>1707</v>
      </c>
      <c r="M929">
        <v>2873</v>
      </c>
      <c r="N929">
        <v>2155</v>
      </c>
      <c r="O929">
        <v>3</v>
      </c>
      <c r="P929" t="str">
        <f>("18")</f>
        <v>18</v>
      </c>
      <c r="Q929" t="str">
        <f>("PIETERS Freek")</f>
        <v>PIETERS Freek</v>
      </c>
      <c r="R929">
        <v>88</v>
      </c>
      <c r="S929" t="s">
        <v>44</v>
      </c>
      <c r="T929">
        <v>0</v>
      </c>
      <c r="V929">
        <v>13</v>
      </c>
      <c r="W929">
        <v>88</v>
      </c>
      <c r="X929">
        <v>0</v>
      </c>
    </row>
    <row r="930" spans="1:24" x14ac:dyDescent="0.35">
      <c r="A930" t="s">
        <v>8</v>
      </c>
      <c r="B930" t="s">
        <v>9</v>
      </c>
      <c r="C930" t="str">
        <f t="shared" si="128"/>
        <v>11262</v>
      </c>
      <c r="D930" t="s">
        <v>15</v>
      </c>
      <c r="E930" t="str">
        <f t="shared" si="129"/>
        <v>21</v>
      </c>
      <c r="F930">
        <v>20401</v>
      </c>
      <c r="G930">
        <v>18599</v>
      </c>
      <c r="H930">
        <v>646</v>
      </c>
      <c r="I930" t="str">
        <f t="shared" si="126"/>
        <v>4</v>
      </c>
      <c r="J930" t="str">
        <f t="shared" si="127"/>
        <v>Groen</v>
      </c>
      <c r="K930">
        <v>1166</v>
      </c>
      <c r="L930">
        <v>1707</v>
      </c>
      <c r="M930">
        <v>2873</v>
      </c>
      <c r="N930">
        <v>2155</v>
      </c>
      <c r="O930">
        <v>3</v>
      </c>
      <c r="P930" t="str">
        <f>("19")</f>
        <v>19</v>
      </c>
      <c r="Q930" t="str">
        <f>("DE MUYNCK Machteld")</f>
        <v>DE MUYNCK Machteld</v>
      </c>
      <c r="R930">
        <v>69</v>
      </c>
      <c r="S930" t="s">
        <v>44</v>
      </c>
      <c r="T930">
        <v>0</v>
      </c>
      <c r="V930">
        <v>17</v>
      </c>
      <c r="W930">
        <v>69</v>
      </c>
      <c r="X930">
        <v>0</v>
      </c>
    </row>
    <row r="931" spans="1:24" x14ac:dyDescent="0.35">
      <c r="A931" t="s">
        <v>8</v>
      </c>
      <c r="B931" t="s">
        <v>9</v>
      </c>
      <c r="C931" t="str">
        <f t="shared" si="128"/>
        <v>11262</v>
      </c>
      <c r="D931" t="s">
        <v>15</v>
      </c>
      <c r="E931" t="str">
        <f t="shared" si="129"/>
        <v>21</v>
      </c>
      <c r="F931">
        <v>20401</v>
      </c>
      <c r="G931">
        <v>18599</v>
      </c>
      <c r="H931">
        <v>646</v>
      </c>
      <c r="I931" t="str">
        <f t="shared" si="126"/>
        <v>4</v>
      </c>
      <c r="J931" t="str">
        <f t="shared" si="127"/>
        <v>Groen</v>
      </c>
      <c r="K931">
        <v>1166</v>
      </c>
      <c r="L931">
        <v>1707</v>
      </c>
      <c r="M931">
        <v>2873</v>
      </c>
      <c r="N931">
        <v>2155</v>
      </c>
      <c r="O931">
        <v>3</v>
      </c>
      <c r="P931" t="str">
        <f>("20")</f>
        <v>20</v>
      </c>
      <c r="Q931" t="str">
        <f>("BAETENS Koen")</f>
        <v>BAETENS Koen</v>
      </c>
      <c r="R931">
        <v>112</v>
      </c>
      <c r="S931" t="s">
        <v>44</v>
      </c>
      <c r="T931">
        <v>0</v>
      </c>
      <c r="V931">
        <v>9</v>
      </c>
      <c r="W931">
        <v>112</v>
      </c>
      <c r="X931">
        <v>0</v>
      </c>
    </row>
    <row r="932" spans="1:24" x14ac:dyDescent="0.35">
      <c r="A932" t="s">
        <v>8</v>
      </c>
      <c r="B932" t="s">
        <v>9</v>
      </c>
      <c r="C932" t="str">
        <f t="shared" si="128"/>
        <v>11262</v>
      </c>
      <c r="D932" t="s">
        <v>15</v>
      </c>
      <c r="E932" t="str">
        <f t="shared" si="129"/>
        <v>21</v>
      </c>
      <c r="F932">
        <v>20401</v>
      </c>
      <c r="G932">
        <v>18599</v>
      </c>
      <c r="H932">
        <v>646</v>
      </c>
      <c r="I932" t="str">
        <f t="shared" si="126"/>
        <v>4</v>
      </c>
      <c r="J932" t="str">
        <f t="shared" si="127"/>
        <v>Groen</v>
      </c>
      <c r="K932">
        <v>1166</v>
      </c>
      <c r="L932">
        <v>1707</v>
      </c>
      <c r="M932">
        <v>2873</v>
      </c>
      <c r="N932">
        <v>2155</v>
      </c>
      <c r="O932">
        <v>3</v>
      </c>
      <c r="P932" t="str">
        <f>("21")</f>
        <v>21</v>
      </c>
      <c r="Q932" t="str">
        <f>("JOOSSENS Anny")</f>
        <v>JOOSSENS Anny</v>
      </c>
      <c r="R932">
        <v>273</v>
      </c>
      <c r="S932">
        <v>273</v>
      </c>
      <c r="T932">
        <v>0</v>
      </c>
      <c r="U932">
        <v>3</v>
      </c>
    </row>
    <row r="933" spans="1:24" x14ac:dyDescent="0.35">
      <c r="A933" t="s">
        <v>8</v>
      </c>
      <c r="B933" t="s">
        <v>9</v>
      </c>
      <c r="C933" t="str">
        <f t="shared" si="128"/>
        <v>11262</v>
      </c>
      <c r="D933" t="s">
        <v>15</v>
      </c>
      <c r="E933" t="str">
        <f t="shared" si="129"/>
        <v>21</v>
      </c>
      <c r="F933">
        <v>20401</v>
      </c>
      <c r="G933">
        <v>18599</v>
      </c>
      <c r="H933">
        <v>646</v>
      </c>
      <c r="I933" t="str">
        <f t="shared" ref="I933:I953" si="130">("5")</f>
        <v>5</v>
      </c>
      <c r="J933" t="str">
        <f t="shared" ref="J933:J953" si="131">("VLAAMS BELANG")</f>
        <v>VLAAMS BELANG</v>
      </c>
      <c r="K933">
        <v>796</v>
      </c>
      <c r="L933">
        <v>2315</v>
      </c>
      <c r="M933">
        <v>3111</v>
      </c>
      <c r="N933">
        <v>2489</v>
      </c>
      <c r="O933">
        <v>4</v>
      </c>
      <c r="P933" t="str">
        <f>("1")</f>
        <v>1</v>
      </c>
      <c r="Q933" t="str">
        <f>("VAN NOTEN Kurt")</f>
        <v>VAN NOTEN Kurt</v>
      </c>
      <c r="R933">
        <v>645</v>
      </c>
      <c r="S933">
        <v>1707</v>
      </c>
      <c r="T933">
        <v>0</v>
      </c>
      <c r="U933">
        <v>1</v>
      </c>
    </row>
    <row r="934" spans="1:24" x14ac:dyDescent="0.35">
      <c r="A934" t="s">
        <v>8</v>
      </c>
      <c r="B934" t="s">
        <v>9</v>
      </c>
      <c r="C934" t="str">
        <f t="shared" si="128"/>
        <v>11262</v>
      </c>
      <c r="D934" t="s">
        <v>15</v>
      </c>
      <c r="E934" t="str">
        <f t="shared" si="129"/>
        <v>21</v>
      </c>
      <c r="F934">
        <v>20401</v>
      </c>
      <c r="G934">
        <v>18599</v>
      </c>
      <c r="H934">
        <v>646</v>
      </c>
      <c r="I934" t="str">
        <f t="shared" si="130"/>
        <v>5</v>
      </c>
      <c r="J934" t="str">
        <f t="shared" si="131"/>
        <v>VLAAMS BELANG</v>
      </c>
      <c r="K934">
        <v>796</v>
      </c>
      <c r="L934">
        <v>2315</v>
      </c>
      <c r="M934">
        <v>3111</v>
      </c>
      <c r="N934">
        <v>2489</v>
      </c>
      <c r="O934">
        <v>4</v>
      </c>
      <c r="P934" t="str">
        <f>("2")</f>
        <v>2</v>
      </c>
      <c r="Q934" t="str">
        <f>("BOUDEWIJNS Yolande")</f>
        <v>BOUDEWIJNS Yolande</v>
      </c>
      <c r="R934">
        <v>153</v>
      </c>
      <c r="S934">
        <v>153</v>
      </c>
      <c r="T934">
        <v>0</v>
      </c>
      <c r="U934">
        <v>3</v>
      </c>
    </row>
    <row r="935" spans="1:24" x14ac:dyDescent="0.35">
      <c r="A935" t="s">
        <v>8</v>
      </c>
      <c r="B935" t="s">
        <v>9</v>
      </c>
      <c r="C935" t="str">
        <f t="shared" si="128"/>
        <v>11262</v>
      </c>
      <c r="D935" t="s">
        <v>15</v>
      </c>
      <c r="E935" t="str">
        <f t="shared" si="129"/>
        <v>21</v>
      </c>
      <c r="F935">
        <v>20401</v>
      </c>
      <c r="G935">
        <v>18599</v>
      </c>
      <c r="H935">
        <v>646</v>
      </c>
      <c r="I935" t="str">
        <f t="shared" si="130"/>
        <v>5</v>
      </c>
      <c r="J935" t="str">
        <f t="shared" si="131"/>
        <v>VLAAMS BELANG</v>
      </c>
      <c r="K935">
        <v>796</v>
      </c>
      <c r="L935">
        <v>2315</v>
      </c>
      <c r="M935">
        <v>3111</v>
      </c>
      <c r="N935">
        <v>2489</v>
      </c>
      <c r="O935">
        <v>4</v>
      </c>
      <c r="P935" t="str">
        <f>("3")</f>
        <v>3</v>
      </c>
      <c r="Q935" t="str">
        <f>("VAN DEN BROECK Filip")</f>
        <v>VAN DEN BROECK Filip</v>
      </c>
      <c r="R935">
        <v>98</v>
      </c>
      <c r="S935" t="s">
        <v>44</v>
      </c>
      <c r="T935">
        <v>0</v>
      </c>
      <c r="V935">
        <v>1</v>
      </c>
      <c r="W935">
        <v>1160</v>
      </c>
      <c r="X935">
        <v>0</v>
      </c>
    </row>
    <row r="936" spans="1:24" x14ac:dyDescent="0.35">
      <c r="A936" t="s">
        <v>8</v>
      </c>
      <c r="B936" t="s">
        <v>9</v>
      </c>
      <c r="C936" t="str">
        <f t="shared" si="128"/>
        <v>11262</v>
      </c>
      <c r="D936" t="s">
        <v>15</v>
      </c>
      <c r="E936" t="str">
        <f t="shared" si="129"/>
        <v>21</v>
      </c>
      <c r="F936">
        <v>20401</v>
      </c>
      <c r="G936">
        <v>18599</v>
      </c>
      <c r="H936">
        <v>646</v>
      </c>
      <c r="I936" t="str">
        <f t="shared" si="130"/>
        <v>5</v>
      </c>
      <c r="J936" t="str">
        <f t="shared" si="131"/>
        <v>VLAAMS BELANG</v>
      </c>
      <c r="K936">
        <v>796</v>
      </c>
      <c r="L936">
        <v>2315</v>
      </c>
      <c r="M936">
        <v>3111</v>
      </c>
      <c r="N936">
        <v>2489</v>
      </c>
      <c r="O936">
        <v>4</v>
      </c>
      <c r="P936" t="str">
        <f>("4")</f>
        <v>4</v>
      </c>
      <c r="Q936" t="str">
        <f>("VAN OSSELAER Wim")</f>
        <v>VAN OSSELAER Wim</v>
      </c>
      <c r="R936">
        <v>86</v>
      </c>
      <c r="S936" t="s">
        <v>44</v>
      </c>
      <c r="T936">
        <v>0</v>
      </c>
      <c r="V936">
        <v>5</v>
      </c>
      <c r="W936">
        <v>86</v>
      </c>
      <c r="X936">
        <v>0</v>
      </c>
    </row>
    <row r="937" spans="1:24" x14ac:dyDescent="0.35">
      <c r="A937" t="s">
        <v>8</v>
      </c>
      <c r="B937" t="s">
        <v>9</v>
      </c>
      <c r="C937" t="str">
        <f t="shared" si="128"/>
        <v>11262</v>
      </c>
      <c r="D937" t="s">
        <v>15</v>
      </c>
      <c r="E937" t="str">
        <f t="shared" si="129"/>
        <v>21</v>
      </c>
      <c r="F937">
        <v>20401</v>
      </c>
      <c r="G937">
        <v>18599</v>
      </c>
      <c r="H937">
        <v>646</v>
      </c>
      <c r="I937" t="str">
        <f t="shared" si="130"/>
        <v>5</v>
      </c>
      <c r="J937" t="str">
        <f t="shared" si="131"/>
        <v>VLAAMS BELANG</v>
      </c>
      <c r="K937">
        <v>796</v>
      </c>
      <c r="L937">
        <v>2315</v>
      </c>
      <c r="M937">
        <v>3111</v>
      </c>
      <c r="N937">
        <v>2489</v>
      </c>
      <c r="O937">
        <v>4</v>
      </c>
      <c r="P937" t="str">
        <f>("5")</f>
        <v>5</v>
      </c>
      <c r="Q937" t="str">
        <f>("MARYNISSEN Iris")</f>
        <v>MARYNISSEN Iris</v>
      </c>
      <c r="R937">
        <v>104</v>
      </c>
      <c r="S937" t="s">
        <v>44</v>
      </c>
      <c r="T937">
        <v>0</v>
      </c>
      <c r="V937">
        <v>2</v>
      </c>
      <c r="W937">
        <v>104</v>
      </c>
      <c r="X937">
        <v>0</v>
      </c>
    </row>
    <row r="938" spans="1:24" x14ac:dyDescent="0.35">
      <c r="A938" t="s">
        <v>8</v>
      </c>
      <c r="B938" t="s">
        <v>9</v>
      </c>
      <c r="C938" t="str">
        <f t="shared" si="128"/>
        <v>11262</v>
      </c>
      <c r="D938" t="s">
        <v>15</v>
      </c>
      <c r="E938" t="str">
        <f t="shared" si="129"/>
        <v>21</v>
      </c>
      <c r="F938">
        <v>20401</v>
      </c>
      <c r="G938">
        <v>18599</v>
      </c>
      <c r="H938">
        <v>646</v>
      </c>
      <c r="I938" t="str">
        <f t="shared" si="130"/>
        <v>5</v>
      </c>
      <c r="J938" t="str">
        <f t="shared" si="131"/>
        <v>VLAAMS BELANG</v>
      </c>
      <c r="K938">
        <v>796</v>
      </c>
      <c r="L938">
        <v>2315</v>
      </c>
      <c r="M938">
        <v>3111</v>
      </c>
      <c r="N938">
        <v>2489</v>
      </c>
      <c r="O938">
        <v>4</v>
      </c>
      <c r="P938" t="str">
        <f>("6")</f>
        <v>6</v>
      </c>
      <c r="Q938" t="str">
        <f>("VOET Jasmine")</f>
        <v>VOET Jasmine</v>
      </c>
      <c r="R938">
        <v>97</v>
      </c>
      <c r="S938" t="s">
        <v>44</v>
      </c>
      <c r="T938">
        <v>0</v>
      </c>
      <c r="V938">
        <v>4</v>
      </c>
      <c r="W938">
        <v>97</v>
      </c>
      <c r="X938">
        <v>0</v>
      </c>
    </row>
    <row r="939" spans="1:24" x14ac:dyDescent="0.35">
      <c r="A939" t="s">
        <v>8</v>
      </c>
      <c r="B939" t="s">
        <v>9</v>
      </c>
      <c r="C939" t="str">
        <f t="shared" si="128"/>
        <v>11262</v>
      </c>
      <c r="D939" t="s">
        <v>15</v>
      </c>
      <c r="E939" t="str">
        <f t="shared" si="129"/>
        <v>21</v>
      </c>
      <c r="F939">
        <v>20401</v>
      </c>
      <c r="G939">
        <v>18599</v>
      </c>
      <c r="H939">
        <v>646</v>
      </c>
      <c r="I939" t="str">
        <f t="shared" si="130"/>
        <v>5</v>
      </c>
      <c r="J939" t="str">
        <f t="shared" si="131"/>
        <v>VLAAMS BELANG</v>
      </c>
      <c r="K939">
        <v>796</v>
      </c>
      <c r="L939">
        <v>2315</v>
      </c>
      <c r="M939">
        <v>3111</v>
      </c>
      <c r="N939">
        <v>2489</v>
      </c>
      <c r="O939">
        <v>4</v>
      </c>
      <c r="P939" t="str">
        <f>("7")</f>
        <v>7</v>
      </c>
      <c r="Q939" t="str">
        <f>("BADISCO Eddy")</f>
        <v>BADISCO Eddy</v>
      </c>
      <c r="R939">
        <v>60</v>
      </c>
      <c r="S939" t="s">
        <v>44</v>
      </c>
      <c r="T939">
        <v>0</v>
      </c>
      <c r="V939">
        <v>11</v>
      </c>
      <c r="W939">
        <v>60</v>
      </c>
      <c r="X939">
        <v>0</v>
      </c>
    </row>
    <row r="940" spans="1:24" x14ac:dyDescent="0.35">
      <c r="A940" t="s">
        <v>8</v>
      </c>
      <c r="B940" t="s">
        <v>9</v>
      </c>
      <c r="C940" t="str">
        <f t="shared" si="128"/>
        <v>11262</v>
      </c>
      <c r="D940" t="s">
        <v>15</v>
      </c>
      <c r="E940" t="str">
        <f t="shared" si="129"/>
        <v>21</v>
      </c>
      <c r="F940">
        <v>20401</v>
      </c>
      <c r="G940">
        <v>18599</v>
      </c>
      <c r="H940">
        <v>646</v>
      </c>
      <c r="I940" t="str">
        <f t="shared" si="130"/>
        <v>5</v>
      </c>
      <c r="J940" t="str">
        <f t="shared" si="131"/>
        <v>VLAAMS BELANG</v>
      </c>
      <c r="K940">
        <v>796</v>
      </c>
      <c r="L940">
        <v>2315</v>
      </c>
      <c r="M940">
        <v>3111</v>
      </c>
      <c r="N940">
        <v>2489</v>
      </c>
      <c r="O940">
        <v>4</v>
      </c>
      <c r="P940" t="str">
        <f>("8")</f>
        <v>8</v>
      </c>
      <c r="Q940" t="str">
        <f>("WOUTERS Marc")</f>
        <v>WOUTERS Marc</v>
      </c>
      <c r="R940">
        <v>101</v>
      </c>
      <c r="S940" t="s">
        <v>44</v>
      </c>
      <c r="T940">
        <v>0</v>
      </c>
      <c r="V940">
        <v>3</v>
      </c>
      <c r="W940">
        <v>101</v>
      </c>
      <c r="X940">
        <v>0</v>
      </c>
    </row>
    <row r="941" spans="1:24" x14ac:dyDescent="0.35">
      <c r="A941" t="s">
        <v>8</v>
      </c>
      <c r="B941" t="s">
        <v>9</v>
      </c>
      <c r="C941" t="str">
        <f t="shared" si="128"/>
        <v>11262</v>
      </c>
      <c r="D941" t="s">
        <v>15</v>
      </c>
      <c r="E941" t="str">
        <f t="shared" si="129"/>
        <v>21</v>
      </c>
      <c r="F941">
        <v>20401</v>
      </c>
      <c r="G941">
        <v>18599</v>
      </c>
      <c r="H941">
        <v>646</v>
      </c>
      <c r="I941" t="str">
        <f t="shared" si="130"/>
        <v>5</v>
      </c>
      <c r="J941" t="str">
        <f t="shared" si="131"/>
        <v>VLAAMS BELANG</v>
      </c>
      <c r="K941">
        <v>796</v>
      </c>
      <c r="L941">
        <v>2315</v>
      </c>
      <c r="M941">
        <v>3111</v>
      </c>
      <c r="N941">
        <v>2489</v>
      </c>
      <c r="O941">
        <v>4</v>
      </c>
      <c r="P941" t="str">
        <f>("9")</f>
        <v>9</v>
      </c>
      <c r="Q941" t="str">
        <f>("BOROJÉ Diane")</f>
        <v>BOROJÉ Diane</v>
      </c>
      <c r="R941">
        <v>39</v>
      </c>
      <c r="S941" t="s">
        <v>44</v>
      </c>
      <c r="T941">
        <v>0</v>
      </c>
      <c r="V941">
        <v>17</v>
      </c>
      <c r="W941">
        <v>39</v>
      </c>
      <c r="X941">
        <v>0</v>
      </c>
    </row>
    <row r="942" spans="1:24" x14ac:dyDescent="0.35">
      <c r="A942" t="s">
        <v>8</v>
      </c>
      <c r="B942" t="s">
        <v>9</v>
      </c>
      <c r="C942" t="str">
        <f t="shared" si="128"/>
        <v>11262</v>
      </c>
      <c r="D942" t="s">
        <v>15</v>
      </c>
      <c r="E942" t="str">
        <f t="shared" si="129"/>
        <v>21</v>
      </c>
      <c r="F942">
        <v>20401</v>
      </c>
      <c r="G942">
        <v>18599</v>
      </c>
      <c r="H942">
        <v>646</v>
      </c>
      <c r="I942" t="str">
        <f t="shared" si="130"/>
        <v>5</v>
      </c>
      <c r="J942" t="str">
        <f t="shared" si="131"/>
        <v>VLAAMS BELANG</v>
      </c>
      <c r="K942">
        <v>796</v>
      </c>
      <c r="L942">
        <v>2315</v>
      </c>
      <c r="M942">
        <v>3111</v>
      </c>
      <c r="N942">
        <v>2489</v>
      </c>
      <c r="O942">
        <v>4</v>
      </c>
      <c r="P942" t="str">
        <f>("10")</f>
        <v>10</v>
      </c>
      <c r="Q942" t="str">
        <f>("GRZESIAK Jimmy")</f>
        <v>GRZESIAK Jimmy</v>
      </c>
      <c r="R942">
        <v>86</v>
      </c>
      <c r="S942" t="s">
        <v>44</v>
      </c>
      <c r="T942">
        <v>0</v>
      </c>
      <c r="V942">
        <v>6</v>
      </c>
      <c r="W942">
        <v>86</v>
      </c>
      <c r="X942">
        <v>0</v>
      </c>
    </row>
    <row r="943" spans="1:24" x14ac:dyDescent="0.35">
      <c r="A943" t="s">
        <v>8</v>
      </c>
      <c r="B943" t="s">
        <v>9</v>
      </c>
      <c r="C943" t="str">
        <f t="shared" si="128"/>
        <v>11262</v>
      </c>
      <c r="D943" t="s">
        <v>15</v>
      </c>
      <c r="E943" t="str">
        <f t="shared" si="129"/>
        <v>21</v>
      </c>
      <c r="F943">
        <v>20401</v>
      </c>
      <c r="G943">
        <v>18599</v>
      </c>
      <c r="H943">
        <v>646</v>
      </c>
      <c r="I943" t="str">
        <f t="shared" si="130"/>
        <v>5</v>
      </c>
      <c r="J943" t="str">
        <f t="shared" si="131"/>
        <v>VLAAMS BELANG</v>
      </c>
      <c r="K943">
        <v>796</v>
      </c>
      <c r="L943">
        <v>2315</v>
      </c>
      <c r="M943">
        <v>3111</v>
      </c>
      <c r="N943">
        <v>2489</v>
      </c>
      <c r="O943">
        <v>4</v>
      </c>
      <c r="P943" t="str">
        <f>("11")</f>
        <v>11</v>
      </c>
      <c r="Q943" t="str">
        <f>("VAN den SANDE Cilia")</f>
        <v>VAN den SANDE Cilia</v>
      </c>
      <c r="R943">
        <v>63</v>
      </c>
      <c r="S943" t="s">
        <v>44</v>
      </c>
      <c r="T943">
        <v>0</v>
      </c>
      <c r="V943">
        <v>10</v>
      </c>
      <c r="W943">
        <v>63</v>
      </c>
      <c r="X943">
        <v>0</v>
      </c>
    </row>
    <row r="944" spans="1:24" x14ac:dyDescent="0.35">
      <c r="A944" t="s">
        <v>8</v>
      </c>
      <c r="B944" t="s">
        <v>9</v>
      </c>
      <c r="C944" t="str">
        <f t="shared" si="128"/>
        <v>11262</v>
      </c>
      <c r="D944" t="s">
        <v>15</v>
      </c>
      <c r="E944" t="str">
        <f t="shared" si="129"/>
        <v>21</v>
      </c>
      <c r="F944">
        <v>20401</v>
      </c>
      <c r="G944">
        <v>18599</v>
      </c>
      <c r="H944">
        <v>646</v>
      </c>
      <c r="I944" t="str">
        <f t="shared" si="130"/>
        <v>5</v>
      </c>
      <c r="J944" t="str">
        <f t="shared" si="131"/>
        <v>VLAAMS BELANG</v>
      </c>
      <c r="K944">
        <v>796</v>
      </c>
      <c r="L944">
        <v>2315</v>
      </c>
      <c r="M944">
        <v>3111</v>
      </c>
      <c r="N944">
        <v>2489</v>
      </c>
      <c r="O944">
        <v>4</v>
      </c>
      <c r="P944" t="str">
        <f>("12")</f>
        <v>12</v>
      </c>
      <c r="Q944" t="str">
        <f>("NAEYAERT Steven")</f>
        <v>NAEYAERT Steven</v>
      </c>
      <c r="R944">
        <v>48</v>
      </c>
      <c r="S944" t="s">
        <v>44</v>
      </c>
      <c r="T944">
        <v>0</v>
      </c>
      <c r="V944">
        <v>14</v>
      </c>
      <c r="W944">
        <v>48</v>
      </c>
      <c r="X944">
        <v>0</v>
      </c>
    </row>
    <row r="945" spans="1:24" x14ac:dyDescent="0.35">
      <c r="A945" t="s">
        <v>8</v>
      </c>
      <c r="B945" t="s">
        <v>9</v>
      </c>
      <c r="C945" t="str">
        <f t="shared" ref="C945:C981" si="132">("11262")</f>
        <v>11262</v>
      </c>
      <c r="D945" t="s">
        <v>15</v>
      </c>
      <c r="E945" t="str">
        <f t="shared" ref="E945:E981" si="133">("21")</f>
        <v>21</v>
      </c>
      <c r="F945">
        <v>20401</v>
      </c>
      <c r="G945">
        <v>18599</v>
      </c>
      <c r="H945">
        <v>646</v>
      </c>
      <c r="I945" t="str">
        <f t="shared" si="130"/>
        <v>5</v>
      </c>
      <c r="J945" t="str">
        <f t="shared" si="131"/>
        <v>VLAAMS BELANG</v>
      </c>
      <c r="K945">
        <v>796</v>
      </c>
      <c r="L945">
        <v>2315</v>
      </c>
      <c r="M945">
        <v>3111</v>
      </c>
      <c r="N945">
        <v>2489</v>
      </c>
      <c r="O945">
        <v>4</v>
      </c>
      <c r="P945" t="str">
        <f>("13")</f>
        <v>13</v>
      </c>
      <c r="Q945" t="str">
        <f>("BOUILLART Pascale")</f>
        <v>BOUILLART Pascale</v>
      </c>
      <c r="R945">
        <v>42</v>
      </c>
      <c r="S945" t="s">
        <v>44</v>
      </c>
      <c r="T945">
        <v>0</v>
      </c>
      <c r="V945">
        <v>16</v>
      </c>
      <c r="W945">
        <v>42</v>
      </c>
      <c r="X945">
        <v>0</v>
      </c>
    </row>
    <row r="946" spans="1:24" x14ac:dyDescent="0.35">
      <c r="A946" t="s">
        <v>8</v>
      </c>
      <c r="B946" t="s">
        <v>9</v>
      </c>
      <c r="C946" t="str">
        <f t="shared" si="132"/>
        <v>11262</v>
      </c>
      <c r="D946" t="s">
        <v>15</v>
      </c>
      <c r="E946" t="str">
        <f t="shared" si="133"/>
        <v>21</v>
      </c>
      <c r="F946">
        <v>20401</v>
      </c>
      <c r="G946">
        <v>18599</v>
      </c>
      <c r="H946">
        <v>646</v>
      </c>
      <c r="I946" t="str">
        <f t="shared" si="130"/>
        <v>5</v>
      </c>
      <c r="J946" t="str">
        <f t="shared" si="131"/>
        <v>VLAAMS BELANG</v>
      </c>
      <c r="K946">
        <v>796</v>
      </c>
      <c r="L946">
        <v>2315</v>
      </c>
      <c r="M946">
        <v>3111</v>
      </c>
      <c r="N946">
        <v>2489</v>
      </c>
      <c r="O946">
        <v>4</v>
      </c>
      <c r="P946" t="str">
        <f>("14")</f>
        <v>14</v>
      </c>
      <c r="Q946" t="str">
        <f>("MERTENS Michael")</f>
        <v>MERTENS Michael</v>
      </c>
      <c r="R946">
        <v>64</v>
      </c>
      <c r="S946" t="s">
        <v>44</v>
      </c>
      <c r="T946">
        <v>0</v>
      </c>
      <c r="V946">
        <v>9</v>
      </c>
      <c r="W946">
        <v>64</v>
      </c>
      <c r="X946">
        <v>0</v>
      </c>
    </row>
    <row r="947" spans="1:24" x14ac:dyDescent="0.35">
      <c r="A947" t="s">
        <v>8</v>
      </c>
      <c r="B947" t="s">
        <v>9</v>
      </c>
      <c r="C947" t="str">
        <f t="shared" si="132"/>
        <v>11262</v>
      </c>
      <c r="D947" t="s">
        <v>15</v>
      </c>
      <c r="E947" t="str">
        <f t="shared" si="133"/>
        <v>21</v>
      </c>
      <c r="F947">
        <v>20401</v>
      </c>
      <c r="G947">
        <v>18599</v>
      </c>
      <c r="H947">
        <v>646</v>
      </c>
      <c r="I947" t="str">
        <f t="shared" si="130"/>
        <v>5</v>
      </c>
      <c r="J947" t="str">
        <f t="shared" si="131"/>
        <v>VLAAMS BELANG</v>
      </c>
      <c r="K947">
        <v>796</v>
      </c>
      <c r="L947">
        <v>2315</v>
      </c>
      <c r="M947">
        <v>3111</v>
      </c>
      <c r="N947">
        <v>2489</v>
      </c>
      <c r="O947">
        <v>4</v>
      </c>
      <c r="P947" t="str">
        <f>("15")</f>
        <v>15</v>
      </c>
      <c r="Q947" t="str">
        <f>("JORIS Sabine")</f>
        <v>JORIS Sabine</v>
      </c>
      <c r="R947">
        <v>68</v>
      </c>
      <c r="S947" t="s">
        <v>44</v>
      </c>
      <c r="T947">
        <v>0</v>
      </c>
      <c r="V947">
        <v>8</v>
      </c>
      <c r="W947">
        <v>68</v>
      </c>
      <c r="X947">
        <v>0</v>
      </c>
    </row>
    <row r="948" spans="1:24" x14ac:dyDescent="0.35">
      <c r="A948" t="s">
        <v>8</v>
      </c>
      <c r="B948" t="s">
        <v>9</v>
      </c>
      <c r="C948" t="str">
        <f t="shared" si="132"/>
        <v>11262</v>
      </c>
      <c r="D948" t="s">
        <v>15</v>
      </c>
      <c r="E948" t="str">
        <f t="shared" si="133"/>
        <v>21</v>
      </c>
      <c r="F948">
        <v>20401</v>
      </c>
      <c r="G948">
        <v>18599</v>
      </c>
      <c r="H948">
        <v>646</v>
      </c>
      <c r="I948" t="str">
        <f t="shared" si="130"/>
        <v>5</v>
      </c>
      <c r="J948" t="str">
        <f t="shared" si="131"/>
        <v>VLAAMS BELANG</v>
      </c>
      <c r="K948">
        <v>796</v>
      </c>
      <c r="L948">
        <v>2315</v>
      </c>
      <c r="M948">
        <v>3111</v>
      </c>
      <c r="N948">
        <v>2489</v>
      </c>
      <c r="O948">
        <v>4</v>
      </c>
      <c r="P948" t="str">
        <f>("16")</f>
        <v>16</v>
      </c>
      <c r="Q948" t="str">
        <f>("DE CALUWÉ Anny")</f>
        <v>DE CALUWÉ Anny</v>
      </c>
      <c r="R948">
        <v>49</v>
      </c>
      <c r="S948" t="s">
        <v>44</v>
      </c>
      <c r="T948">
        <v>0</v>
      </c>
      <c r="V948">
        <v>13</v>
      </c>
      <c r="W948">
        <v>49</v>
      </c>
      <c r="X948">
        <v>0</v>
      </c>
    </row>
    <row r="949" spans="1:24" x14ac:dyDescent="0.35">
      <c r="A949" t="s">
        <v>8</v>
      </c>
      <c r="B949" t="s">
        <v>9</v>
      </c>
      <c r="C949" t="str">
        <f t="shared" si="132"/>
        <v>11262</v>
      </c>
      <c r="D949" t="s">
        <v>15</v>
      </c>
      <c r="E949" t="str">
        <f t="shared" si="133"/>
        <v>21</v>
      </c>
      <c r="F949">
        <v>20401</v>
      </c>
      <c r="G949">
        <v>18599</v>
      </c>
      <c r="H949">
        <v>646</v>
      </c>
      <c r="I949" t="str">
        <f t="shared" si="130"/>
        <v>5</v>
      </c>
      <c r="J949" t="str">
        <f t="shared" si="131"/>
        <v>VLAAMS BELANG</v>
      </c>
      <c r="K949">
        <v>796</v>
      </c>
      <c r="L949">
        <v>2315</v>
      </c>
      <c r="M949">
        <v>3111</v>
      </c>
      <c r="N949">
        <v>2489</v>
      </c>
      <c r="O949">
        <v>4</v>
      </c>
      <c r="P949" t="str">
        <f>("17")</f>
        <v>17</v>
      </c>
      <c r="Q949" t="str">
        <f>("KONINCKX Pierre")</f>
        <v>KONINCKX Pierre</v>
      </c>
      <c r="R949">
        <v>43</v>
      </c>
      <c r="S949" t="s">
        <v>44</v>
      </c>
      <c r="T949">
        <v>0</v>
      </c>
      <c r="V949">
        <v>15</v>
      </c>
      <c r="W949">
        <v>43</v>
      </c>
      <c r="X949">
        <v>0</v>
      </c>
    </row>
    <row r="950" spans="1:24" x14ac:dyDescent="0.35">
      <c r="A950" t="s">
        <v>8</v>
      </c>
      <c r="B950" t="s">
        <v>9</v>
      </c>
      <c r="C950" t="str">
        <f t="shared" si="132"/>
        <v>11262</v>
      </c>
      <c r="D950" t="s">
        <v>15</v>
      </c>
      <c r="E950" t="str">
        <f t="shared" si="133"/>
        <v>21</v>
      </c>
      <c r="F950">
        <v>20401</v>
      </c>
      <c r="G950">
        <v>18599</v>
      </c>
      <c r="H950">
        <v>646</v>
      </c>
      <c r="I950" t="str">
        <f t="shared" si="130"/>
        <v>5</v>
      </c>
      <c r="J950" t="str">
        <f t="shared" si="131"/>
        <v>VLAAMS BELANG</v>
      </c>
      <c r="K950">
        <v>796</v>
      </c>
      <c r="L950">
        <v>2315</v>
      </c>
      <c r="M950">
        <v>3111</v>
      </c>
      <c r="N950">
        <v>2489</v>
      </c>
      <c r="O950">
        <v>4</v>
      </c>
      <c r="P950" t="str">
        <f>("18")</f>
        <v>18</v>
      </c>
      <c r="Q950" t="str">
        <f>("CEUSTERMANS Nancy")</f>
        <v>CEUSTERMANS Nancy</v>
      </c>
      <c r="R950">
        <v>53</v>
      </c>
      <c r="S950" t="s">
        <v>44</v>
      </c>
      <c r="T950">
        <v>0</v>
      </c>
      <c r="V950">
        <v>12</v>
      </c>
      <c r="W950">
        <v>53</v>
      </c>
      <c r="X950">
        <v>0</v>
      </c>
    </row>
    <row r="951" spans="1:24" x14ac:dyDescent="0.35">
      <c r="A951" t="s">
        <v>8</v>
      </c>
      <c r="B951" t="s">
        <v>9</v>
      </c>
      <c r="C951" t="str">
        <f t="shared" si="132"/>
        <v>11262</v>
      </c>
      <c r="D951" t="s">
        <v>15</v>
      </c>
      <c r="E951" t="str">
        <f t="shared" si="133"/>
        <v>21</v>
      </c>
      <c r="F951">
        <v>20401</v>
      </c>
      <c r="G951">
        <v>18599</v>
      </c>
      <c r="H951">
        <v>646</v>
      </c>
      <c r="I951" t="str">
        <f t="shared" si="130"/>
        <v>5</v>
      </c>
      <c r="J951" t="str">
        <f t="shared" si="131"/>
        <v>VLAAMS BELANG</v>
      </c>
      <c r="K951">
        <v>796</v>
      </c>
      <c r="L951">
        <v>2315</v>
      </c>
      <c r="M951">
        <v>3111</v>
      </c>
      <c r="N951">
        <v>2489</v>
      </c>
      <c r="O951">
        <v>4</v>
      </c>
      <c r="P951" t="str">
        <f>("19")</f>
        <v>19</v>
      </c>
      <c r="Q951" t="str">
        <f>("LUYCKX Chris")</f>
        <v>LUYCKX Chris</v>
      </c>
      <c r="R951">
        <v>73</v>
      </c>
      <c r="S951" t="s">
        <v>44</v>
      </c>
      <c r="T951">
        <v>0</v>
      </c>
      <c r="V951">
        <v>7</v>
      </c>
      <c r="W951">
        <v>73</v>
      </c>
      <c r="X951">
        <v>0</v>
      </c>
    </row>
    <row r="952" spans="1:24" x14ac:dyDescent="0.35">
      <c r="A952" t="s">
        <v>8</v>
      </c>
      <c r="B952" t="s">
        <v>9</v>
      </c>
      <c r="C952" t="str">
        <f t="shared" si="132"/>
        <v>11262</v>
      </c>
      <c r="D952" t="s">
        <v>15</v>
      </c>
      <c r="E952" t="str">
        <f t="shared" si="133"/>
        <v>21</v>
      </c>
      <c r="F952">
        <v>20401</v>
      </c>
      <c r="G952">
        <v>18599</v>
      </c>
      <c r="H952">
        <v>646</v>
      </c>
      <c r="I952" t="str">
        <f t="shared" si="130"/>
        <v>5</v>
      </c>
      <c r="J952" t="str">
        <f t="shared" si="131"/>
        <v>VLAAMS BELANG</v>
      </c>
      <c r="K952">
        <v>796</v>
      </c>
      <c r="L952">
        <v>2315</v>
      </c>
      <c r="M952">
        <v>3111</v>
      </c>
      <c r="N952">
        <v>2489</v>
      </c>
      <c r="O952">
        <v>4</v>
      </c>
      <c r="P952" t="str">
        <f>("20")</f>
        <v>20</v>
      </c>
      <c r="Q952" t="str">
        <f>("GEENS Freddy")</f>
        <v>GEENS Freddy</v>
      </c>
      <c r="R952">
        <v>110</v>
      </c>
      <c r="S952">
        <v>110</v>
      </c>
      <c r="T952">
        <v>0</v>
      </c>
      <c r="U952">
        <v>4</v>
      </c>
    </row>
    <row r="953" spans="1:24" x14ac:dyDescent="0.35">
      <c r="A953" t="s">
        <v>8</v>
      </c>
      <c r="B953" t="s">
        <v>9</v>
      </c>
      <c r="C953" t="str">
        <f t="shared" si="132"/>
        <v>11262</v>
      </c>
      <c r="D953" t="s">
        <v>15</v>
      </c>
      <c r="E953" t="str">
        <f t="shared" si="133"/>
        <v>21</v>
      </c>
      <c r="F953">
        <v>20401</v>
      </c>
      <c r="G953">
        <v>18599</v>
      </c>
      <c r="H953">
        <v>646</v>
      </c>
      <c r="I953" t="str">
        <f t="shared" si="130"/>
        <v>5</v>
      </c>
      <c r="J953" t="str">
        <f t="shared" si="131"/>
        <v>VLAAMS BELANG</v>
      </c>
      <c r="K953">
        <v>796</v>
      </c>
      <c r="L953">
        <v>2315</v>
      </c>
      <c r="M953">
        <v>3111</v>
      </c>
      <c r="N953">
        <v>2489</v>
      </c>
      <c r="O953">
        <v>4</v>
      </c>
      <c r="P953" t="str">
        <f>("21")</f>
        <v>21</v>
      </c>
      <c r="Q953" t="str">
        <f>("DEWINTER Filip")</f>
        <v>DEWINTER Filip</v>
      </c>
      <c r="R953">
        <v>1121</v>
      </c>
      <c r="S953">
        <v>1121</v>
      </c>
      <c r="T953">
        <v>0</v>
      </c>
      <c r="U953">
        <v>2</v>
      </c>
    </row>
    <row r="954" spans="1:24" x14ac:dyDescent="0.35">
      <c r="A954" t="s">
        <v>8</v>
      </c>
      <c r="B954" t="s">
        <v>9</v>
      </c>
      <c r="C954" t="str">
        <f t="shared" si="132"/>
        <v>11262</v>
      </c>
      <c r="D954" t="s">
        <v>15</v>
      </c>
      <c r="E954" t="str">
        <f t="shared" si="133"/>
        <v>21</v>
      </c>
      <c r="F954">
        <v>20401</v>
      </c>
      <c r="G954">
        <v>18599</v>
      </c>
      <c r="H954">
        <v>646</v>
      </c>
      <c r="I954" t="str">
        <f t="shared" ref="I954:I974" si="134">("6")</f>
        <v>6</v>
      </c>
      <c r="J954" t="str">
        <f t="shared" ref="J954:J974" si="135">("Open Vld")</f>
        <v>Open Vld</v>
      </c>
      <c r="K954">
        <v>428</v>
      </c>
      <c r="L954">
        <v>532</v>
      </c>
      <c r="M954">
        <v>960</v>
      </c>
      <c r="N954">
        <v>480</v>
      </c>
      <c r="O954">
        <v>1</v>
      </c>
      <c r="P954" t="str">
        <f>("1")</f>
        <v>1</v>
      </c>
      <c r="Q954" t="str">
        <f>("DE MAERE Mick")</f>
        <v>DE MAERE Mick</v>
      </c>
      <c r="R954">
        <v>193</v>
      </c>
      <c r="S954">
        <v>336</v>
      </c>
      <c r="T954">
        <v>0</v>
      </c>
      <c r="U954">
        <v>1</v>
      </c>
    </row>
    <row r="955" spans="1:24" x14ac:dyDescent="0.35">
      <c r="A955" t="s">
        <v>8</v>
      </c>
      <c r="B955" t="s">
        <v>9</v>
      </c>
      <c r="C955" t="str">
        <f t="shared" si="132"/>
        <v>11262</v>
      </c>
      <c r="D955" t="s">
        <v>15</v>
      </c>
      <c r="E955" t="str">
        <f t="shared" si="133"/>
        <v>21</v>
      </c>
      <c r="F955">
        <v>20401</v>
      </c>
      <c r="G955">
        <v>18599</v>
      </c>
      <c r="H955">
        <v>646</v>
      </c>
      <c r="I955" t="str">
        <f t="shared" si="134"/>
        <v>6</v>
      </c>
      <c r="J955" t="str">
        <f t="shared" si="135"/>
        <v>Open Vld</v>
      </c>
      <c r="K955">
        <v>428</v>
      </c>
      <c r="L955">
        <v>532</v>
      </c>
      <c r="M955">
        <v>960</v>
      </c>
      <c r="N955">
        <v>480</v>
      </c>
      <c r="O955">
        <v>1</v>
      </c>
      <c r="P955" t="str">
        <f>("2")</f>
        <v>2</v>
      </c>
      <c r="Q955" t="str">
        <f>("NAUWELAERTS Joëlle")</f>
        <v>NAUWELAERTS Joëlle</v>
      </c>
      <c r="R955">
        <v>77</v>
      </c>
      <c r="S955" t="s">
        <v>44</v>
      </c>
      <c r="T955">
        <v>0</v>
      </c>
      <c r="V955">
        <v>1</v>
      </c>
      <c r="W955">
        <v>220</v>
      </c>
      <c r="X955">
        <v>0</v>
      </c>
    </row>
    <row r="956" spans="1:24" x14ac:dyDescent="0.35">
      <c r="A956" t="s">
        <v>8</v>
      </c>
      <c r="B956" t="s">
        <v>9</v>
      </c>
      <c r="C956" t="str">
        <f t="shared" si="132"/>
        <v>11262</v>
      </c>
      <c r="D956" t="s">
        <v>15</v>
      </c>
      <c r="E956" t="str">
        <f t="shared" si="133"/>
        <v>21</v>
      </c>
      <c r="F956">
        <v>20401</v>
      </c>
      <c r="G956">
        <v>18599</v>
      </c>
      <c r="H956">
        <v>646</v>
      </c>
      <c r="I956" t="str">
        <f t="shared" si="134"/>
        <v>6</v>
      </c>
      <c r="J956" t="str">
        <f t="shared" si="135"/>
        <v>Open Vld</v>
      </c>
      <c r="K956">
        <v>428</v>
      </c>
      <c r="L956">
        <v>532</v>
      </c>
      <c r="M956">
        <v>960</v>
      </c>
      <c r="N956">
        <v>480</v>
      </c>
      <c r="O956">
        <v>1</v>
      </c>
      <c r="P956" t="str">
        <f>("3")</f>
        <v>3</v>
      </c>
      <c r="Q956" t="str">
        <f>("SCHRAUWEN Aimé")</f>
        <v>SCHRAUWEN Aimé</v>
      </c>
      <c r="R956">
        <v>113</v>
      </c>
      <c r="S956" t="s">
        <v>44</v>
      </c>
      <c r="T956">
        <v>0</v>
      </c>
      <c r="V956">
        <v>2</v>
      </c>
      <c r="W956">
        <v>113</v>
      </c>
      <c r="X956">
        <v>0</v>
      </c>
    </row>
    <row r="957" spans="1:24" x14ac:dyDescent="0.35">
      <c r="A957" t="s">
        <v>8</v>
      </c>
      <c r="B957" t="s">
        <v>9</v>
      </c>
      <c r="C957" t="str">
        <f t="shared" si="132"/>
        <v>11262</v>
      </c>
      <c r="D957" t="s">
        <v>15</v>
      </c>
      <c r="E957" t="str">
        <f t="shared" si="133"/>
        <v>21</v>
      </c>
      <c r="F957">
        <v>20401</v>
      </c>
      <c r="G957">
        <v>18599</v>
      </c>
      <c r="H957">
        <v>646</v>
      </c>
      <c r="I957" t="str">
        <f t="shared" si="134"/>
        <v>6</v>
      </c>
      <c r="J957" t="str">
        <f t="shared" si="135"/>
        <v>Open Vld</v>
      </c>
      <c r="K957">
        <v>428</v>
      </c>
      <c r="L957">
        <v>532</v>
      </c>
      <c r="M957">
        <v>960</v>
      </c>
      <c r="N957">
        <v>480</v>
      </c>
      <c r="O957">
        <v>1</v>
      </c>
      <c r="P957" t="str">
        <f>("4")</f>
        <v>4</v>
      </c>
      <c r="Q957" t="str">
        <f>("JANSSENS Tony")</f>
        <v>JANSSENS Tony</v>
      </c>
      <c r="R957">
        <v>31</v>
      </c>
      <c r="S957" t="s">
        <v>44</v>
      </c>
      <c r="T957">
        <v>0</v>
      </c>
      <c r="V957">
        <v>9</v>
      </c>
      <c r="W957">
        <v>31</v>
      </c>
      <c r="X957">
        <v>0</v>
      </c>
    </row>
    <row r="958" spans="1:24" x14ac:dyDescent="0.35">
      <c r="A958" t="s">
        <v>8</v>
      </c>
      <c r="B958" t="s">
        <v>9</v>
      </c>
      <c r="C958" t="str">
        <f t="shared" si="132"/>
        <v>11262</v>
      </c>
      <c r="D958" t="s">
        <v>15</v>
      </c>
      <c r="E958" t="str">
        <f t="shared" si="133"/>
        <v>21</v>
      </c>
      <c r="F958">
        <v>20401</v>
      </c>
      <c r="G958">
        <v>18599</v>
      </c>
      <c r="H958">
        <v>646</v>
      </c>
      <c r="I958" t="str">
        <f t="shared" si="134"/>
        <v>6</v>
      </c>
      <c r="J958" t="str">
        <f t="shared" si="135"/>
        <v>Open Vld</v>
      </c>
      <c r="K958">
        <v>428</v>
      </c>
      <c r="L958">
        <v>532</v>
      </c>
      <c r="M958">
        <v>960</v>
      </c>
      <c r="N958">
        <v>480</v>
      </c>
      <c r="O958">
        <v>1</v>
      </c>
      <c r="P958" t="str">
        <f>("5")</f>
        <v>5</v>
      </c>
      <c r="Q958" t="str">
        <f>("BRUYNINCKX Alexander")</f>
        <v>BRUYNINCKX Alexander</v>
      </c>
      <c r="R958">
        <v>31</v>
      </c>
      <c r="S958" t="s">
        <v>44</v>
      </c>
      <c r="T958">
        <v>0</v>
      </c>
      <c r="V958">
        <v>10</v>
      </c>
      <c r="W958">
        <v>31</v>
      </c>
      <c r="X958">
        <v>0</v>
      </c>
    </row>
    <row r="959" spans="1:24" x14ac:dyDescent="0.35">
      <c r="A959" t="s">
        <v>8</v>
      </c>
      <c r="B959" t="s">
        <v>9</v>
      </c>
      <c r="C959" t="str">
        <f t="shared" si="132"/>
        <v>11262</v>
      </c>
      <c r="D959" t="s">
        <v>15</v>
      </c>
      <c r="E959" t="str">
        <f t="shared" si="133"/>
        <v>21</v>
      </c>
      <c r="F959">
        <v>20401</v>
      </c>
      <c r="G959">
        <v>18599</v>
      </c>
      <c r="H959">
        <v>646</v>
      </c>
      <c r="I959" t="str">
        <f t="shared" si="134"/>
        <v>6</v>
      </c>
      <c r="J959" t="str">
        <f t="shared" si="135"/>
        <v>Open Vld</v>
      </c>
      <c r="K959">
        <v>428</v>
      </c>
      <c r="L959">
        <v>532</v>
      </c>
      <c r="M959">
        <v>960</v>
      </c>
      <c r="N959">
        <v>480</v>
      </c>
      <c r="O959">
        <v>1</v>
      </c>
      <c r="P959" t="str">
        <f>("6")</f>
        <v>6</v>
      </c>
      <c r="Q959" t="str">
        <f>("HEREMANS Sieglinde")</f>
        <v>HEREMANS Sieglinde</v>
      </c>
      <c r="R959">
        <v>33</v>
      </c>
      <c r="S959" t="s">
        <v>44</v>
      </c>
      <c r="T959">
        <v>0</v>
      </c>
      <c r="V959">
        <v>7</v>
      </c>
      <c r="W959">
        <v>33</v>
      </c>
      <c r="X959">
        <v>0</v>
      </c>
    </row>
    <row r="960" spans="1:24" x14ac:dyDescent="0.35">
      <c r="A960" t="s">
        <v>8</v>
      </c>
      <c r="B960" t="s">
        <v>9</v>
      </c>
      <c r="C960" t="str">
        <f t="shared" si="132"/>
        <v>11262</v>
      </c>
      <c r="D960" t="s">
        <v>15</v>
      </c>
      <c r="E960" t="str">
        <f t="shared" si="133"/>
        <v>21</v>
      </c>
      <c r="F960">
        <v>20401</v>
      </c>
      <c r="G960">
        <v>18599</v>
      </c>
      <c r="H960">
        <v>646</v>
      </c>
      <c r="I960" t="str">
        <f t="shared" si="134"/>
        <v>6</v>
      </c>
      <c r="J960" t="str">
        <f t="shared" si="135"/>
        <v>Open Vld</v>
      </c>
      <c r="K960">
        <v>428</v>
      </c>
      <c r="L960">
        <v>532</v>
      </c>
      <c r="M960">
        <v>960</v>
      </c>
      <c r="N960">
        <v>480</v>
      </c>
      <c r="O960">
        <v>1</v>
      </c>
      <c r="P960" t="str">
        <f>("7")</f>
        <v>7</v>
      </c>
      <c r="Q960" t="str">
        <f>("VAN ROEY Steyn")</f>
        <v>VAN ROEY Steyn</v>
      </c>
      <c r="R960">
        <v>18</v>
      </c>
      <c r="S960" t="s">
        <v>44</v>
      </c>
      <c r="T960">
        <v>0</v>
      </c>
      <c r="V960">
        <v>18</v>
      </c>
      <c r="W960">
        <v>18</v>
      </c>
      <c r="X960">
        <v>0</v>
      </c>
    </row>
    <row r="961" spans="1:24" x14ac:dyDescent="0.35">
      <c r="A961" t="s">
        <v>8</v>
      </c>
      <c r="B961" t="s">
        <v>9</v>
      </c>
      <c r="C961" t="str">
        <f t="shared" si="132"/>
        <v>11262</v>
      </c>
      <c r="D961" t="s">
        <v>15</v>
      </c>
      <c r="E961" t="str">
        <f t="shared" si="133"/>
        <v>21</v>
      </c>
      <c r="F961">
        <v>20401</v>
      </c>
      <c r="G961">
        <v>18599</v>
      </c>
      <c r="H961">
        <v>646</v>
      </c>
      <c r="I961" t="str">
        <f t="shared" si="134"/>
        <v>6</v>
      </c>
      <c r="J961" t="str">
        <f t="shared" si="135"/>
        <v>Open Vld</v>
      </c>
      <c r="K961">
        <v>428</v>
      </c>
      <c r="L961">
        <v>532</v>
      </c>
      <c r="M961">
        <v>960</v>
      </c>
      <c r="N961">
        <v>480</v>
      </c>
      <c r="O961">
        <v>1</v>
      </c>
      <c r="P961" t="str">
        <f>("8")</f>
        <v>8</v>
      </c>
      <c r="Q961" t="str">
        <f>("ÖKSÜZ Filiz")</f>
        <v>ÖKSÜZ Filiz</v>
      </c>
      <c r="R961">
        <v>39</v>
      </c>
      <c r="S961" t="s">
        <v>44</v>
      </c>
      <c r="T961">
        <v>0</v>
      </c>
      <c r="V961">
        <v>5</v>
      </c>
      <c r="W961">
        <v>39</v>
      </c>
      <c r="X961">
        <v>0</v>
      </c>
    </row>
    <row r="962" spans="1:24" x14ac:dyDescent="0.35">
      <c r="A962" t="s">
        <v>8</v>
      </c>
      <c r="B962" t="s">
        <v>9</v>
      </c>
      <c r="C962" t="str">
        <f t="shared" si="132"/>
        <v>11262</v>
      </c>
      <c r="D962" t="s">
        <v>15</v>
      </c>
      <c r="E962" t="str">
        <f t="shared" si="133"/>
        <v>21</v>
      </c>
      <c r="F962">
        <v>20401</v>
      </c>
      <c r="G962">
        <v>18599</v>
      </c>
      <c r="H962">
        <v>646</v>
      </c>
      <c r="I962" t="str">
        <f t="shared" si="134"/>
        <v>6</v>
      </c>
      <c r="J962" t="str">
        <f t="shared" si="135"/>
        <v>Open Vld</v>
      </c>
      <c r="K962">
        <v>428</v>
      </c>
      <c r="L962">
        <v>532</v>
      </c>
      <c r="M962">
        <v>960</v>
      </c>
      <c r="N962">
        <v>480</v>
      </c>
      <c r="O962">
        <v>1</v>
      </c>
      <c r="P962" t="str">
        <f>("9")</f>
        <v>9</v>
      </c>
      <c r="Q962" t="str">
        <f>("HOLEMANS Viviane")</f>
        <v>HOLEMANS Viviane</v>
      </c>
      <c r="R962">
        <v>30</v>
      </c>
      <c r="S962" t="s">
        <v>44</v>
      </c>
      <c r="T962">
        <v>0</v>
      </c>
      <c r="V962">
        <v>11</v>
      </c>
      <c r="W962">
        <v>30</v>
      </c>
      <c r="X962">
        <v>0</v>
      </c>
    </row>
    <row r="963" spans="1:24" x14ac:dyDescent="0.35">
      <c r="A963" t="s">
        <v>8</v>
      </c>
      <c r="B963" t="s">
        <v>9</v>
      </c>
      <c r="C963" t="str">
        <f t="shared" si="132"/>
        <v>11262</v>
      </c>
      <c r="D963" t="s">
        <v>15</v>
      </c>
      <c r="E963" t="str">
        <f t="shared" si="133"/>
        <v>21</v>
      </c>
      <c r="F963">
        <v>20401</v>
      </c>
      <c r="G963">
        <v>18599</v>
      </c>
      <c r="H963">
        <v>646</v>
      </c>
      <c r="I963" t="str">
        <f t="shared" si="134"/>
        <v>6</v>
      </c>
      <c r="J963" t="str">
        <f t="shared" si="135"/>
        <v>Open Vld</v>
      </c>
      <c r="K963">
        <v>428</v>
      </c>
      <c r="L963">
        <v>532</v>
      </c>
      <c r="M963">
        <v>960</v>
      </c>
      <c r="N963">
        <v>480</v>
      </c>
      <c r="O963">
        <v>1</v>
      </c>
      <c r="P963" t="str">
        <f>("10")</f>
        <v>10</v>
      </c>
      <c r="Q963" t="str">
        <f>("VERDONCK Kimberly")</f>
        <v>VERDONCK Kimberly</v>
      </c>
      <c r="R963">
        <v>30</v>
      </c>
      <c r="S963" t="s">
        <v>44</v>
      </c>
      <c r="T963">
        <v>0</v>
      </c>
      <c r="V963">
        <v>12</v>
      </c>
      <c r="W963">
        <v>30</v>
      </c>
      <c r="X963">
        <v>0</v>
      </c>
    </row>
    <row r="964" spans="1:24" x14ac:dyDescent="0.35">
      <c r="A964" t="s">
        <v>8</v>
      </c>
      <c r="B964" t="s">
        <v>9</v>
      </c>
      <c r="C964" t="str">
        <f t="shared" si="132"/>
        <v>11262</v>
      </c>
      <c r="D964" t="s">
        <v>15</v>
      </c>
      <c r="E964" t="str">
        <f t="shared" si="133"/>
        <v>21</v>
      </c>
      <c r="F964">
        <v>20401</v>
      </c>
      <c r="G964">
        <v>18599</v>
      </c>
      <c r="H964">
        <v>646</v>
      </c>
      <c r="I964" t="str">
        <f t="shared" si="134"/>
        <v>6</v>
      </c>
      <c r="J964" t="str">
        <f t="shared" si="135"/>
        <v>Open Vld</v>
      </c>
      <c r="K964">
        <v>428</v>
      </c>
      <c r="L964">
        <v>532</v>
      </c>
      <c r="M964">
        <v>960</v>
      </c>
      <c r="N964">
        <v>480</v>
      </c>
      <c r="O964">
        <v>1</v>
      </c>
      <c r="P964" t="str">
        <f>("11")</f>
        <v>11</v>
      </c>
      <c r="Q964" t="str">
        <f>("VAN DAELE Bart")</f>
        <v>VAN DAELE Bart</v>
      </c>
      <c r="R964">
        <v>28</v>
      </c>
      <c r="S964" t="s">
        <v>44</v>
      </c>
      <c r="T964">
        <v>0</v>
      </c>
      <c r="V964">
        <v>15</v>
      </c>
      <c r="W964">
        <v>28</v>
      </c>
      <c r="X964">
        <v>0</v>
      </c>
    </row>
    <row r="965" spans="1:24" x14ac:dyDescent="0.35">
      <c r="A965" t="s">
        <v>8</v>
      </c>
      <c r="B965" t="s">
        <v>9</v>
      </c>
      <c r="C965" t="str">
        <f t="shared" si="132"/>
        <v>11262</v>
      </c>
      <c r="D965" t="s">
        <v>15</v>
      </c>
      <c r="E965" t="str">
        <f t="shared" si="133"/>
        <v>21</v>
      </c>
      <c r="F965">
        <v>20401</v>
      </c>
      <c r="G965">
        <v>18599</v>
      </c>
      <c r="H965">
        <v>646</v>
      </c>
      <c r="I965" t="str">
        <f t="shared" si="134"/>
        <v>6</v>
      </c>
      <c r="J965" t="str">
        <f t="shared" si="135"/>
        <v>Open Vld</v>
      </c>
      <c r="K965">
        <v>428</v>
      </c>
      <c r="L965">
        <v>532</v>
      </c>
      <c r="M965">
        <v>960</v>
      </c>
      <c r="N965">
        <v>480</v>
      </c>
      <c r="O965">
        <v>1</v>
      </c>
      <c r="P965" t="str">
        <f>("12")</f>
        <v>12</v>
      </c>
      <c r="Q965" t="str">
        <f>("MORES Benoit")</f>
        <v>MORES Benoit</v>
      </c>
      <c r="R965">
        <v>17</v>
      </c>
      <c r="S965" t="s">
        <v>44</v>
      </c>
      <c r="T965">
        <v>0</v>
      </c>
      <c r="V965">
        <v>20</v>
      </c>
      <c r="W965">
        <v>17</v>
      </c>
      <c r="X965">
        <v>0</v>
      </c>
    </row>
    <row r="966" spans="1:24" x14ac:dyDescent="0.35">
      <c r="A966" t="s">
        <v>8</v>
      </c>
      <c r="B966" t="s">
        <v>9</v>
      </c>
      <c r="C966" t="str">
        <f t="shared" si="132"/>
        <v>11262</v>
      </c>
      <c r="D966" t="s">
        <v>15</v>
      </c>
      <c r="E966" t="str">
        <f t="shared" si="133"/>
        <v>21</v>
      </c>
      <c r="F966">
        <v>20401</v>
      </c>
      <c r="G966">
        <v>18599</v>
      </c>
      <c r="H966">
        <v>646</v>
      </c>
      <c r="I966" t="str">
        <f t="shared" si="134"/>
        <v>6</v>
      </c>
      <c r="J966" t="str">
        <f t="shared" si="135"/>
        <v>Open Vld</v>
      </c>
      <c r="K966">
        <v>428</v>
      </c>
      <c r="L966">
        <v>532</v>
      </c>
      <c r="M966">
        <v>960</v>
      </c>
      <c r="N966">
        <v>480</v>
      </c>
      <c r="O966">
        <v>1</v>
      </c>
      <c r="P966" t="str">
        <f>("13")</f>
        <v>13</v>
      </c>
      <c r="Q966" t="str">
        <f>("BERVOETS Martine")</f>
        <v>BERVOETS Martine</v>
      </c>
      <c r="R966">
        <v>41</v>
      </c>
      <c r="S966" t="s">
        <v>44</v>
      </c>
      <c r="T966">
        <v>0</v>
      </c>
      <c r="V966">
        <v>4</v>
      </c>
      <c r="W966">
        <v>41</v>
      </c>
      <c r="X966">
        <v>0</v>
      </c>
    </row>
    <row r="967" spans="1:24" x14ac:dyDescent="0.35">
      <c r="A967" t="s">
        <v>8</v>
      </c>
      <c r="B967" t="s">
        <v>9</v>
      </c>
      <c r="C967" t="str">
        <f t="shared" si="132"/>
        <v>11262</v>
      </c>
      <c r="D967" t="s">
        <v>15</v>
      </c>
      <c r="E967" t="str">
        <f t="shared" si="133"/>
        <v>21</v>
      </c>
      <c r="F967">
        <v>20401</v>
      </c>
      <c r="G967">
        <v>18599</v>
      </c>
      <c r="H967">
        <v>646</v>
      </c>
      <c r="I967" t="str">
        <f t="shared" si="134"/>
        <v>6</v>
      </c>
      <c r="J967" t="str">
        <f t="shared" si="135"/>
        <v>Open Vld</v>
      </c>
      <c r="K967">
        <v>428</v>
      </c>
      <c r="L967">
        <v>532</v>
      </c>
      <c r="M967">
        <v>960</v>
      </c>
      <c r="N967">
        <v>480</v>
      </c>
      <c r="O967">
        <v>1</v>
      </c>
      <c r="P967" t="str">
        <f>("14")</f>
        <v>14</v>
      </c>
      <c r="Q967" t="str">
        <f>("ELST Cédric")</f>
        <v>ELST Cédric</v>
      </c>
      <c r="R967">
        <v>18</v>
      </c>
      <c r="S967" t="s">
        <v>44</v>
      </c>
      <c r="T967">
        <v>0</v>
      </c>
      <c r="V967">
        <v>19</v>
      </c>
      <c r="W967">
        <v>18</v>
      </c>
      <c r="X967">
        <v>0</v>
      </c>
    </row>
    <row r="968" spans="1:24" x14ac:dyDescent="0.35">
      <c r="A968" t="s">
        <v>8</v>
      </c>
      <c r="B968" t="s">
        <v>9</v>
      </c>
      <c r="C968" t="str">
        <f t="shared" si="132"/>
        <v>11262</v>
      </c>
      <c r="D968" t="s">
        <v>15</v>
      </c>
      <c r="E968" t="str">
        <f t="shared" si="133"/>
        <v>21</v>
      </c>
      <c r="F968">
        <v>20401</v>
      </c>
      <c r="G968">
        <v>18599</v>
      </c>
      <c r="H968">
        <v>646</v>
      </c>
      <c r="I968" t="str">
        <f t="shared" si="134"/>
        <v>6</v>
      </c>
      <c r="J968" t="str">
        <f t="shared" si="135"/>
        <v>Open Vld</v>
      </c>
      <c r="K968">
        <v>428</v>
      </c>
      <c r="L968">
        <v>532</v>
      </c>
      <c r="M968">
        <v>960</v>
      </c>
      <c r="N968">
        <v>480</v>
      </c>
      <c r="O968">
        <v>1</v>
      </c>
      <c r="P968" t="str">
        <f>("15")</f>
        <v>15</v>
      </c>
      <c r="Q968" t="str">
        <f>("PLAS Liesbeth")</f>
        <v>PLAS Liesbeth</v>
      </c>
      <c r="R968">
        <v>39</v>
      </c>
      <c r="S968" t="s">
        <v>44</v>
      </c>
      <c r="T968">
        <v>0</v>
      </c>
      <c r="V968">
        <v>6</v>
      </c>
      <c r="W968">
        <v>39</v>
      </c>
      <c r="X968">
        <v>0</v>
      </c>
    </row>
    <row r="969" spans="1:24" x14ac:dyDescent="0.35">
      <c r="A969" t="s">
        <v>8</v>
      </c>
      <c r="B969" t="s">
        <v>9</v>
      </c>
      <c r="C969" t="str">
        <f t="shared" si="132"/>
        <v>11262</v>
      </c>
      <c r="D969" t="s">
        <v>15</v>
      </c>
      <c r="E969" t="str">
        <f t="shared" si="133"/>
        <v>21</v>
      </c>
      <c r="F969">
        <v>20401</v>
      </c>
      <c r="G969">
        <v>18599</v>
      </c>
      <c r="H969">
        <v>646</v>
      </c>
      <c r="I969" t="str">
        <f t="shared" si="134"/>
        <v>6</v>
      </c>
      <c r="J969" t="str">
        <f t="shared" si="135"/>
        <v>Open Vld</v>
      </c>
      <c r="K969">
        <v>428</v>
      </c>
      <c r="L969">
        <v>532</v>
      </c>
      <c r="M969">
        <v>960</v>
      </c>
      <c r="N969">
        <v>480</v>
      </c>
      <c r="O969">
        <v>1</v>
      </c>
      <c r="P969" t="str">
        <f>("16")</f>
        <v>16</v>
      </c>
      <c r="Q969" t="str">
        <f>("HEYLIGEN Helga")</f>
        <v>HEYLIGEN Helga</v>
      </c>
      <c r="R969">
        <v>26</v>
      </c>
      <c r="S969" t="s">
        <v>44</v>
      </c>
      <c r="T969">
        <v>0</v>
      </c>
      <c r="V969">
        <v>16</v>
      </c>
      <c r="W969">
        <v>26</v>
      </c>
      <c r="X969">
        <v>0</v>
      </c>
    </row>
    <row r="970" spans="1:24" x14ac:dyDescent="0.35">
      <c r="A970" t="s">
        <v>8</v>
      </c>
      <c r="B970" t="s">
        <v>9</v>
      </c>
      <c r="C970" t="str">
        <f t="shared" si="132"/>
        <v>11262</v>
      </c>
      <c r="D970" t="s">
        <v>15</v>
      </c>
      <c r="E970" t="str">
        <f t="shared" si="133"/>
        <v>21</v>
      </c>
      <c r="F970">
        <v>20401</v>
      </c>
      <c r="G970">
        <v>18599</v>
      </c>
      <c r="H970">
        <v>646</v>
      </c>
      <c r="I970" t="str">
        <f t="shared" si="134"/>
        <v>6</v>
      </c>
      <c r="J970" t="str">
        <f t="shared" si="135"/>
        <v>Open Vld</v>
      </c>
      <c r="K970">
        <v>428</v>
      </c>
      <c r="L970">
        <v>532</v>
      </c>
      <c r="M970">
        <v>960</v>
      </c>
      <c r="N970">
        <v>480</v>
      </c>
      <c r="O970">
        <v>1</v>
      </c>
      <c r="P970" t="str">
        <f>("17")</f>
        <v>17</v>
      </c>
      <c r="Q970" t="str">
        <f>("VAN DAELE Chadia")</f>
        <v>VAN DAELE Chadia</v>
      </c>
      <c r="R970">
        <v>32</v>
      </c>
      <c r="S970" t="s">
        <v>44</v>
      </c>
      <c r="T970">
        <v>0</v>
      </c>
      <c r="V970">
        <v>8</v>
      </c>
      <c r="W970">
        <v>32</v>
      </c>
      <c r="X970">
        <v>0</v>
      </c>
    </row>
    <row r="971" spans="1:24" x14ac:dyDescent="0.35">
      <c r="A971" t="s">
        <v>8</v>
      </c>
      <c r="B971" t="s">
        <v>9</v>
      </c>
      <c r="C971" t="str">
        <f t="shared" si="132"/>
        <v>11262</v>
      </c>
      <c r="D971" t="s">
        <v>15</v>
      </c>
      <c r="E971" t="str">
        <f t="shared" si="133"/>
        <v>21</v>
      </c>
      <c r="F971">
        <v>20401</v>
      </c>
      <c r="G971">
        <v>18599</v>
      </c>
      <c r="H971">
        <v>646</v>
      </c>
      <c r="I971" t="str">
        <f t="shared" si="134"/>
        <v>6</v>
      </c>
      <c r="J971" t="str">
        <f t="shared" si="135"/>
        <v>Open Vld</v>
      </c>
      <c r="K971">
        <v>428</v>
      </c>
      <c r="L971">
        <v>532</v>
      </c>
      <c r="M971">
        <v>960</v>
      </c>
      <c r="N971">
        <v>480</v>
      </c>
      <c r="O971">
        <v>1</v>
      </c>
      <c r="P971" t="str">
        <f>("18")</f>
        <v>18</v>
      </c>
      <c r="Q971" t="str">
        <f>("CORENS Stefanie")</f>
        <v>CORENS Stefanie</v>
      </c>
      <c r="R971">
        <v>30</v>
      </c>
      <c r="S971" t="s">
        <v>44</v>
      </c>
      <c r="T971">
        <v>0</v>
      </c>
      <c r="V971">
        <v>13</v>
      </c>
      <c r="W971">
        <v>30</v>
      </c>
      <c r="X971">
        <v>0</v>
      </c>
    </row>
    <row r="972" spans="1:24" x14ac:dyDescent="0.35">
      <c r="A972" t="s">
        <v>8</v>
      </c>
      <c r="B972" t="s">
        <v>9</v>
      </c>
      <c r="C972" t="str">
        <f t="shared" si="132"/>
        <v>11262</v>
      </c>
      <c r="D972" t="s">
        <v>15</v>
      </c>
      <c r="E972" t="str">
        <f t="shared" si="133"/>
        <v>21</v>
      </c>
      <c r="F972">
        <v>20401</v>
      </c>
      <c r="G972">
        <v>18599</v>
      </c>
      <c r="H972">
        <v>646</v>
      </c>
      <c r="I972" t="str">
        <f t="shared" si="134"/>
        <v>6</v>
      </c>
      <c r="J972" t="str">
        <f t="shared" si="135"/>
        <v>Open Vld</v>
      </c>
      <c r="K972">
        <v>428</v>
      </c>
      <c r="L972">
        <v>532</v>
      </c>
      <c r="M972">
        <v>960</v>
      </c>
      <c r="N972">
        <v>480</v>
      </c>
      <c r="O972">
        <v>1</v>
      </c>
      <c r="P972" t="str">
        <f>("19")</f>
        <v>19</v>
      </c>
      <c r="Q972" t="str">
        <f>("VAN DEN BROECK Frank")</f>
        <v>VAN DEN BROECK Frank</v>
      </c>
      <c r="R972">
        <v>19</v>
      </c>
      <c r="S972" t="s">
        <v>44</v>
      </c>
      <c r="T972">
        <v>0</v>
      </c>
      <c r="V972">
        <v>17</v>
      </c>
      <c r="W972">
        <v>19</v>
      </c>
      <c r="X972">
        <v>0</v>
      </c>
    </row>
    <row r="973" spans="1:24" x14ac:dyDescent="0.35">
      <c r="A973" t="s">
        <v>8</v>
      </c>
      <c r="B973" t="s">
        <v>9</v>
      </c>
      <c r="C973" t="str">
        <f t="shared" si="132"/>
        <v>11262</v>
      </c>
      <c r="D973" t="s">
        <v>15</v>
      </c>
      <c r="E973" t="str">
        <f t="shared" si="133"/>
        <v>21</v>
      </c>
      <c r="F973">
        <v>20401</v>
      </c>
      <c r="G973">
        <v>18599</v>
      </c>
      <c r="H973">
        <v>646</v>
      </c>
      <c r="I973" t="str">
        <f t="shared" si="134"/>
        <v>6</v>
      </c>
      <c r="J973" t="str">
        <f t="shared" si="135"/>
        <v>Open Vld</v>
      </c>
      <c r="K973">
        <v>428</v>
      </c>
      <c r="L973">
        <v>532</v>
      </c>
      <c r="M973">
        <v>960</v>
      </c>
      <c r="N973">
        <v>480</v>
      </c>
      <c r="O973">
        <v>1</v>
      </c>
      <c r="P973" t="str">
        <f>("20")</f>
        <v>20</v>
      </c>
      <c r="Q973" t="str">
        <f>("RAUTER Tilla")</f>
        <v>RAUTER Tilla</v>
      </c>
      <c r="R973">
        <v>30</v>
      </c>
      <c r="S973" t="s">
        <v>44</v>
      </c>
      <c r="T973">
        <v>0</v>
      </c>
      <c r="V973">
        <v>14</v>
      </c>
      <c r="W973">
        <v>30</v>
      </c>
      <c r="X973">
        <v>0</v>
      </c>
    </row>
    <row r="974" spans="1:24" x14ac:dyDescent="0.35">
      <c r="A974" t="s">
        <v>8</v>
      </c>
      <c r="B974" t="s">
        <v>9</v>
      </c>
      <c r="C974" t="str">
        <f t="shared" si="132"/>
        <v>11262</v>
      </c>
      <c r="D974" t="s">
        <v>15</v>
      </c>
      <c r="E974" t="str">
        <f t="shared" si="133"/>
        <v>21</v>
      </c>
      <c r="F974">
        <v>20401</v>
      </c>
      <c r="G974">
        <v>18599</v>
      </c>
      <c r="H974">
        <v>646</v>
      </c>
      <c r="I974" t="str">
        <f t="shared" si="134"/>
        <v>6</v>
      </c>
      <c r="J974" t="str">
        <f t="shared" si="135"/>
        <v>Open Vld</v>
      </c>
      <c r="K974">
        <v>428</v>
      </c>
      <c r="L974">
        <v>532</v>
      </c>
      <c r="M974">
        <v>960</v>
      </c>
      <c r="N974">
        <v>480</v>
      </c>
      <c r="O974">
        <v>1</v>
      </c>
      <c r="P974" t="str">
        <f>("21")</f>
        <v>21</v>
      </c>
      <c r="Q974" t="str">
        <f>("BRUYNINCKX Pol")</f>
        <v>BRUYNINCKX Pol</v>
      </c>
      <c r="R974">
        <v>66</v>
      </c>
      <c r="S974" t="s">
        <v>44</v>
      </c>
      <c r="T974">
        <v>0</v>
      </c>
      <c r="V974">
        <v>3</v>
      </c>
      <c r="W974">
        <v>66</v>
      </c>
      <c r="X974">
        <v>0</v>
      </c>
    </row>
    <row r="975" spans="1:24" x14ac:dyDescent="0.35">
      <c r="A975" t="s">
        <v>8</v>
      </c>
      <c r="B975" t="s">
        <v>9</v>
      </c>
      <c r="C975" t="str">
        <f t="shared" si="132"/>
        <v>11262</v>
      </c>
      <c r="D975" t="s">
        <v>15</v>
      </c>
      <c r="E975" t="str">
        <f t="shared" si="133"/>
        <v>21</v>
      </c>
      <c r="F975">
        <v>20401</v>
      </c>
      <c r="G975">
        <v>18599</v>
      </c>
      <c r="H975">
        <v>646</v>
      </c>
      <c r="I975" t="str">
        <f t="shared" ref="I975:I981" si="136">("7")</f>
        <v>7</v>
      </c>
      <c r="J975" t="str">
        <f t="shared" ref="J975:J981" si="137">("PVDA")</f>
        <v>PVDA</v>
      </c>
      <c r="K975">
        <v>287</v>
      </c>
      <c r="L975">
        <v>482</v>
      </c>
      <c r="M975">
        <v>769</v>
      </c>
      <c r="N975">
        <v>385</v>
      </c>
      <c r="O975">
        <v>1</v>
      </c>
      <c r="P975" t="str">
        <f>("1")</f>
        <v>1</v>
      </c>
      <c r="Q975" t="str">
        <f>("DE KERF Werner")</f>
        <v>DE KERF Werner</v>
      </c>
      <c r="R975">
        <v>194</v>
      </c>
      <c r="S975">
        <v>290</v>
      </c>
      <c r="T975">
        <v>0</v>
      </c>
      <c r="U975">
        <v>1</v>
      </c>
    </row>
    <row r="976" spans="1:24" x14ac:dyDescent="0.35">
      <c r="A976" t="s">
        <v>8</v>
      </c>
      <c r="B976" t="s">
        <v>9</v>
      </c>
      <c r="C976" t="str">
        <f t="shared" si="132"/>
        <v>11262</v>
      </c>
      <c r="D976" t="s">
        <v>15</v>
      </c>
      <c r="E976" t="str">
        <f t="shared" si="133"/>
        <v>21</v>
      </c>
      <c r="F976">
        <v>20401</v>
      </c>
      <c r="G976">
        <v>18599</v>
      </c>
      <c r="H976">
        <v>646</v>
      </c>
      <c r="I976" t="str">
        <f t="shared" si="136"/>
        <v>7</v>
      </c>
      <c r="J976" t="str">
        <f t="shared" si="137"/>
        <v>PVDA</v>
      </c>
      <c r="K976">
        <v>287</v>
      </c>
      <c r="L976">
        <v>482</v>
      </c>
      <c r="M976">
        <v>769</v>
      </c>
      <c r="N976">
        <v>385</v>
      </c>
      <c r="O976">
        <v>1</v>
      </c>
      <c r="P976" t="str">
        <f>("2")</f>
        <v>2</v>
      </c>
      <c r="Q976" t="str">
        <f>("DEPREZ Tanja")</f>
        <v>DEPREZ Tanja</v>
      </c>
      <c r="R976">
        <v>125</v>
      </c>
      <c r="S976" t="s">
        <v>44</v>
      </c>
      <c r="T976">
        <v>0</v>
      </c>
      <c r="V976">
        <v>1</v>
      </c>
      <c r="W976">
        <v>221</v>
      </c>
      <c r="X976">
        <v>0</v>
      </c>
    </row>
    <row r="977" spans="1:24" x14ac:dyDescent="0.35">
      <c r="A977" t="s">
        <v>8</v>
      </c>
      <c r="B977" t="s">
        <v>9</v>
      </c>
      <c r="C977" t="str">
        <f t="shared" si="132"/>
        <v>11262</v>
      </c>
      <c r="D977" t="s">
        <v>15</v>
      </c>
      <c r="E977" t="str">
        <f t="shared" si="133"/>
        <v>21</v>
      </c>
      <c r="F977">
        <v>20401</v>
      </c>
      <c r="G977">
        <v>18599</v>
      </c>
      <c r="H977">
        <v>646</v>
      </c>
      <c r="I977" t="str">
        <f t="shared" si="136"/>
        <v>7</v>
      </c>
      <c r="J977" t="str">
        <f t="shared" si="137"/>
        <v>PVDA</v>
      </c>
      <c r="K977">
        <v>287</v>
      </c>
      <c r="L977">
        <v>482</v>
      </c>
      <c r="M977">
        <v>769</v>
      </c>
      <c r="N977">
        <v>385</v>
      </c>
      <c r="O977">
        <v>1</v>
      </c>
      <c r="P977" t="str">
        <f>("3")</f>
        <v>3</v>
      </c>
      <c r="Q977" t="str">
        <f>("VAN DER LINDEN Gerwin")</f>
        <v>VAN DER LINDEN Gerwin</v>
      </c>
      <c r="R977">
        <v>45</v>
      </c>
      <c r="S977" t="s">
        <v>44</v>
      </c>
      <c r="T977">
        <v>0</v>
      </c>
      <c r="V977">
        <v>5</v>
      </c>
      <c r="W977">
        <v>45</v>
      </c>
      <c r="X977">
        <v>0</v>
      </c>
    </row>
    <row r="978" spans="1:24" x14ac:dyDescent="0.35">
      <c r="A978" t="s">
        <v>8</v>
      </c>
      <c r="B978" t="s">
        <v>9</v>
      </c>
      <c r="C978" t="str">
        <f t="shared" si="132"/>
        <v>11262</v>
      </c>
      <c r="D978" t="s">
        <v>15</v>
      </c>
      <c r="E978" t="str">
        <f t="shared" si="133"/>
        <v>21</v>
      </c>
      <c r="F978">
        <v>20401</v>
      </c>
      <c r="G978">
        <v>18599</v>
      </c>
      <c r="H978">
        <v>646</v>
      </c>
      <c r="I978" t="str">
        <f t="shared" si="136"/>
        <v>7</v>
      </c>
      <c r="J978" t="str">
        <f t="shared" si="137"/>
        <v>PVDA</v>
      </c>
      <c r="K978">
        <v>287</v>
      </c>
      <c r="L978">
        <v>482</v>
      </c>
      <c r="M978">
        <v>769</v>
      </c>
      <c r="N978">
        <v>385</v>
      </c>
      <c r="O978">
        <v>1</v>
      </c>
      <c r="P978" t="str">
        <f>("4")</f>
        <v>4</v>
      </c>
      <c r="Q978" t="str">
        <f>("STAES Hanne")</f>
        <v>STAES Hanne</v>
      </c>
      <c r="R978">
        <v>80</v>
      </c>
      <c r="S978" t="s">
        <v>44</v>
      </c>
      <c r="T978">
        <v>0</v>
      </c>
      <c r="V978">
        <v>3</v>
      </c>
      <c r="W978">
        <v>80</v>
      </c>
      <c r="X978">
        <v>0</v>
      </c>
    </row>
    <row r="979" spans="1:24" x14ac:dyDescent="0.35">
      <c r="A979" t="s">
        <v>8</v>
      </c>
      <c r="B979" t="s">
        <v>9</v>
      </c>
      <c r="C979" t="str">
        <f t="shared" si="132"/>
        <v>11262</v>
      </c>
      <c r="D979" t="s">
        <v>15</v>
      </c>
      <c r="E979" t="str">
        <f t="shared" si="133"/>
        <v>21</v>
      </c>
      <c r="F979">
        <v>20401</v>
      </c>
      <c r="G979">
        <v>18599</v>
      </c>
      <c r="H979">
        <v>646</v>
      </c>
      <c r="I979" t="str">
        <f t="shared" si="136"/>
        <v>7</v>
      </c>
      <c r="J979" t="str">
        <f t="shared" si="137"/>
        <v>PVDA</v>
      </c>
      <c r="K979">
        <v>287</v>
      </c>
      <c r="L979">
        <v>482</v>
      </c>
      <c r="M979">
        <v>769</v>
      </c>
      <c r="N979">
        <v>385</v>
      </c>
      <c r="O979">
        <v>1</v>
      </c>
      <c r="P979" t="str">
        <f>("5")</f>
        <v>5</v>
      </c>
      <c r="Q979" t="str">
        <f>("ROEBBEN Marnicq")</f>
        <v>ROEBBEN Marnicq</v>
      </c>
      <c r="R979">
        <v>42</v>
      </c>
      <c r="S979" t="s">
        <v>44</v>
      </c>
      <c r="T979">
        <v>0</v>
      </c>
      <c r="V979">
        <v>6</v>
      </c>
      <c r="W979">
        <v>42</v>
      </c>
      <c r="X979">
        <v>0</v>
      </c>
    </row>
    <row r="980" spans="1:24" x14ac:dyDescent="0.35">
      <c r="A980" t="s">
        <v>8</v>
      </c>
      <c r="B980" t="s">
        <v>9</v>
      </c>
      <c r="C980" t="str">
        <f t="shared" si="132"/>
        <v>11262</v>
      </c>
      <c r="D980" t="s">
        <v>15</v>
      </c>
      <c r="E980" t="str">
        <f t="shared" si="133"/>
        <v>21</v>
      </c>
      <c r="F980">
        <v>20401</v>
      </c>
      <c r="G980">
        <v>18599</v>
      </c>
      <c r="H980">
        <v>646</v>
      </c>
      <c r="I980" t="str">
        <f t="shared" si="136"/>
        <v>7</v>
      </c>
      <c r="J980" t="str">
        <f t="shared" si="137"/>
        <v>PVDA</v>
      </c>
      <c r="K980">
        <v>287</v>
      </c>
      <c r="L980">
        <v>482</v>
      </c>
      <c r="M980">
        <v>769</v>
      </c>
      <c r="N980">
        <v>385</v>
      </c>
      <c r="O980">
        <v>1</v>
      </c>
      <c r="P980" t="str">
        <f>("6")</f>
        <v>6</v>
      </c>
      <c r="Q980" t="str">
        <f>("VAN WYK Viviane")</f>
        <v>VAN WYK Viviane</v>
      </c>
      <c r="R980">
        <v>46</v>
      </c>
      <c r="S980" t="s">
        <v>44</v>
      </c>
      <c r="T980">
        <v>0</v>
      </c>
      <c r="V980">
        <v>4</v>
      </c>
      <c r="W980">
        <v>46</v>
      </c>
      <c r="X980">
        <v>0</v>
      </c>
    </row>
    <row r="981" spans="1:24" x14ac:dyDescent="0.35">
      <c r="A981" t="s">
        <v>8</v>
      </c>
      <c r="B981" t="s">
        <v>9</v>
      </c>
      <c r="C981" t="str">
        <f t="shared" si="132"/>
        <v>11262</v>
      </c>
      <c r="D981" t="s">
        <v>15</v>
      </c>
      <c r="E981" t="str">
        <f t="shared" si="133"/>
        <v>21</v>
      </c>
      <c r="F981">
        <v>20401</v>
      </c>
      <c r="G981">
        <v>18599</v>
      </c>
      <c r="H981">
        <v>646</v>
      </c>
      <c r="I981" t="str">
        <f t="shared" si="136"/>
        <v>7</v>
      </c>
      <c r="J981" t="str">
        <f t="shared" si="137"/>
        <v>PVDA</v>
      </c>
      <c r="K981">
        <v>287</v>
      </c>
      <c r="L981">
        <v>482</v>
      </c>
      <c r="M981">
        <v>769</v>
      </c>
      <c r="N981">
        <v>385</v>
      </c>
      <c r="O981">
        <v>1</v>
      </c>
      <c r="P981" t="str">
        <f>("7")</f>
        <v>7</v>
      </c>
      <c r="Q981" t="str">
        <f>("ROTTIERS Ben")</f>
        <v>ROTTIERS Ben</v>
      </c>
      <c r="R981">
        <v>129</v>
      </c>
      <c r="S981" t="s">
        <v>44</v>
      </c>
      <c r="T981">
        <v>0</v>
      </c>
      <c r="V981">
        <v>2</v>
      </c>
      <c r="W981">
        <v>129</v>
      </c>
      <c r="X981">
        <v>0</v>
      </c>
    </row>
    <row r="982" spans="1:24" x14ac:dyDescent="0.35">
      <c r="A982" t="s">
        <v>8</v>
      </c>
      <c r="B982" t="s">
        <v>9</v>
      </c>
      <c r="C982" t="str">
        <f t="shared" ref="C982:C1013" si="138">("11272")</f>
        <v>11272</v>
      </c>
      <c r="D982" t="s">
        <v>16</v>
      </c>
      <c r="E982" t="str">
        <f t="shared" ref="E982:E1013" si="139">("23")</f>
        <v>23</v>
      </c>
      <c r="F982">
        <v>25687</v>
      </c>
      <c r="G982">
        <v>23566</v>
      </c>
      <c r="H982">
        <v>970</v>
      </c>
      <c r="I982" t="str">
        <f t="shared" ref="I982:I1004" si="140">("1")</f>
        <v>1</v>
      </c>
      <c r="J982" t="str">
        <f t="shared" ref="J982:J1004" si="141">("sp.a")</f>
        <v>sp.a</v>
      </c>
      <c r="K982">
        <v>733</v>
      </c>
      <c r="L982">
        <v>2148</v>
      </c>
      <c r="M982">
        <v>2881</v>
      </c>
      <c r="N982">
        <v>2161</v>
      </c>
      <c r="O982">
        <v>3</v>
      </c>
      <c r="P982" t="str">
        <f>("1")</f>
        <v>1</v>
      </c>
      <c r="Q982" t="str">
        <f>("DE BOECK Tom")</f>
        <v>DE BOECK Tom</v>
      </c>
      <c r="R982">
        <v>979</v>
      </c>
      <c r="S982">
        <v>1712</v>
      </c>
      <c r="T982">
        <v>0</v>
      </c>
      <c r="U982">
        <v>1</v>
      </c>
    </row>
    <row r="983" spans="1:24" x14ac:dyDescent="0.35">
      <c r="A983" t="s">
        <v>8</v>
      </c>
      <c r="B983" t="s">
        <v>9</v>
      </c>
      <c r="C983" t="str">
        <f t="shared" si="138"/>
        <v>11272</v>
      </c>
      <c r="D983" t="s">
        <v>16</v>
      </c>
      <c r="E983" t="str">
        <f t="shared" si="139"/>
        <v>23</v>
      </c>
      <c r="F983">
        <v>25687</v>
      </c>
      <c r="G983">
        <v>23566</v>
      </c>
      <c r="H983">
        <v>970</v>
      </c>
      <c r="I983" t="str">
        <f t="shared" si="140"/>
        <v>1</v>
      </c>
      <c r="J983" t="str">
        <f t="shared" si="141"/>
        <v>sp.a</v>
      </c>
      <c r="K983">
        <v>733</v>
      </c>
      <c r="L983">
        <v>2148</v>
      </c>
      <c r="M983">
        <v>2881</v>
      </c>
      <c r="N983">
        <v>2161</v>
      </c>
      <c r="O983">
        <v>3</v>
      </c>
      <c r="P983" t="str">
        <f>("2")</f>
        <v>2</v>
      </c>
      <c r="Q983" t="str">
        <f>("GITTENAER Ann")</f>
        <v>GITTENAER Ann</v>
      </c>
      <c r="R983">
        <v>200</v>
      </c>
      <c r="S983" t="s">
        <v>44</v>
      </c>
      <c r="T983">
        <v>0</v>
      </c>
      <c r="V983">
        <v>1</v>
      </c>
      <c r="W983">
        <v>933</v>
      </c>
      <c r="X983">
        <v>0</v>
      </c>
    </row>
    <row r="984" spans="1:24" x14ac:dyDescent="0.35">
      <c r="A984" t="s">
        <v>8</v>
      </c>
      <c r="B984" t="s">
        <v>9</v>
      </c>
      <c r="C984" t="str">
        <f t="shared" si="138"/>
        <v>11272</v>
      </c>
      <c r="D984" t="s">
        <v>16</v>
      </c>
      <c r="E984" t="str">
        <f t="shared" si="139"/>
        <v>23</v>
      </c>
      <c r="F984">
        <v>25687</v>
      </c>
      <c r="G984">
        <v>23566</v>
      </c>
      <c r="H984">
        <v>970</v>
      </c>
      <c r="I984" t="str">
        <f t="shared" si="140"/>
        <v>1</v>
      </c>
      <c r="J984" t="str">
        <f t="shared" si="141"/>
        <v>sp.a</v>
      </c>
      <c r="K984">
        <v>733</v>
      </c>
      <c r="L984">
        <v>2148</v>
      </c>
      <c r="M984">
        <v>2881</v>
      </c>
      <c r="N984">
        <v>2161</v>
      </c>
      <c r="O984">
        <v>3</v>
      </c>
      <c r="P984" t="str">
        <f>("3")</f>
        <v>3</v>
      </c>
      <c r="Q984" t="str">
        <f>("AARAB Hassane")</f>
        <v>AARAB Hassane</v>
      </c>
      <c r="R984">
        <v>260</v>
      </c>
      <c r="S984">
        <v>260</v>
      </c>
      <c r="T984">
        <v>0</v>
      </c>
      <c r="U984">
        <v>3</v>
      </c>
    </row>
    <row r="985" spans="1:24" x14ac:dyDescent="0.35">
      <c r="A985" t="s">
        <v>8</v>
      </c>
      <c r="B985" t="s">
        <v>9</v>
      </c>
      <c r="C985" t="str">
        <f t="shared" si="138"/>
        <v>11272</v>
      </c>
      <c r="D985" t="s">
        <v>16</v>
      </c>
      <c r="E985" t="str">
        <f t="shared" si="139"/>
        <v>23</v>
      </c>
      <c r="F985">
        <v>25687</v>
      </c>
      <c r="G985">
        <v>23566</v>
      </c>
      <c r="H985">
        <v>970</v>
      </c>
      <c r="I985" t="str">
        <f t="shared" si="140"/>
        <v>1</v>
      </c>
      <c r="J985" t="str">
        <f t="shared" si="141"/>
        <v>sp.a</v>
      </c>
      <c r="K985">
        <v>733</v>
      </c>
      <c r="L985">
        <v>2148</v>
      </c>
      <c r="M985">
        <v>2881</v>
      </c>
      <c r="N985">
        <v>2161</v>
      </c>
      <c r="O985">
        <v>3</v>
      </c>
      <c r="P985" t="str">
        <f>("4")</f>
        <v>4</v>
      </c>
      <c r="Q985" t="str">
        <f>("GYULER Sibel")</f>
        <v>GYULER Sibel</v>
      </c>
      <c r="R985">
        <v>298</v>
      </c>
      <c r="S985">
        <v>298</v>
      </c>
      <c r="T985">
        <v>0</v>
      </c>
      <c r="U985">
        <v>2</v>
      </c>
    </row>
    <row r="986" spans="1:24" x14ac:dyDescent="0.35">
      <c r="A986" t="s">
        <v>8</v>
      </c>
      <c r="B986" t="s">
        <v>9</v>
      </c>
      <c r="C986" t="str">
        <f t="shared" si="138"/>
        <v>11272</v>
      </c>
      <c r="D986" t="s">
        <v>16</v>
      </c>
      <c r="E986" t="str">
        <f t="shared" si="139"/>
        <v>23</v>
      </c>
      <c r="F986">
        <v>25687</v>
      </c>
      <c r="G986">
        <v>23566</v>
      </c>
      <c r="H986">
        <v>970</v>
      </c>
      <c r="I986" t="str">
        <f t="shared" si="140"/>
        <v>1</v>
      </c>
      <c r="J986" t="str">
        <f t="shared" si="141"/>
        <v>sp.a</v>
      </c>
      <c r="K986">
        <v>733</v>
      </c>
      <c r="L986">
        <v>2148</v>
      </c>
      <c r="M986">
        <v>2881</v>
      </c>
      <c r="N986">
        <v>2161</v>
      </c>
      <c r="O986">
        <v>3</v>
      </c>
      <c r="P986" t="str">
        <f>("5")</f>
        <v>5</v>
      </c>
      <c r="Q986" t="str">
        <f>("DUBOIS Cédric")</f>
        <v>DUBOIS Cédric</v>
      </c>
      <c r="R986">
        <v>58</v>
      </c>
      <c r="S986" t="s">
        <v>44</v>
      </c>
      <c r="T986">
        <v>0</v>
      </c>
      <c r="V986">
        <v>17</v>
      </c>
      <c r="W986">
        <v>58</v>
      </c>
      <c r="X986">
        <v>0</v>
      </c>
    </row>
    <row r="987" spans="1:24" x14ac:dyDescent="0.35">
      <c r="A987" t="s">
        <v>8</v>
      </c>
      <c r="B987" t="s">
        <v>9</v>
      </c>
      <c r="C987" t="str">
        <f t="shared" si="138"/>
        <v>11272</v>
      </c>
      <c r="D987" t="s">
        <v>16</v>
      </c>
      <c r="E987" t="str">
        <f t="shared" si="139"/>
        <v>23</v>
      </c>
      <c r="F987">
        <v>25687</v>
      </c>
      <c r="G987">
        <v>23566</v>
      </c>
      <c r="H987">
        <v>970</v>
      </c>
      <c r="I987" t="str">
        <f t="shared" si="140"/>
        <v>1</v>
      </c>
      <c r="J987" t="str">
        <f t="shared" si="141"/>
        <v>sp.a</v>
      </c>
      <c r="K987">
        <v>733</v>
      </c>
      <c r="L987">
        <v>2148</v>
      </c>
      <c r="M987">
        <v>2881</v>
      </c>
      <c r="N987">
        <v>2161</v>
      </c>
      <c r="O987">
        <v>3</v>
      </c>
      <c r="P987" t="str">
        <f>("6")</f>
        <v>6</v>
      </c>
      <c r="Q987" t="str">
        <f>("HAUCHART Joyce")</f>
        <v>HAUCHART Joyce</v>
      </c>
      <c r="R987">
        <v>66</v>
      </c>
      <c r="S987" t="s">
        <v>44</v>
      </c>
      <c r="T987">
        <v>0</v>
      </c>
      <c r="V987">
        <v>15</v>
      </c>
      <c r="W987">
        <v>66</v>
      </c>
      <c r="X987">
        <v>0</v>
      </c>
    </row>
    <row r="988" spans="1:24" x14ac:dyDescent="0.35">
      <c r="A988" t="s">
        <v>8</v>
      </c>
      <c r="B988" t="s">
        <v>9</v>
      </c>
      <c r="C988" t="str">
        <f t="shared" si="138"/>
        <v>11272</v>
      </c>
      <c r="D988" t="s">
        <v>16</v>
      </c>
      <c r="E988" t="str">
        <f t="shared" si="139"/>
        <v>23</v>
      </c>
      <c r="F988">
        <v>25687</v>
      </c>
      <c r="G988">
        <v>23566</v>
      </c>
      <c r="H988">
        <v>970</v>
      </c>
      <c r="I988" t="str">
        <f t="shared" si="140"/>
        <v>1</v>
      </c>
      <c r="J988" t="str">
        <f t="shared" si="141"/>
        <v>sp.a</v>
      </c>
      <c r="K988">
        <v>733</v>
      </c>
      <c r="L988">
        <v>2148</v>
      </c>
      <c r="M988">
        <v>2881</v>
      </c>
      <c r="N988">
        <v>2161</v>
      </c>
      <c r="O988">
        <v>3</v>
      </c>
      <c r="P988" t="str">
        <f>("7")</f>
        <v>7</v>
      </c>
      <c r="Q988" t="str">
        <f>("NOENINCKX Sven")</f>
        <v>NOENINCKX Sven</v>
      </c>
      <c r="R988">
        <v>94</v>
      </c>
      <c r="S988" t="s">
        <v>44</v>
      </c>
      <c r="T988">
        <v>0</v>
      </c>
      <c r="V988">
        <v>7</v>
      </c>
      <c r="W988">
        <v>94</v>
      </c>
      <c r="X988">
        <v>0</v>
      </c>
    </row>
    <row r="989" spans="1:24" x14ac:dyDescent="0.35">
      <c r="A989" t="s">
        <v>8</v>
      </c>
      <c r="B989" t="s">
        <v>9</v>
      </c>
      <c r="C989" t="str">
        <f t="shared" si="138"/>
        <v>11272</v>
      </c>
      <c r="D989" t="s">
        <v>16</v>
      </c>
      <c r="E989" t="str">
        <f t="shared" si="139"/>
        <v>23</v>
      </c>
      <c r="F989">
        <v>25687</v>
      </c>
      <c r="G989">
        <v>23566</v>
      </c>
      <c r="H989">
        <v>970</v>
      </c>
      <c r="I989" t="str">
        <f t="shared" si="140"/>
        <v>1</v>
      </c>
      <c r="J989" t="str">
        <f t="shared" si="141"/>
        <v>sp.a</v>
      </c>
      <c r="K989">
        <v>733</v>
      </c>
      <c r="L989">
        <v>2148</v>
      </c>
      <c r="M989">
        <v>2881</v>
      </c>
      <c r="N989">
        <v>2161</v>
      </c>
      <c r="O989">
        <v>3</v>
      </c>
      <c r="P989" t="str">
        <f>("8")</f>
        <v>8</v>
      </c>
      <c r="Q989" t="str">
        <f>("STEIN Koen")</f>
        <v>STEIN Koen</v>
      </c>
      <c r="R989">
        <v>92</v>
      </c>
      <c r="S989" t="s">
        <v>44</v>
      </c>
      <c r="T989">
        <v>0</v>
      </c>
      <c r="V989">
        <v>8</v>
      </c>
      <c r="W989">
        <v>92</v>
      </c>
      <c r="X989">
        <v>0</v>
      </c>
    </row>
    <row r="990" spans="1:24" x14ac:dyDescent="0.35">
      <c r="A990" t="s">
        <v>8</v>
      </c>
      <c r="B990" t="s">
        <v>9</v>
      </c>
      <c r="C990" t="str">
        <f t="shared" si="138"/>
        <v>11272</v>
      </c>
      <c r="D990" t="s">
        <v>16</v>
      </c>
      <c r="E990" t="str">
        <f t="shared" si="139"/>
        <v>23</v>
      </c>
      <c r="F990">
        <v>25687</v>
      </c>
      <c r="G990">
        <v>23566</v>
      </c>
      <c r="H990">
        <v>970</v>
      </c>
      <c r="I990" t="str">
        <f t="shared" si="140"/>
        <v>1</v>
      </c>
      <c r="J990" t="str">
        <f t="shared" si="141"/>
        <v>sp.a</v>
      </c>
      <c r="K990">
        <v>733</v>
      </c>
      <c r="L990">
        <v>2148</v>
      </c>
      <c r="M990">
        <v>2881</v>
      </c>
      <c r="N990">
        <v>2161</v>
      </c>
      <c r="O990">
        <v>3</v>
      </c>
      <c r="P990" t="str">
        <f>("9")</f>
        <v>9</v>
      </c>
      <c r="Q990" t="str">
        <f>("MARINUS Jacqueline")</f>
        <v>MARINUS Jacqueline</v>
      </c>
      <c r="R990">
        <v>80</v>
      </c>
      <c r="S990" t="s">
        <v>44</v>
      </c>
      <c r="T990">
        <v>0</v>
      </c>
      <c r="V990">
        <v>11</v>
      </c>
      <c r="W990">
        <v>80</v>
      </c>
      <c r="X990">
        <v>0</v>
      </c>
    </row>
    <row r="991" spans="1:24" x14ac:dyDescent="0.35">
      <c r="A991" t="s">
        <v>8</v>
      </c>
      <c r="B991" t="s">
        <v>9</v>
      </c>
      <c r="C991" t="str">
        <f t="shared" si="138"/>
        <v>11272</v>
      </c>
      <c r="D991" t="s">
        <v>16</v>
      </c>
      <c r="E991" t="str">
        <f t="shared" si="139"/>
        <v>23</v>
      </c>
      <c r="F991">
        <v>25687</v>
      </c>
      <c r="G991">
        <v>23566</v>
      </c>
      <c r="H991">
        <v>970</v>
      </c>
      <c r="I991" t="str">
        <f t="shared" si="140"/>
        <v>1</v>
      </c>
      <c r="J991" t="str">
        <f t="shared" si="141"/>
        <v>sp.a</v>
      </c>
      <c r="K991">
        <v>733</v>
      </c>
      <c r="L991">
        <v>2148</v>
      </c>
      <c r="M991">
        <v>2881</v>
      </c>
      <c r="N991">
        <v>2161</v>
      </c>
      <c r="O991">
        <v>3</v>
      </c>
      <c r="P991" t="str">
        <f>("10")</f>
        <v>10</v>
      </c>
      <c r="Q991" t="str">
        <f>("AERTS Pascal")</f>
        <v>AERTS Pascal</v>
      </c>
      <c r="R991">
        <v>57</v>
      </c>
      <c r="S991" t="s">
        <v>44</v>
      </c>
      <c r="T991">
        <v>0</v>
      </c>
      <c r="V991">
        <v>18</v>
      </c>
      <c r="W991">
        <v>57</v>
      </c>
      <c r="X991">
        <v>0</v>
      </c>
    </row>
    <row r="992" spans="1:24" x14ac:dyDescent="0.35">
      <c r="A992" t="s">
        <v>8</v>
      </c>
      <c r="B992" t="s">
        <v>9</v>
      </c>
      <c r="C992" t="str">
        <f t="shared" si="138"/>
        <v>11272</v>
      </c>
      <c r="D992" t="s">
        <v>16</v>
      </c>
      <c r="E992" t="str">
        <f t="shared" si="139"/>
        <v>23</v>
      </c>
      <c r="F992">
        <v>25687</v>
      </c>
      <c r="G992">
        <v>23566</v>
      </c>
      <c r="H992">
        <v>970</v>
      </c>
      <c r="I992" t="str">
        <f t="shared" si="140"/>
        <v>1</v>
      </c>
      <c r="J992" t="str">
        <f t="shared" si="141"/>
        <v>sp.a</v>
      </c>
      <c r="K992">
        <v>733</v>
      </c>
      <c r="L992">
        <v>2148</v>
      </c>
      <c r="M992">
        <v>2881</v>
      </c>
      <c r="N992">
        <v>2161</v>
      </c>
      <c r="O992">
        <v>3</v>
      </c>
      <c r="P992" t="str">
        <f>("11")</f>
        <v>11</v>
      </c>
      <c r="Q992" t="str">
        <f>("GEERAERT Sandra")</f>
        <v>GEERAERT Sandra</v>
      </c>
      <c r="R992">
        <v>192</v>
      </c>
      <c r="S992" t="s">
        <v>44</v>
      </c>
      <c r="T992">
        <v>0</v>
      </c>
      <c r="V992">
        <v>2</v>
      </c>
      <c r="W992">
        <v>192</v>
      </c>
      <c r="X992">
        <v>0</v>
      </c>
    </row>
    <row r="993" spans="1:24" x14ac:dyDescent="0.35">
      <c r="A993" t="s">
        <v>8</v>
      </c>
      <c r="B993" t="s">
        <v>9</v>
      </c>
      <c r="C993" t="str">
        <f t="shared" si="138"/>
        <v>11272</v>
      </c>
      <c r="D993" t="s">
        <v>16</v>
      </c>
      <c r="E993" t="str">
        <f t="shared" si="139"/>
        <v>23</v>
      </c>
      <c r="F993">
        <v>25687</v>
      </c>
      <c r="G993">
        <v>23566</v>
      </c>
      <c r="H993">
        <v>970</v>
      </c>
      <c r="I993" t="str">
        <f t="shared" si="140"/>
        <v>1</v>
      </c>
      <c r="J993" t="str">
        <f t="shared" si="141"/>
        <v>sp.a</v>
      </c>
      <c r="K993">
        <v>733</v>
      </c>
      <c r="L993">
        <v>2148</v>
      </c>
      <c r="M993">
        <v>2881</v>
      </c>
      <c r="N993">
        <v>2161</v>
      </c>
      <c r="O993">
        <v>3</v>
      </c>
      <c r="P993" t="str">
        <f>("12")</f>
        <v>12</v>
      </c>
      <c r="Q993" t="str">
        <f>("DE LOOSE Paul")</f>
        <v>DE LOOSE Paul</v>
      </c>
      <c r="R993">
        <v>124</v>
      </c>
      <c r="S993" t="s">
        <v>44</v>
      </c>
      <c r="T993">
        <v>0</v>
      </c>
      <c r="V993">
        <v>5</v>
      </c>
      <c r="W993">
        <v>124</v>
      </c>
      <c r="X993">
        <v>0</v>
      </c>
    </row>
    <row r="994" spans="1:24" x14ac:dyDescent="0.35">
      <c r="A994" t="s">
        <v>8</v>
      </c>
      <c r="B994" t="s">
        <v>9</v>
      </c>
      <c r="C994" t="str">
        <f t="shared" si="138"/>
        <v>11272</v>
      </c>
      <c r="D994" t="s">
        <v>16</v>
      </c>
      <c r="E994" t="str">
        <f t="shared" si="139"/>
        <v>23</v>
      </c>
      <c r="F994">
        <v>25687</v>
      </c>
      <c r="G994">
        <v>23566</v>
      </c>
      <c r="H994">
        <v>970</v>
      </c>
      <c r="I994" t="str">
        <f t="shared" si="140"/>
        <v>1</v>
      </c>
      <c r="J994" t="str">
        <f t="shared" si="141"/>
        <v>sp.a</v>
      </c>
      <c r="K994">
        <v>733</v>
      </c>
      <c r="L994">
        <v>2148</v>
      </c>
      <c r="M994">
        <v>2881</v>
      </c>
      <c r="N994">
        <v>2161</v>
      </c>
      <c r="O994">
        <v>3</v>
      </c>
      <c r="P994" t="str">
        <f>("13")</f>
        <v>13</v>
      </c>
      <c r="Q994" t="str">
        <f>("VAN DOOSSELAERE Tilly")</f>
        <v>VAN DOOSSELAERE Tilly</v>
      </c>
      <c r="R994">
        <v>68</v>
      </c>
      <c r="S994" t="s">
        <v>44</v>
      </c>
      <c r="T994">
        <v>0</v>
      </c>
      <c r="V994">
        <v>14</v>
      </c>
      <c r="W994">
        <v>68</v>
      </c>
      <c r="X994">
        <v>0</v>
      </c>
    </row>
    <row r="995" spans="1:24" x14ac:dyDescent="0.35">
      <c r="A995" t="s">
        <v>8</v>
      </c>
      <c r="B995" t="s">
        <v>9</v>
      </c>
      <c r="C995" t="str">
        <f t="shared" si="138"/>
        <v>11272</v>
      </c>
      <c r="D995" t="s">
        <v>16</v>
      </c>
      <c r="E995" t="str">
        <f t="shared" si="139"/>
        <v>23</v>
      </c>
      <c r="F995">
        <v>25687</v>
      </c>
      <c r="G995">
        <v>23566</v>
      </c>
      <c r="H995">
        <v>970</v>
      </c>
      <c r="I995" t="str">
        <f t="shared" si="140"/>
        <v>1</v>
      </c>
      <c r="J995" t="str">
        <f t="shared" si="141"/>
        <v>sp.a</v>
      </c>
      <c r="K995">
        <v>733</v>
      </c>
      <c r="L995">
        <v>2148</v>
      </c>
      <c r="M995">
        <v>2881</v>
      </c>
      <c r="N995">
        <v>2161</v>
      </c>
      <c r="O995">
        <v>3</v>
      </c>
      <c r="P995" t="str">
        <f>("14")</f>
        <v>14</v>
      </c>
      <c r="Q995" t="str">
        <f>("WIESÉ Dirk")</f>
        <v>WIESÉ Dirk</v>
      </c>
      <c r="R995">
        <v>83</v>
      </c>
      <c r="S995" t="s">
        <v>44</v>
      </c>
      <c r="T995">
        <v>0</v>
      </c>
      <c r="V995">
        <v>9</v>
      </c>
      <c r="W995">
        <v>83</v>
      </c>
      <c r="X995">
        <v>0</v>
      </c>
    </row>
    <row r="996" spans="1:24" x14ac:dyDescent="0.35">
      <c r="A996" t="s">
        <v>8</v>
      </c>
      <c r="B996" t="s">
        <v>9</v>
      </c>
      <c r="C996" t="str">
        <f t="shared" si="138"/>
        <v>11272</v>
      </c>
      <c r="D996" t="s">
        <v>16</v>
      </c>
      <c r="E996" t="str">
        <f t="shared" si="139"/>
        <v>23</v>
      </c>
      <c r="F996">
        <v>25687</v>
      </c>
      <c r="G996">
        <v>23566</v>
      </c>
      <c r="H996">
        <v>970</v>
      </c>
      <c r="I996" t="str">
        <f t="shared" si="140"/>
        <v>1</v>
      </c>
      <c r="J996" t="str">
        <f t="shared" si="141"/>
        <v>sp.a</v>
      </c>
      <c r="K996">
        <v>733</v>
      </c>
      <c r="L996">
        <v>2148</v>
      </c>
      <c r="M996">
        <v>2881</v>
      </c>
      <c r="N996">
        <v>2161</v>
      </c>
      <c r="O996">
        <v>3</v>
      </c>
      <c r="P996" t="str">
        <f>("15")</f>
        <v>15</v>
      </c>
      <c r="Q996" t="str">
        <f>("HAGENS Lana")</f>
        <v>HAGENS Lana</v>
      </c>
      <c r="R996">
        <v>71</v>
      </c>
      <c r="S996" t="s">
        <v>44</v>
      </c>
      <c r="T996">
        <v>0</v>
      </c>
      <c r="V996">
        <v>13</v>
      </c>
      <c r="W996">
        <v>71</v>
      </c>
      <c r="X996">
        <v>0</v>
      </c>
    </row>
    <row r="997" spans="1:24" x14ac:dyDescent="0.35">
      <c r="A997" t="s">
        <v>8</v>
      </c>
      <c r="B997" t="s">
        <v>9</v>
      </c>
      <c r="C997" t="str">
        <f t="shared" si="138"/>
        <v>11272</v>
      </c>
      <c r="D997" t="s">
        <v>16</v>
      </c>
      <c r="E997" t="str">
        <f t="shared" si="139"/>
        <v>23</v>
      </c>
      <c r="F997">
        <v>25687</v>
      </c>
      <c r="G997">
        <v>23566</v>
      </c>
      <c r="H997">
        <v>970</v>
      </c>
      <c r="I997" t="str">
        <f t="shared" si="140"/>
        <v>1</v>
      </c>
      <c r="J997" t="str">
        <f t="shared" si="141"/>
        <v>sp.a</v>
      </c>
      <c r="K997">
        <v>733</v>
      </c>
      <c r="L997">
        <v>2148</v>
      </c>
      <c r="M997">
        <v>2881</v>
      </c>
      <c r="N997">
        <v>2161</v>
      </c>
      <c r="O997">
        <v>3</v>
      </c>
      <c r="P997" t="str">
        <f>("16")</f>
        <v>16</v>
      </c>
      <c r="Q997" t="str">
        <f>("HOFSTEDE Nick")</f>
        <v>HOFSTEDE Nick</v>
      </c>
      <c r="R997">
        <v>66</v>
      </c>
      <c r="S997" t="s">
        <v>44</v>
      </c>
      <c r="T997">
        <v>0</v>
      </c>
      <c r="V997">
        <v>16</v>
      </c>
      <c r="W997">
        <v>66</v>
      </c>
      <c r="X997">
        <v>0</v>
      </c>
    </row>
    <row r="998" spans="1:24" x14ac:dyDescent="0.35">
      <c r="A998" t="s">
        <v>8</v>
      </c>
      <c r="B998" t="s">
        <v>9</v>
      </c>
      <c r="C998" t="str">
        <f t="shared" si="138"/>
        <v>11272</v>
      </c>
      <c r="D998" t="s">
        <v>16</v>
      </c>
      <c r="E998" t="str">
        <f t="shared" si="139"/>
        <v>23</v>
      </c>
      <c r="F998">
        <v>25687</v>
      </c>
      <c r="G998">
        <v>23566</v>
      </c>
      <c r="H998">
        <v>970</v>
      </c>
      <c r="I998" t="str">
        <f t="shared" si="140"/>
        <v>1</v>
      </c>
      <c r="J998" t="str">
        <f t="shared" si="141"/>
        <v>sp.a</v>
      </c>
      <c r="K998">
        <v>733</v>
      </c>
      <c r="L998">
        <v>2148</v>
      </c>
      <c r="M998">
        <v>2881</v>
      </c>
      <c r="N998">
        <v>2161</v>
      </c>
      <c r="O998">
        <v>3</v>
      </c>
      <c r="P998" t="str">
        <f>("17")</f>
        <v>17</v>
      </c>
      <c r="Q998" t="str">
        <f>("VAN DER MEULEN Freya")</f>
        <v>VAN DER MEULEN Freya</v>
      </c>
      <c r="R998">
        <v>79</v>
      </c>
      <c r="S998" t="s">
        <v>44</v>
      </c>
      <c r="T998">
        <v>0</v>
      </c>
      <c r="V998">
        <v>12</v>
      </c>
      <c r="W998">
        <v>79</v>
      </c>
      <c r="X998">
        <v>0</v>
      </c>
    </row>
    <row r="999" spans="1:24" x14ac:dyDescent="0.35">
      <c r="A999" t="s">
        <v>8</v>
      </c>
      <c r="B999" t="s">
        <v>9</v>
      </c>
      <c r="C999" t="str">
        <f t="shared" si="138"/>
        <v>11272</v>
      </c>
      <c r="D999" t="s">
        <v>16</v>
      </c>
      <c r="E999" t="str">
        <f t="shared" si="139"/>
        <v>23</v>
      </c>
      <c r="F999">
        <v>25687</v>
      </c>
      <c r="G999">
        <v>23566</v>
      </c>
      <c r="H999">
        <v>970</v>
      </c>
      <c r="I999" t="str">
        <f t="shared" si="140"/>
        <v>1</v>
      </c>
      <c r="J999" t="str">
        <f t="shared" si="141"/>
        <v>sp.a</v>
      </c>
      <c r="K999">
        <v>733</v>
      </c>
      <c r="L999">
        <v>2148</v>
      </c>
      <c r="M999">
        <v>2881</v>
      </c>
      <c r="N999">
        <v>2161</v>
      </c>
      <c r="O999">
        <v>3</v>
      </c>
      <c r="P999" t="str">
        <f>("18")</f>
        <v>18</v>
      </c>
      <c r="Q999" t="str">
        <f>("TABLA Farah")</f>
        <v>TABLA Farah</v>
      </c>
      <c r="R999">
        <v>181</v>
      </c>
      <c r="S999" t="s">
        <v>44</v>
      </c>
      <c r="T999">
        <v>0</v>
      </c>
      <c r="V999">
        <v>3</v>
      </c>
      <c r="W999">
        <v>181</v>
      </c>
      <c r="X999">
        <v>0</v>
      </c>
    </row>
    <row r="1000" spans="1:24" x14ac:dyDescent="0.35">
      <c r="A1000" t="s">
        <v>8</v>
      </c>
      <c r="B1000" t="s">
        <v>9</v>
      </c>
      <c r="C1000" t="str">
        <f t="shared" si="138"/>
        <v>11272</v>
      </c>
      <c r="D1000" t="s">
        <v>16</v>
      </c>
      <c r="E1000" t="str">
        <f t="shared" si="139"/>
        <v>23</v>
      </c>
      <c r="F1000">
        <v>25687</v>
      </c>
      <c r="G1000">
        <v>23566</v>
      </c>
      <c r="H1000">
        <v>970</v>
      </c>
      <c r="I1000" t="str">
        <f t="shared" si="140"/>
        <v>1</v>
      </c>
      <c r="J1000" t="str">
        <f t="shared" si="141"/>
        <v>sp.a</v>
      </c>
      <c r="K1000">
        <v>733</v>
      </c>
      <c r="L1000">
        <v>2148</v>
      </c>
      <c r="M1000">
        <v>2881</v>
      </c>
      <c r="N1000">
        <v>2161</v>
      </c>
      <c r="O1000">
        <v>3</v>
      </c>
      <c r="P1000" t="str">
        <f>("19")</f>
        <v>19</v>
      </c>
      <c r="Q1000" t="str">
        <f>("NKESHIMANA Aloys")</f>
        <v>NKESHIMANA Aloys</v>
      </c>
      <c r="R1000">
        <v>48</v>
      </c>
      <c r="S1000" t="s">
        <v>44</v>
      </c>
      <c r="T1000">
        <v>0</v>
      </c>
      <c r="V1000">
        <v>20</v>
      </c>
      <c r="W1000">
        <v>48</v>
      </c>
      <c r="X1000">
        <v>0</v>
      </c>
    </row>
    <row r="1001" spans="1:24" x14ac:dyDescent="0.35">
      <c r="A1001" t="s">
        <v>8</v>
      </c>
      <c r="B1001" t="s">
        <v>9</v>
      </c>
      <c r="C1001" t="str">
        <f t="shared" si="138"/>
        <v>11272</v>
      </c>
      <c r="D1001" t="s">
        <v>16</v>
      </c>
      <c r="E1001" t="str">
        <f t="shared" si="139"/>
        <v>23</v>
      </c>
      <c r="F1001">
        <v>25687</v>
      </c>
      <c r="G1001">
        <v>23566</v>
      </c>
      <c r="H1001">
        <v>970</v>
      </c>
      <c r="I1001" t="str">
        <f t="shared" si="140"/>
        <v>1</v>
      </c>
      <c r="J1001" t="str">
        <f t="shared" si="141"/>
        <v>sp.a</v>
      </c>
      <c r="K1001">
        <v>733</v>
      </c>
      <c r="L1001">
        <v>2148</v>
      </c>
      <c r="M1001">
        <v>2881</v>
      </c>
      <c r="N1001">
        <v>2161</v>
      </c>
      <c r="O1001">
        <v>3</v>
      </c>
      <c r="P1001" t="str">
        <f>("20")</f>
        <v>20</v>
      </c>
      <c r="Q1001" t="str">
        <f>("WYNINCKX Hilde")</f>
        <v>WYNINCKX Hilde</v>
      </c>
      <c r="R1001">
        <v>120</v>
      </c>
      <c r="S1001" t="s">
        <v>44</v>
      </c>
      <c r="T1001">
        <v>0</v>
      </c>
      <c r="V1001">
        <v>6</v>
      </c>
      <c r="W1001">
        <v>120</v>
      </c>
      <c r="X1001">
        <v>0</v>
      </c>
    </row>
    <row r="1002" spans="1:24" x14ac:dyDescent="0.35">
      <c r="A1002" t="s">
        <v>8</v>
      </c>
      <c r="B1002" t="s">
        <v>9</v>
      </c>
      <c r="C1002" t="str">
        <f t="shared" si="138"/>
        <v>11272</v>
      </c>
      <c r="D1002" t="s">
        <v>16</v>
      </c>
      <c r="E1002" t="str">
        <f t="shared" si="139"/>
        <v>23</v>
      </c>
      <c r="F1002">
        <v>25687</v>
      </c>
      <c r="G1002">
        <v>23566</v>
      </c>
      <c r="H1002">
        <v>970</v>
      </c>
      <c r="I1002" t="str">
        <f t="shared" si="140"/>
        <v>1</v>
      </c>
      <c r="J1002" t="str">
        <f t="shared" si="141"/>
        <v>sp.a</v>
      </c>
      <c r="K1002">
        <v>733</v>
      </c>
      <c r="L1002">
        <v>2148</v>
      </c>
      <c r="M1002">
        <v>2881</v>
      </c>
      <c r="N1002">
        <v>2161</v>
      </c>
      <c r="O1002">
        <v>3</v>
      </c>
      <c r="P1002" t="str">
        <f>("21")</f>
        <v>21</v>
      </c>
      <c r="Q1002" t="str">
        <f>("DE LENDTDECKER André")</f>
        <v>DE LENDTDECKER André</v>
      </c>
      <c r="R1002">
        <v>53</v>
      </c>
      <c r="S1002" t="s">
        <v>44</v>
      </c>
      <c r="T1002">
        <v>0</v>
      </c>
      <c r="V1002">
        <v>19</v>
      </c>
      <c r="W1002">
        <v>53</v>
      </c>
      <c r="X1002">
        <v>0</v>
      </c>
    </row>
    <row r="1003" spans="1:24" x14ac:dyDescent="0.35">
      <c r="A1003" t="s">
        <v>8</v>
      </c>
      <c r="B1003" t="s">
        <v>9</v>
      </c>
      <c r="C1003" t="str">
        <f t="shared" si="138"/>
        <v>11272</v>
      </c>
      <c r="D1003" t="s">
        <v>16</v>
      </c>
      <c r="E1003" t="str">
        <f t="shared" si="139"/>
        <v>23</v>
      </c>
      <c r="F1003">
        <v>25687</v>
      </c>
      <c r="G1003">
        <v>23566</v>
      </c>
      <c r="H1003">
        <v>970</v>
      </c>
      <c r="I1003" t="str">
        <f t="shared" si="140"/>
        <v>1</v>
      </c>
      <c r="J1003" t="str">
        <f t="shared" si="141"/>
        <v>sp.a</v>
      </c>
      <c r="K1003">
        <v>733</v>
      </c>
      <c r="L1003">
        <v>2148</v>
      </c>
      <c r="M1003">
        <v>2881</v>
      </c>
      <c r="N1003">
        <v>2161</v>
      </c>
      <c r="O1003">
        <v>3</v>
      </c>
      <c r="P1003" t="str">
        <f>("22")</f>
        <v>22</v>
      </c>
      <c r="Q1003" t="str">
        <f>("GEUENS Yvette")</f>
        <v>GEUENS Yvette</v>
      </c>
      <c r="R1003">
        <v>83</v>
      </c>
      <c r="S1003" t="s">
        <v>44</v>
      </c>
      <c r="T1003">
        <v>0</v>
      </c>
      <c r="V1003">
        <v>10</v>
      </c>
      <c r="W1003">
        <v>83</v>
      </c>
      <c r="X1003">
        <v>0</v>
      </c>
    </row>
    <row r="1004" spans="1:24" x14ac:dyDescent="0.35">
      <c r="A1004" t="s">
        <v>8</v>
      </c>
      <c r="B1004" t="s">
        <v>9</v>
      </c>
      <c r="C1004" t="str">
        <f t="shared" si="138"/>
        <v>11272</v>
      </c>
      <c r="D1004" t="s">
        <v>16</v>
      </c>
      <c r="E1004" t="str">
        <f t="shared" si="139"/>
        <v>23</v>
      </c>
      <c r="F1004">
        <v>25687</v>
      </c>
      <c r="G1004">
        <v>23566</v>
      </c>
      <c r="H1004">
        <v>970</v>
      </c>
      <c r="I1004" t="str">
        <f t="shared" si="140"/>
        <v>1</v>
      </c>
      <c r="J1004" t="str">
        <f t="shared" si="141"/>
        <v>sp.a</v>
      </c>
      <c r="K1004">
        <v>733</v>
      </c>
      <c r="L1004">
        <v>2148</v>
      </c>
      <c r="M1004">
        <v>2881</v>
      </c>
      <c r="N1004">
        <v>2161</v>
      </c>
      <c r="O1004">
        <v>3</v>
      </c>
      <c r="P1004" t="str">
        <f>("23")</f>
        <v>23</v>
      </c>
      <c r="Q1004" t="str">
        <f>("BELOY Paul")</f>
        <v>BELOY Paul</v>
      </c>
      <c r="R1004">
        <v>148</v>
      </c>
      <c r="S1004" t="s">
        <v>44</v>
      </c>
      <c r="T1004">
        <v>0</v>
      </c>
      <c r="V1004">
        <v>4</v>
      </c>
      <c r="W1004">
        <v>148</v>
      </c>
      <c r="X1004">
        <v>0</v>
      </c>
    </row>
    <row r="1005" spans="1:24" x14ac:dyDescent="0.35">
      <c r="A1005" t="s">
        <v>8</v>
      </c>
      <c r="B1005" t="s">
        <v>9</v>
      </c>
      <c r="C1005" t="str">
        <f t="shared" si="138"/>
        <v>11272</v>
      </c>
      <c r="D1005" t="s">
        <v>16</v>
      </c>
      <c r="E1005" t="str">
        <f t="shared" si="139"/>
        <v>23</v>
      </c>
      <c r="F1005">
        <v>25687</v>
      </c>
      <c r="G1005">
        <v>23566</v>
      </c>
      <c r="H1005">
        <v>970</v>
      </c>
      <c r="I1005" t="str">
        <f t="shared" ref="I1005:I1027" si="142">("2")</f>
        <v>2</v>
      </c>
      <c r="J1005" t="str">
        <f t="shared" ref="J1005:J1027" si="143">("N-VA")</f>
        <v>N-VA</v>
      </c>
      <c r="K1005">
        <v>3034</v>
      </c>
      <c r="L1005">
        <v>4302</v>
      </c>
      <c r="M1005">
        <v>7336</v>
      </c>
      <c r="N1005">
        <v>6521</v>
      </c>
      <c r="O1005">
        <v>8</v>
      </c>
      <c r="P1005" t="str">
        <f>("1")</f>
        <v>1</v>
      </c>
      <c r="Q1005" t="str">
        <f>("TOEN Kathelijne")</f>
        <v>TOEN Kathelijne</v>
      </c>
      <c r="R1005">
        <v>2547</v>
      </c>
      <c r="S1005">
        <v>6521</v>
      </c>
      <c r="T1005">
        <v>4117</v>
      </c>
      <c r="U1005">
        <v>1</v>
      </c>
    </row>
    <row r="1006" spans="1:24" x14ac:dyDescent="0.35">
      <c r="A1006" t="s">
        <v>8</v>
      </c>
      <c r="B1006" t="s">
        <v>9</v>
      </c>
      <c r="C1006" t="str">
        <f t="shared" si="138"/>
        <v>11272</v>
      </c>
      <c r="D1006" t="s">
        <v>16</v>
      </c>
      <c r="E1006" t="str">
        <f t="shared" si="139"/>
        <v>23</v>
      </c>
      <c r="F1006">
        <v>25687</v>
      </c>
      <c r="G1006">
        <v>23566</v>
      </c>
      <c r="H1006">
        <v>970</v>
      </c>
      <c r="I1006" t="str">
        <f t="shared" si="142"/>
        <v>2</v>
      </c>
      <c r="J1006" t="str">
        <f t="shared" si="143"/>
        <v>N-VA</v>
      </c>
      <c r="K1006">
        <v>3034</v>
      </c>
      <c r="L1006">
        <v>4302</v>
      </c>
      <c r="M1006">
        <v>7336</v>
      </c>
      <c r="N1006">
        <v>6521</v>
      </c>
      <c r="O1006">
        <v>8</v>
      </c>
      <c r="P1006" t="str">
        <f>("2")</f>
        <v>2</v>
      </c>
      <c r="Q1006" t="str">
        <f>("DE RANTER Paul")</f>
        <v>DE RANTER Paul</v>
      </c>
      <c r="R1006">
        <v>625</v>
      </c>
      <c r="S1006">
        <v>4742</v>
      </c>
      <c r="T1006">
        <v>0</v>
      </c>
      <c r="U1006">
        <v>2</v>
      </c>
    </row>
    <row r="1007" spans="1:24" x14ac:dyDescent="0.35">
      <c r="A1007" t="s">
        <v>8</v>
      </c>
      <c r="B1007" t="s">
        <v>9</v>
      </c>
      <c r="C1007" t="str">
        <f t="shared" si="138"/>
        <v>11272</v>
      </c>
      <c r="D1007" t="s">
        <v>16</v>
      </c>
      <c r="E1007" t="str">
        <f t="shared" si="139"/>
        <v>23</v>
      </c>
      <c r="F1007">
        <v>25687</v>
      </c>
      <c r="G1007">
        <v>23566</v>
      </c>
      <c r="H1007">
        <v>970</v>
      </c>
      <c r="I1007" t="str">
        <f t="shared" si="142"/>
        <v>2</v>
      </c>
      <c r="J1007" t="str">
        <f t="shared" si="143"/>
        <v>N-VA</v>
      </c>
      <c r="K1007">
        <v>3034</v>
      </c>
      <c r="L1007">
        <v>4302</v>
      </c>
      <c r="M1007">
        <v>7336</v>
      </c>
      <c r="N1007">
        <v>6521</v>
      </c>
      <c r="O1007">
        <v>8</v>
      </c>
      <c r="P1007" t="str">
        <f>("3")</f>
        <v>3</v>
      </c>
      <c r="Q1007" t="str">
        <f>("LEYS Carine")</f>
        <v>LEYS Carine</v>
      </c>
      <c r="R1007">
        <v>396</v>
      </c>
      <c r="S1007">
        <v>396</v>
      </c>
      <c r="T1007">
        <v>0</v>
      </c>
      <c r="U1007">
        <v>3</v>
      </c>
    </row>
    <row r="1008" spans="1:24" x14ac:dyDescent="0.35">
      <c r="A1008" t="s">
        <v>8</v>
      </c>
      <c r="B1008" t="s">
        <v>9</v>
      </c>
      <c r="C1008" t="str">
        <f t="shared" si="138"/>
        <v>11272</v>
      </c>
      <c r="D1008" t="s">
        <v>16</v>
      </c>
      <c r="E1008" t="str">
        <f t="shared" si="139"/>
        <v>23</v>
      </c>
      <c r="F1008">
        <v>25687</v>
      </c>
      <c r="G1008">
        <v>23566</v>
      </c>
      <c r="H1008">
        <v>970</v>
      </c>
      <c r="I1008" t="str">
        <f t="shared" si="142"/>
        <v>2</v>
      </c>
      <c r="J1008" t="str">
        <f t="shared" si="143"/>
        <v>N-VA</v>
      </c>
      <c r="K1008">
        <v>3034</v>
      </c>
      <c r="L1008">
        <v>4302</v>
      </c>
      <c r="M1008">
        <v>7336</v>
      </c>
      <c r="N1008">
        <v>6521</v>
      </c>
      <c r="O1008">
        <v>8</v>
      </c>
      <c r="P1008" t="str">
        <f>("4")</f>
        <v>4</v>
      </c>
      <c r="Q1008" t="str">
        <f>("MILIS Guy")</f>
        <v>MILIS Guy</v>
      </c>
      <c r="R1008">
        <v>199</v>
      </c>
      <c r="S1008" t="s">
        <v>44</v>
      </c>
      <c r="T1008">
        <v>0</v>
      </c>
      <c r="V1008">
        <v>1</v>
      </c>
      <c r="W1008">
        <v>6521</v>
      </c>
      <c r="X1008">
        <v>1769</v>
      </c>
    </row>
    <row r="1009" spans="1:24" x14ac:dyDescent="0.35">
      <c r="A1009" t="s">
        <v>8</v>
      </c>
      <c r="B1009" t="s">
        <v>9</v>
      </c>
      <c r="C1009" t="str">
        <f t="shared" si="138"/>
        <v>11272</v>
      </c>
      <c r="D1009" t="s">
        <v>16</v>
      </c>
      <c r="E1009" t="str">
        <f t="shared" si="139"/>
        <v>23</v>
      </c>
      <c r="F1009">
        <v>25687</v>
      </c>
      <c r="G1009">
        <v>23566</v>
      </c>
      <c r="H1009">
        <v>970</v>
      </c>
      <c r="I1009" t="str">
        <f t="shared" si="142"/>
        <v>2</v>
      </c>
      <c r="J1009" t="str">
        <f t="shared" si="143"/>
        <v>N-VA</v>
      </c>
      <c r="K1009">
        <v>3034</v>
      </c>
      <c r="L1009">
        <v>4302</v>
      </c>
      <c r="M1009">
        <v>7336</v>
      </c>
      <c r="N1009">
        <v>6521</v>
      </c>
      <c r="O1009">
        <v>8</v>
      </c>
      <c r="P1009" t="str">
        <f>("5")</f>
        <v>5</v>
      </c>
      <c r="Q1009" t="str">
        <f>("SCHEPERS Christel")</f>
        <v>SCHEPERS Christel</v>
      </c>
      <c r="R1009">
        <v>327</v>
      </c>
      <c r="S1009">
        <v>327</v>
      </c>
      <c r="T1009">
        <v>0</v>
      </c>
      <c r="U1009">
        <v>4</v>
      </c>
    </row>
    <row r="1010" spans="1:24" x14ac:dyDescent="0.35">
      <c r="A1010" t="s">
        <v>8</v>
      </c>
      <c r="B1010" t="s">
        <v>9</v>
      </c>
      <c r="C1010" t="str">
        <f t="shared" si="138"/>
        <v>11272</v>
      </c>
      <c r="D1010" t="s">
        <v>16</v>
      </c>
      <c r="E1010" t="str">
        <f t="shared" si="139"/>
        <v>23</v>
      </c>
      <c r="F1010">
        <v>25687</v>
      </c>
      <c r="G1010">
        <v>23566</v>
      </c>
      <c r="H1010">
        <v>970</v>
      </c>
      <c r="I1010" t="str">
        <f t="shared" si="142"/>
        <v>2</v>
      </c>
      <c r="J1010" t="str">
        <f t="shared" si="143"/>
        <v>N-VA</v>
      </c>
      <c r="K1010">
        <v>3034</v>
      </c>
      <c r="L1010">
        <v>4302</v>
      </c>
      <c r="M1010">
        <v>7336</v>
      </c>
      <c r="N1010">
        <v>6521</v>
      </c>
      <c r="O1010">
        <v>8</v>
      </c>
      <c r="P1010" t="str">
        <f>("6")</f>
        <v>6</v>
      </c>
      <c r="Q1010" t="str">
        <f>("DE RANTER-SNIJDERS Josée")</f>
        <v>DE RANTER-SNIJDERS Josée</v>
      </c>
      <c r="R1010">
        <v>246</v>
      </c>
      <c r="S1010">
        <v>246</v>
      </c>
      <c r="T1010">
        <v>0</v>
      </c>
      <c r="U1010">
        <v>8</v>
      </c>
    </row>
    <row r="1011" spans="1:24" x14ac:dyDescent="0.35">
      <c r="A1011" t="s">
        <v>8</v>
      </c>
      <c r="B1011" t="s">
        <v>9</v>
      </c>
      <c r="C1011" t="str">
        <f t="shared" si="138"/>
        <v>11272</v>
      </c>
      <c r="D1011" t="s">
        <v>16</v>
      </c>
      <c r="E1011" t="str">
        <f t="shared" si="139"/>
        <v>23</v>
      </c>
      <c r="F1011">
        <v>25687</v>
      </c>
      <c r="G1011">
        <v>23566</v>
      </c>
      <c r="H1011">
        <v>970</v>
      </c>
      <c r="I1011" t="str">
        <f t="shared" si="142"/>
        <v>2</v>
      </c>
      <c r="J1011" t="str">
        <f t="shared" si="143"/>
        <v>N-VA</v>
      </c>
      <c r="K1011">
        <v>3034</v>
      </c>
      <c r="L1011">
        <v>4302</v>
      </c>
      <c r="M1011">
        <v>7336</v>
      </c>
      <c r="N1011">
        <v>6521</v>
      </c>
      <c r="O1011">
        <v>8</v>
      </c>
      <c r="P1011" t="str">
        <f>("7")</f>
        <v>7</v>
      </c>
      <c r="Q1011" t="str">
        <f>("VERVECKKEN Guido")</f>
        <v>VERVECKKEN Guido</v>
      </c>
      <c r="R1011">
        <v>272</v>
      </c>
      <c r="S1011">
        <v>272</v>
      </c>
      <c r="T1011">
        <v>0</v>
      </c>
      <c r="U1011">
        <v>7</v>
      </c>
    </row>
    <row r="1012" spans="1:24" x14ac:dyDescent="0.35">
      <c r="A1012" t="s">
        <v>8</v>
      </c>
      <c r="B1012" t="s">
        <v>9</v>
      </c>
      <c r="C1012" t="str">
        <f t="shared" si="138"/>
        <v>11272</v>
      </c>
      <c r="D1012" t="s">
        <v>16</v>
      </c>
      <c r="E1012" t="str">
        <f t="shared" si="139"/>
        <v>23</v>
      </c>
      <c r="F1012">
        <v>25687</v>
      </c>
      <c r="G1012">
        <v>23566</v>
      </c>
      <c r="H1012">
        <v>970</v>
      </c>
      <c r="I1012" t="str">
        <f t="shared" si="142"/>
        <v>2</v>
      </c>
      <c r="J1012" t="str">
        <f t="shared" si="143"/>
        <v>N-VA</v>
      </c>
      <c r="K1012">
        <v>3034</v>
      </c>
      <c r="L1012">
        <v>4302</v>
      </c>
      <c r="M1012">
        <v>7336</v>
      </c>
      <c r="N1012">
        <v>6521</v>
      </c>
      <c r="O1012">
        <v>8</v>
      </c>
      <c r="P1012" t="str">
        <f>("8")</f>
        <v>8</v>
      </c>
      <c r="Q1012" t="str">
        <f>("VAN OOSTERWIJCK Krisje")</f>
        <v>VAN OOSTERWIJCK Krisje</v>
      </c>
      <c r="R1012">
        <v>188</v>
      </c>
      <c r="S1012" t="s">
        <v>44</v>
      </c>
      <c r="T1012">
        <v>0</v>
      </c>
      <c r="V1012">
        <v>2</v>
      </c>
      <c r="W1012">
        <v>1957</v>
      </c>
      <c r="X1012">
        <v>0</v>
      </c>
    </row>
    <row r="1013" spans="1:24" x14ac:dyDescent="0.35">
      <c r="A1013" t="s">
        <v>8</v>
      </c>
      <c r="B1013" t="s">
        <v>9</v>
      </c>
      <c r="C1013" t="str">
        <f t="shared" si="138"/>
        <v>11272</v>
      </c>
      <c r="D1013" t="s">
        <v>16</v>
      </c>
      <c r="E1013" t="str">
        <f t="shared" si="139"/>
        <v>23</v>
      </c>
      <c r="F1013">
        <v>25687</v>
      </c>
      <c r="G1013">
        <v>23566</v>
      </c>
      <c r="H1013">
        <v>970</v>
      </c>
      <c r="I1013" t="str">
        <f t="shared" si="142"/>
        <v>2</v>
      </c>
      <c r="J1013" t="str">
        <f t="shared" si="143"/>
        <v>N-VA</v>
      </c>
      <c r="K1013">
        <v>3034</v>
      </c>
      <c r="L1013">
        <v>4302</v>
      </c>
      <c r="M1013">
        <v>7336</v>
      </c>
      <c r="N1013">
        <v>6521</v>
      </c>
      <c r="O1013">
        <v>8</v>
      </c>
      <c r="P1013" t="str">
        <f>("9")</f>
        <v>9</v>
      </c>
      <c r="Q1013" t="str">
        <f>("UMANS Kirsten")</f>
        <v>UMANS Kirsten</v>
      </c>
      <c r="R1013">
        <v>205</v>
      </c>
      <c r="S1013" t="s">
        <v>44</v>
      </c>
      <c r="T1013">
        <v>0</v>
      </c>
      <c r="V1013">
        <v>4</v>
      </c>
      <c r="W1013">
        <v>205</v>
      </c>
      <c r="X1013">
        <v>0</v>
      </c>
    </row>
    <row r="1014" spans="1:24" x14ac:dyDescent="0.35">
      <c r="A1014" t="s">
        <v>8</v>
      </c>
      <c r="B1014" t="s">
        <v>9</v>
      </c>
      <c r="C1014" t="str">
        <f t="shared" ref="C1014:C1045" si="144">("11272")</f>
        <v>11272</v>
      </c>
      <c r="D1014" t="s">
        <v>16</v>
      </c>
      <c r="E1014" t="str">
        <f t="shared" ref="E1014:E1045" si="145">("23")</f>
        <v>23</v>
      </c>
      <c r="F1014">
        <v>25687</v>
      </c>
      <c r="G1014">
        <v>23566</v>
      </c>
      <c r="H1014">
        <v>970</v>
      </c>
      <c r="I1014" t="str">
        <f t="shared" si="142"/>
        <v>2</v>
      </c>
      <c r="J1014" t="str">
        <f t="shared" si="143"/>
        <v>N-VA</v>
      </c>
      <c r="K1014">
        <v>3034</v>
      </c>
      <c r="L1014">
        <v>4302</v>
      </c>
      <c r="M1014">
        <v>7336</v>
      </c>
      <c r="N1014">
        <v>6521</v>
      </c>
      <c r="O1014">
        <v>8</v>
      </c>
      <c r="P1014" t="str">
        <f>("10")</f>
        <v>10</v>
      </c>
      <c r="Q1014" t="str">
        <f>("ENGELS Marc")</f>
        <v>ENGELS Marc</v>
      </c>
      <c r="R1014">
        <v>196</v>
      </c>
      <c r="S1014" t="s">
        <v>44</v>
      </c>
      <c r="T1014">
        <v>0</v>
      </c>
      <c r="V1014">
        <v>7</v>
      </c>
      <c r="W1014">
        <v>196</v>
      </c>
      <c r="X1014">
        <v>0</v>
      </c>
    </row>
    <row r="1015" spans="1:24" x14ac:dyDescent="0.35">
      <c r="A1015" t="s">
        <v>8</v>
      </c>
      <c r="B1015" t="s">
        <v>9</v>
      </c>
      <c r="C1015" t="str">
        <f t="shared" si="144"/>
        <v>11272</v>
      </c>
      <c r="D1015" t="s">
        <v>16</v>
      </c>
      <c r="E1015" t="str">
        <f t="shared" si="145"/>
        <v>23</v>
      </c>
      <c r="F1015">
        <v>25687</v>
      </c>
      <c r="G1015">
        <v>23566</v>
      </c>
      <c r="H1015">
        <v>970</v>
      </c>
      <c r="I1015" t="str">
        <f t="shared" si="142"/>
        <v>2</v>
      </c>
      <c r="J1015" t="str">
        <f t="shared" si="143"/>
        <v>N-VA</v>
      </c>
      <c r="K1015">
        <v>3034</v>
      </c>
      <c r="L1015">
        <v>4302</v>
      </c>
      <c r="M1015">
        <v>7336</v>
      </c>
      <c r="N1015">
        <v>6521</v>
      </c>
      <c r="O1015">
        <v>8</v>
      </c>
      <c r="P1015" t="str">
        <f>("11")</f>
        <v>11</v>
      </c>
      <c r="Q1015" t="str">
        <f>("BAUWENS Femke")</f>
        <v>BAUWENS Femke</v>
      </c>
      <c r="R1015">
        <v>200</v>
      </c>
      <c r="S1015" t="s">
        <v>44</v>
      </c>
      <c r="T1015">
        <v>0</v>
      </c>
      <c r="V1015">
        <v>6</v>
      </c>
      <c r="W1015">
        <v>200</v>
      </c>
      <c r="X1015">
        <v>0</v>
      </c>
    </row>
    <row r="1016" spans="1:24" x14ac:dyDescent="0.35">
      <c r="A1016" t="s">
        <v>8</v>
      </c>
      <c r="B1016" t="s">
        <v>9</v>
      </c>
      <c r="C1016" t="str">
        <f t="shared" si="144"/>
        <v>11272</v>
      </c>
      <c r="D1016" t="s">
        <v>16</v>
      </c>
      <c r="E1016" t="str">
        <f t="shared" si="145"/>
        <v>23</v>
      </c>
      <c r="F1016">
        <v>25687</v>
      </c>
      <c r="G1016">
        <v>23566</v>
      </c>
      <c r="H1016">
        <v>970</v>
      </c>
      <c r="I1016" t="str">
        <f t="shared" si="142"/>
        <v>2</v>
      </c>
      <c r="J1016" t="str">
        <f t="shared" si="143"/>
        <v>N-VA</v>
      </c>
      <c r="K1016">
        <v>3034</v>
      </c>
      <c r="L1016">
        <v>4302</v>
      </c>
      <c r="M1016">
        <v>7336</v>
      </c>
      <c r="N1016">
        <v>6521</v>
      </c>
      <c r="O1016">
        <v>8</v>
      </c>
      <c r="P1016" t="str">
        <f>("12")</f>
        <v>12</v>
      </c>
      <c r="Q1016" t="str">
        <f>("BRAEM Willy")</f>
        <v>BRAEM Willy</v>
      </c>
      <c r="R1016">
        <v>225</v>
      </c>
      <c r="S1016" t="s">
        <v>44</v>
      </c>
      <c r="T1016">
        <v>0</v>
      </c>
      <c r="V1016">
        <v>3</v>
      </c>
      <c r="W1016">
        <v>225</v>
      </c>
      <c r="X1016">
        <v>0</v>
      </c>
    </row>
    <row r="1017" spans="1:24" x14ac:dyDescent="0.35">
      <c r="A1017" t="s">
        <v>8</v>
      </c>
      <c r="B1017" t="s">
        <v>9</v>
      </c>
      <c r="C1017" t="str">
        <f t="shared" si="144"/>
        <v>11272</v>
      </c>
      <c r="D1017" t="s">
        <v>16</v>
      </c>
      <c r="E1017" t="str">
        <f t="shared" si="145"/>
        <v>23</v>
      </c>
      <c r="F1017">
        <v>25687</v>
      </c>
      <c r="G1017">
        <v>23566</v>
      </c>
      <c r="H1017">
        <v>970</v>
      </c>
      <c r="I1017" t="str">
        <f t="shared" si="142"/>
        <v>2</v>
      </c>
      <c r="J1017" t="str">
        <f t="shared" si="143"/>
        <v>N-VA</v>
      </c>
      <c r="K1017">
        <v>3034</v>
      </c>
      <c r="L1017">
        <v>4302</v>
      </c>
      <c r="M1017">
        <v>7336</v>
      </c>
      <c r="N1017">
        <v>6521</v>
      </c>
      <c r="O1017">
        <v>8</v>
      </c>
      <c r="P1017" t="str">
        <f>("13")</f>
        <v>13</v>
      </c>
      <c r="Q1017" t="str">
        <f>("VAN GYSEL Hilde")</f>
        <v>VAN GYSEL Hilde</v>
      </c>
      <c r="R1017">
        <v>202</v>
      </c>
      <c r="S1017" t="s">
        <v>44</v>
      </c>
      <c r="T1017">
        <v>0</v>
      </c>
      <c r="V1017">
        <v>5</v>
      </c>
      <c r="W1017">
        <v>202</v>
      </c>
      <c r="X1017">
        <v>0</v>
      </c>
    </row>
    <row r="1018" spans="1:24" x14ac:dyDescent="0.35">
      <c r="A1018" t="s">
        <v>8</v>
      </c>
      <c r="B1018" t="s">
        <v>9</v>
      </c>
      <c r="C1018" t="str">
        <f t="shared" si="144"/>
        <v>11272</v>
      </c>
      <c r="D1018" t="s">
        <v>16</v>
      </c>
      <c r="E1018" t="str">
        <f t="shared" si="145"/>
        <v>23</v>
      </c>
      <c r="F1018">
        <v>25687</v>
      </c>
      <c r="G1018">
        <v>23566</v>
      </c>
      <c r="H1018">
        <v>970</v>
      </c>
      <c r="I1018" t="str">
        <f t="shared" si="142"/>
        <v>2</v>
      </c>
      <c r="J1018" t="str">
        <f t="shared" si="143"/>
        <v>N-VA</v>
      </c>
      <c r="K1018">
        <v>3034</v>
      </c>
      <c r="L1018">
        <v>4302</v>
      </c>
      <c r="M1018">
        <v>7336</v>
      </c>
      <c r="N1018">
        <v>6521</v>
      </c>
      <c r="O1018">
        <v>8</v>
      </c>
      <c r="P1018" t="str">
        <f>("14")</f>
        <v>14</v>
      </c>
      <c r="Q1018" t="str">
        <f>("CARDINAS Robby")</f>
        <v>CARDINAS Robby</v>
      </c>
      <c r="R1018">
        <v>160</v>
      </c>
      <c r="S1018" t="s">
        <v>44</v>
      </c>
      <c r="T1018">
        <v>0</v>
      </c>
      <c r="V1018">
        <v>9</v>
      </c>
      <c r="W1018">
        <v>160</v>
      </c>
      <c r="X1018">
        <v>0</v>
      </c>
    </row>
    <row r="1019" spans="1:24" x14ac:dyDescent="0.35">
      <c r="A1019" t="s">
        <v>8</v>
      </c>
      <c r="B1019" t="s">
        <v>9</v>
      </c>
      <c r="C1019" t="str">
        <f t="shared" si="144"/>
        <v>11272</v>
      </c>
      <c r="D1019" t="s">
        <v>16</v>
      </c>
      <c r="E1019" t="str">
        <f t="shared" si="145"/>
        <v>23</v>
      </c>
      <c r="F1019">
        <v>25687</v>
      </c>
      <c r="G1019">
        <v>23566</v>
      </c>
      <c r="H1019">
        <v>970</v>
      </c>
      <c r="I1019" t="str">
        <f t="shared" si="142"/>
        <v>2</v>
      </c>
      <c r="J1019" t="str">
        <f t="shared" si="143"/>
        <v>N-VA</v>
      </c>
      <c r="K1019">
        <v>3034</v>
      </c>
      <c r="L1019">
        <v>4302</v>
      </c>
      <c r="M1019">
        <v>7336</v>
      </c>
      <c r="N1019">
        <v>6521</v>
      </c>
      <c r="O1019">
        <v>8</v>
      </c>
      <c r="P1019" t="str">
        <f>("15")</f>
        <v>15</v>
      </c>
      <c r="Q1019" t="str">
        <f>("PEETERS Tom")</f>
        <v>PEETERS Tom</v>
      </c>
      <c r="R1019">
        <v>288</v>
      </c>
      <c r="S1019">
        <v>288</v>
      </c>
      <c r="T1019">
        <v>0</v>
      </c>
      <c r="U1019">
        <v>6</v>
      </c>
    </row>
    <row r="1020" spans="1:24" x14ac:dyDescent="0.35">
      <c r="A1020" t="s">
        <v>8</v>
      </c>
      <c r="B1020" t="s">
        <v>9</v>
      </c>
      <c r="C1020" t="str">
        <f t="shared" si="144"/>
        <v>11272</v>
      </c>
      <c r="D1020" t="s">
        <v>16</v>
      </c>
      <c r="E1020" t="str">
        <f t="shared" si="145"/>
        <v>23</v>
      </c>
      <c r="F1020">
        <v>25687</v>
      </c>
      <c r="G1020">
        <v>23566</v>
      </c>
      <c r="H1020">
        <v>970</v>
      </c>
      <c r="I1020" t="str">
        <f t="shared" si="142"/>
        <v>2</v>
      </c>
      <c r="J1020" t="str">
        <f t="shared" si="143"/>
        <v>N-VA</v>
      </c>
      <c r="K1020">
        <v>3034</v>
      </c>
      <c r="L1020">
        <v>4302</v>
      </c>
      <c r="M1020">
        <v>7336</v>
      </c>
      <c r="N1020">
        <v>6521</v>
      </c>
      <c r="O1020">
        <v>8</v>
      </c>
      <c r="P1020" t="str">
        <f>("16")</f>
        <v>16</v>
      </c>
      <c r="Q1020" t="str">
        <f>("SCHOLLAERT Niki")</f>
        <v>SCHOLLAERT Niki</v>
      </c>
      <c r="R1020">
        <v>148</v>
      </c>
      <c r="S1020" t="s">
        <v>44</v>
      </c>
      <c r="T1020">
        <v>0</v>
      </c>
      <c r="V1020">
        <v>12</v>
      </c>
      <c r="W1020">
        <v>148</v>
      </c>
      <c r="X1020">
        <v>0</v>
      </c>
    </row>
    <row r="1021" spans="1:24" x14ac:dyDescent="0.35">
      <c r="A1021" t="s">
        <v>8</v>
      </c>
      <c r="B1021" t="s">
        <v>9</v>
      </c>
      <c r="C1021" t="str">
        <f t="shared" si="144"/>
        <v>11272</v>
      </c>
      <c r="D1021" t="s">
        <v>16</v>
      </c>
      <c r="E1021" t="str">
        <f t="shared" si="145"/>
        <v>23</v>
      </c>
      <c r="F1021">
        <v>25687</v>
      </c>
      <c r="G1021">
        <v>23566</v>
      </c>
      <c r="H1021">
        <v>970</v>
      </c>
      <c r="I1021" t="str">
        <f t="shared" si="142"/>
        <v>2</v>
      </c>
      <c r="J1021" t="str">
        <f t="shared" si="143"/>
        <v>N-VA</v>
      </c>
      <c r="K1021">
        <v>3034</v>
      </c>
      <c r="L1021">
        <v>4302</v>
      </c>
      <c r="M1021">
        <v>7336</v>
      </c>
      <c r="N1021">
        <v>6521</v>
      </c>
      <c r="O1021">
        <v>8</v>
      </c>
      <c r="P1021" t="str">
        <f>("17")</f>
        <v>17</v>
      </c>
      <c r="Q1021" t="str">
        <f>("CUYVERS Saskia")</f>
        <v>CUYVERS Saskia</v>
      </c>
      <c r="R1021">
        <v>132</v>
      </c>
      <c r="S1021" t="s">
        <v>44</v>
      </c>
      <c r="T1021">
        <v>0</v>
      </c>
      <c r="V1021">
        <v>15</v>
      </c>
      <c r="W1021">
        <v>132</v>
      </c>
      <c r="X1021">
        <v>0</v>
      </c>
    </row>
    <row r="1022" spans="1:24" x14ac:dyDescent="0.35">
      <c r="A1022" t="s">
        <v>8</v>
      </c>
      <c r="B1022" t="s">
        <v>9</v>
      </c>
      <c r="C1022" t="str">
        <f t="shared" si="144"/>
        <v>11272</v>
      </c>
      <c r="D1022" t="s">
        <v>16</v>
      </c>
      <c r="E1022" t="str">
        <f t="shared" si="145"/>
        <v>23</v>
      </c>
      <c r="F1022">
        <v>25687</v>
      </c>
      <c r="G1022">
        <v>23566</v>
      </c>
      <c r="H1022">
        <v>970</v>
      </c>
      <c r="I1022" t="str">
        <f t="shared" si="142"/>
        <v>2</v>
      </c>
      <c r="J1022" t="str">
        <f t="shared" si="143"/>
        <v>N-VA</v>
      </c>
      <c r="K1022">
        <v>3034</v>
      </c>
      <c r="L1022">
        <v>4302</v>
      </c>
      <c r="M1022">
        <v>7336</v>
      </c>
      <c r="N1022">
        <v>6521</v>
      </c>
      <c r="O1022">
        <v>8</v>
      </c>
      <c r="P1022" t="str">
        <f>("18")</f>
        <v>18</v>
      </c>
      <c r="Q1022" t="str">
        <f>("VAN DEN BLEEKEN Tom")</f>
        <v>VAN DEN BLEEKEN Tom</v>
      </c>
      <c r="R1022">
        <v>155</v>
      </c>
      <c r="S1022" t="s">
        <v>44</v>
      </c>
      <c r="T1022">
        <v>0</v>
      </c>
      <c r="V1022">
        <v>11</v>
      </c>
      <c r="W1022">
        <v>155</v>
      </c>
      <c r="X1022">
        <v>0</v>
      </c>
    </row>
    <row r="1023" spans="1:24" x14ac:dyDescent="0.35">
      <c r="A1023" t="s">
        <v>8</v>
      </c>
      <c r="B1023" t="s">
        <v>9</v>
      </c>
      <c r="C1023" t="str">
        <f t="shared" si="144"/>
        <v>11272</v>
      </c>
      <c r="D1023" t="s">
        <v>16</v>
      </c>
      <c r="E1023" t="str">
        <f t="shared" si="145"/>
        <v>23</v>
      </c>
      <c r="F1023">
        <v>25687</v>
      </c>
      <c r="G1023">
        <v>23566</v>
      </c>
      <c r="H1023">
        <v>970</v>
      </c>
      <c r="I1023" t="str">
        <f t="shared" si="142"/>
        <v>2</v>
      </c>
      <c r="J1023" t="str">
        <f t="shared" si="143"/>
        <v>N-VA</v>
      </c>
      <c r="K1023">
        <v>3034</v>
      </c>
      <c r="L1023">
        <v>4302</v>
      </c>
      <c r="M1023">
        <v>7336</v>
      </c>
      <c r="N1023">
        <v>6521</v>
      </c>
      <c r="O1023">
        <v>8</v>
      </c>
      <c r="P1023" t="str">
        <f>("19")</f>
        <v>19</v>
      </c>
      <c r="Q1023" t="str">
        <f>("ROBIJN Linda")</f>
        <v>ROBIJN Linda</v>
      </c>
      <c r="R1023">
        <v>158</v>
      </c>
      <c r="S1023" t="s">
        <v>44</v>
      </c>
      <c r="T1023">
        <v>0</v>
      </c>
      <c r="V1023">
        <v>10</v>
      </c>
      <c r="W1023">
        <v>158</v>
      </c>
      <c r="X1023">
        <v>0</v>
      </c>
    </row>
    <row r="1024" spans="1:24" x14ac:dyDescent="0.35">
      <c r="A1024" t="s">
        <v>8</v>
      </c>
      <c r="B1024" t="s">
        <v>9</v>
      </c>
      <c r="C1024" t="str">
        <f t="shared" si="144"/>
        <v>11272</v>
      </c>
      <c r="D1024" t="s">
        <v>16</v>
      </c>
      <c r="E1024" t="str">
        <f t="shared" si="145"/>
        <v>23</v>
      </c>
      <c r="F1024">
        <v>25687</v>
      </c>
      <c r="G1024">
        <v>23566</v>
      </c>
      <c r="H1024">
        <v>970</v>
      </c>
      <c r="I1024" t="str">
        <f t="shared" si="142"/>
        <v>2</v>
      </c>
      <c r="J1024" t="str">
        <f t="shared" si="143"/>
        <v>N-VA</v>
      </c>
      <c r="K1024">
        <v>3034</v>
      </c>
      <c r="L1024">
        <v>4302</v>
      </c>
      <c r="M1024">
        <v>7336</v>
      </c>
      <c r="N1024">
        <v>6521</v>
      </c>
      <c r="O1024">
        <v>8</v>
      </c>
      <c r="P1024" t="str">
        <f>("20")</f>
        <v>20</v>
      </c>
      <c r="Q1024" t="str">
        <f>("VAN BOGAERT Amaury")</f>
        <v>VAN BOGAERT Amaury</v>
      </c>
      <c r="R1024">
        <v>133</v>
      </c>
      <c r="S1024" t="s">
        <v>44</v>
      </c>
      <c r="T1024">
        <v>0</v>
      </c>
      <c r="V1024">
        <v>14</v>
      </c>
      <c r="W1024">
        <v>133</v>
      </c>
      <c r="X1024">
        <v>0</v>
      </c>
    </row>
    <row r="1025" spans="1:24" x14ac:dyDescent="0.35">
      <c r="A1025" t="s">
        <v>8</v>
      </c>
      <c r="B1025" t="s">
        <v>9</v>
      </c>
      <c r="C1025" t="str">
        <f t="shared" si="144"/>
        <v>11272</v>
      </c>
      <c r="D1025" t="s">
        <v>16</v>
      </c>
      <c r="E1025" t="str">
        <f t="shared" si="145"/>
        <v>23</v>
      </c>
      <c r="F1025">
        <v>25687</v>
      </c>
      <c r="G1025">
        <v>23566</v>
      </c>
      <c r="H1025">
        <v>970</v>
      </c>
      <c r="I1025" t="str">
        <f t="shared" si="142"/>
        <v>2</v>
      </c>
      <c r="J1025" t="str">
        <f t="shared" si="143"/>
        <v>N-VA</v>
      </c>
      <c r="K1025">
        <v>3034</v>
      </c>
      <c r="L1025">
        <v>4302</v>
      </c>
      <c r="M1025">
        <v>7336</v>
      </c>
      <c r="N1025">
        <v>6521</v>
      </c>
      <c r="O1025">
        <v>8</v>
      </c>
      <c r="P1025" t="str">
        <f>("21")</f>
        <v>21</v>
      </c>
      <c r="Q1025" t="str">
        <f>("AERENHOUTS Karen")</f>
        <v>AERENHOUTS Karen</v>
      </c>
      <c r="R1025">
        <v>170</v>
      </c>
      <c r="S1025" t="s">
        <v>44</v>
      </c>
      <c r="T1025">
        <v>0</v>
      </c>
      <c r="V1025">
        <v>8</v>
      </c>
      <c r="W1025">
        <v>170</v>
      </c>
      <c r="X1025">
        <v>0</v>
      </c>
    </row>
    <row r="1026" spans="1:24" x14ac:dyDescent="0.35">
      <c r="A1026" t="s">
        <v>8</v>
      </c>
      <c r="B1026" t="s">
        <v>9</v>
      </c>
      <c r="C1026" t="str">
        <f t="shared" si="144"/>
        <v>11272</v>
      </c>
      <c r="D1026" t="s">
        <v>16</v>
      </c>
      <c r="E1026" t="str">
        <f t="shared" si="145"/>
        <v>23</v>
      </c>
      <c r="F1026">
        <v>25687</v>
      </c>
      <c r="G1026">
        <v>23566</v>
      </c>
      <c r="H1026">
        <v>970</v>
      </c>
      <c r="I1026" t="str">
        <f t="shared" si="142"/>
        <v>2</v>
      </c>
      <c r="J1026" t="str">
        <f t="shared" si="143"/>
        <v>N-VA</v>
      </c>
      <c r="K1026">
        <v>3034</v>
      </c>
      <c r="L1026">
        <v>4302</v>
      </c>
      <c r="M1026">
        <v>7336</v>
      </c>
      <c r="N1026">
        <v>6521</v>
      </c>
      <c r="O1026">
        <v>8</v>
      </c>
      <c r="P1026" t="str">
        <f>("22")</f>
        <v>22</v>
      </c>
      <c r="Q1026" t="str">
        <f>("CEULEMANS Mark")</f>
        <v>CEULEMANS Mark</v>
      </c>
      <c r="R1026">
        <v>147</v>
      </c>
      <c r="S1026" t="s">
        <v>44</v>
      </c>
      <c r="T1026">
        <v>0</v>
      </c>
      <c r="V1026">
        <v>13</v>
      </c>
      <c r="W1026">
        <v>147</v>
      </c>
      <c r="X1026">
        <v>0</v>
      </c>
    </row>
    <row r="1027" spans="1:24" x14ac:dyDescent="0.35">
      <c r="A1027" t="s">
        <v>8</v>
      </c>
      <c r="B1027" t="s">
        <v>9</v>
      </c>
      <c r="C1027" t="str">
        <f t="shared" si="144"/>
        <v>11272</v>
      </c>
      <c r="D1027" t="s">
        <v>16</v>
      </c>
      <c r="E1027" t="str">
        <f t="shared" si="145"/>
        <v>23</v>
      </c>
      <c r="F1027">
        <v>25687</v>
      </c>
      <c r="G1027">
        <v>23566</v>
      </c>
      <c r="H1027">
        <v>970</v>
      </c>
      <c r="I1027" t="str">
        <f t="shared" si="142"/>
        <v>2</v>
      </c>
      <c r="J1027" t="str">
        <f t="shared" si="143"/>
        <v>N-VA</v>
      </c>
      <c r="K1027">
        <v>3034</v>
      </c>
      <c r="L1027">
        <v>4302</v>
      </c>
      <c r="M1027">
        <v>7336</v>
      </c>
      <c r="N1027">
        <v>6521</v>
      </c>
      <c r="O1027">
        <v>8</v>
      </c>
      <c r="P1027" t="str">
        <f>("23")</f>
        <v>23</v>
      </c>
      <c r="Q1027" t="str">
        <f>("LOVENIERS Franky")</f>
        <v>LOVENIERS Franky</v>
      </c>
      <c r="R1027">
        <v>293</v>
      </c>
      <c r="S1027">
        <v>293</v>
      </c>
      <c r="T1027">
        <v>0</v>
      </c>
      <c r="U1027">
        <v>5</v>
      </c>
    </row>
    <row r="1028" spans="1:24" x14ac:dyDescent="0.35">
      <c r="A1028" t="s">
        <v>8</v>
      </c>
      <c r="B1028" t="s">
        <v>9</v>
      </c>
      <c r="C1028" t="str">
        <f t="shared" si="144"/>
        <v>11272</v>
      </c>
      <c r="D1028" t="s">
        <v>16</v>
      </c>
      <c r="E1028" t="str">
        <f t="shared" si="145"/>
        <v>23</v>
      </c>
      <c r="F1028">
        <v>25687</v>
      </c>
      <c r="G1028">
        <v>23566</v>
      </c>
      <c r="H1028">
        <v>970</v>
      </c>
      <c r="I1028" t="str">
        <f t="shared" ref="I1028:I1050" si="146">("3")</f>
        <v>3</v>
      </c>
      <c r="J1028" t="str">
        <f t="shared" ref="J1028:J1050" si="147">("CD&amp;V")</f>
        <v>CD&amp;V</v>
      </c>
      <c r="K1028">
        <v>330</v>
      </c>
      <c r="L1028">
        <v>1132</v>
      </c>
      <c r="M1028">
        <v>1462</v>
      </c>
      <c r="N1028">
        <v>731</v>
      </c>
      <c r="O1028">
        <v>1</v>
      </c>
      <c r="P1028" t="str">
        <f>("1")</f>
        <v>1</v>
      </c>
      <c r="Q1028" t="str">
        <f>("KREKELS Carolyn")</f>
        <v>KREKELS Carolyn</v>
      </c>
      <c r="R1028">
        <v>341</v>
      </c>
      <c r="S1028">
        <v>451</v>
      </c>
      <c r="T1028">
        <v>0</v>
      </c>
      <c r="U1028">
        <v>1</v>
      </c>
    </row>
    <row r="1029" spans="1:24" x14ac:dyDescent="0.35">
      <c r="A1029" t="s">
        <v>8</v>
      </c>
      <c r="B1029" t="s">
        <v>9</v>
      </c>
      <c r="C1029" t="str">
        <f t="shared" si="144"/>
        <v>11272</v>
      </c>
      <c r="D1029" t="s">
        <v>16</v>
      </c>
      <c r="E1029" t="str">
        <f t="shared" si="145"/>
        <v>23</v>
      </c>
      <c r="F1029">
        <v>25687</v>
      </c>
      <c r="G1029">
        <v>23566</v>
      </c>
      <c r="H1029">
        <v>970</v>
      </c>
      <c r="I1029" t="str">
        <f t="shared" si="146"/>
        <v>3</v>
      </c>
      <c r="J1029" t="str">
        <f t="shared" si="147"/>
        <v>CD&amp;V</v>
      </c>
      <c r="K1029">
        <v>330</v>
      </c>
      <c r="L1029">
        <v>1132</v>
      </c>
      <c r="M1029">
        <v>1462</v>
      </c>
      <c r="N1029">
        <v>731</v>
      </c>
      <c r="O1029">
        <v>1</v>
      </c>
      <c r="P1029" t="str">
        <f>("2")</f>
        <v>2</v>
      </c>
      <c r="Q1029" t="str">
        <f>("VERCAUTEREN Bart")</f>
        <v>VERCAUTEREN Bart</v>
      </c>
      <c r="R1029">
        <v>152</v>
      </c>
      <c r="S1029" t="s">
        <v>44</v>
      </c>
      <c r="T1029">
        <v>0</v>
      </c>
      <c r="V1029">
        <v>1</v>
      </c>
      <c r="W1029">
        <v>262</v>
      </c>
      <c r="X1029">
        <v>0</v>
      </c>
    </row>
    <row r="1030" spans="1:24" x14ac:dyDescent="0.35">
      <c r="A1030" t="s">
        <v>8</v>
      </c>
      <c r="B1030" t="s">
        <v>9</v>
      </c>
      <c r="C1030" t="str">
        <f t="shared" si="144"/>
        <v>11272</v>
      </c>
      <c r="D1030" t="s">
        <v>16</v>
      </c>
      <c r="E1030" t="str">
        <f t="shared" si="145"/>
        <v>23</v>
      </c>
      <c r="F1030">
        <v>25687</v>
      </c>
      <c r="G1030">
        <v>23566</v>
      </c>
      <c r="H1030">
        <v>970</v>
      </c>
      <c r="I1030" t="str">
        <f t="shared" si="146"/>
        <v>3</v>
      </c>
      <c r="J1030" t="str">
        <f t="shared" si="147"/>
        <v>CD&amp;V</v>
      </c>
      <c r="K1030">
        <v>330</v>
      </c>
      <c r="L1030">
        <v>1132</v>
      </c>
      <c r="M1030">
        <v>1462</v>
      </c>
      <c r="N1030">
        <v>731</v>
      </c>
      <c r="O1030">
        <v>1</v>
      </c>
      <c r="P1030" t="str">
        <f>("3")</f>
        <v>3</v>
      </c>
      <c r="Q1030" t="str">
        <f>("MILANTS Rita")</f>
        <v>MILANTS Rita</v>
      </c>
      <c r="R1030">
        <v>127</v>
      </c>
      <c r="S1030" t="s">
        <v>44</v>
      </c>
      <c r="T1030">
        <v>0</v>
      </c>
      <c r="V1030">
        <v>4</v>
      </c>
      <c r="W1030">
        <v>127</v>
      </c>
      <c r="X1030">
        <v>0</v>
      </c>
    </row>
    <row r="1031" spans="1:24" x14ac:dyDescent="0.35">
      <c r="A1031" t="s">
        <v>8</v>
      </c>
      <c r="B1031" t="s">
        <v>9</v>
      </c>
      <c r="C1031" t="str">
        <f t="shared" si="144"/>
        <v>11272</v>
      </c>
      <c r="D1031" t="s">
        <v>16</v>
      </c>
      <c r="E1031" t="str">
        <f t="shared" si="145"/>
        <v>23</v>
      </c>
      <c r="F1031">
        <v>25687</v>
      </c>
      <c r="G1031">
        <v>23566</v>
      </c>
      <c r="H1031">
        <v>970</v>
      </c>
      <c r="I1031" t="str">
        <f t="shared" si="146"/>
        <v>3</v>
      </c>
      <c r="J1031" t="str">
        <f t="shared" si="147"/>
        <v>CD&amp;V</v>
      </c>
      <c r="K1031">
        <v>330</v>
      </c>
      <c r="L1031">
        <v>1132</v>
      </c>
      <c r="M1031">
        <v>1462</v>
      </c>
      <c r="N1031">
        <v>731</v>
      </c>
      <c r="O1031">
        <v>1</v>
      </c>
      <c r="P1031" t="str">
        <f>("4")</f>
        <v>4</v>
      </c>
      <c r="Q1031" t="str">
        <f>("QUINTELIER Hugo")</f>
        <v>QUINTELIER Hugo</v>
      </c>
      <c r="R1031">
        <v>124</v>
      </c>
      <c r="S1031" t="s">
        <v>44</v>
      </c>
      <c r="T1031">
        <v>0</v>
      </c>
      <c r="V1031">
        <v>5</v>
      </c>
      <c r="W1031">
        <v>124</v>
      </c>
      <c r="X1031">
        <v>0</v>
      </c>
    </row>
    <row r="1032" spans="1:24" x14ac:dyDescent="0.35">
      <c r="A1032" t="s">
        <v>8</v>
      </c>
      <c r="B1032" t="s">
        <v>9</v>
      </c>
      <c r="C1032" t="str">
        <f t="shared" si="144"/>
        <v>11272</v>
      </c>
      <c r="D1032" t="s">
        <v>16</v>
      </c>
      <c r="E1032" t="str">
        <f t="shared" si="145"/>
        <v>23</v>
      </c>
      <c r="F1032">
        <v>25687</v>
      </c>
      <c r="G1032">
        <v>23566</v>
      </c>
      <c r="H1032">
        <v>970</v>
      </c>
      <c r="I1032" t="str">
        <f t="shared" si="146"/>
        <v>3</v>
      </c>
      <c r="J1032" t="str">
        <f t="shared" si="147"/>
        <v>CD&amp;V</v>
      </c>
      <c r="K1032">
        <v>330</v>
      </c>
      <c r="L1032">
        <v>1132</v>
      </c>
      <c r="M1032">
        <v>1462</v>
      </c>
      <c r="N1032">
        <v>731</v>
      </c>
      <c r="O1032">
        <v>1</v>
      </c>
      <c r="P1032" t="str">
        <f>("5")</f>
        <v>5</v>
      </c>
      <c r="Q1032" t="str">
        <f>("ROBERT Godelieve")</f>
        <v>ROBERT Godelieve</v>
      </c>
      <c r="R1032">
        <v>56</v>
      </c>
      <c r="S1032" t="s">
        <v>44</v>
      </c>
      <c r="T1032">
        <v>0</v>
      </c>
      <c r="V1032">
        <v>12</v>
      </c>
      <c r="W1032">
        <v>56</v>
      </c>
      <c r="X1032">
        <v>0</v>
      </c>
    </row>
    <row r="1033" spans="1:24" x14ac:dyDescent="0.35">
      <c r="A1033" t="s">
        <v>8</v>
      </c>
      <c r="B1033" t="s">
        <v>9</v>
      </c>
      <c r="C1033" t="str">
        <f t="shared" si="144"/>
        <v>11272</v>
      </c>
      <c r="D1033" t="s">
        <v>16</v>
      </c>
      <c r="E1033" t="str">
        <f t="shared" si="145"/>
        <v>23</v>
      </c>
      <c r="F1033">
        <v>25687</v>
      </c>
      <c r="G1033">
        <v>23566</v>
      </c>
      <c r="H1033">
        <v>970</v>
      </c>
      <c r="I1033" t="str">
        <f t="shared" si="146"/>
        <v>3</v>
      </c>
      <c r="J1033" t="str">
        <f t="shared" si="147"/>
        <v>CD&amp;V</v>
      </c>
      <c r="K1033">
        <v>330</v>
      </c>
      <c r="L1033">
        <v>1132</v>
      </c>
      <c r="M1033">
        <v>1462</v>
      </c>
      <c r="N1033">
        <v>731</v>
      </c>
      <c r="O1033">
        <v>1</v>
      </c>
      <c r="P1033" t="str">
        <f>("6")</f>
        <v>6</v>
      </c>
      <c r="Q1033" t="str">
        <f>("VAN BEEK Jan")</f>
        <v>VAN BEEK Jan</v>
      </c>
      <c r="R1033">
        <v>83</v>
      </c>
      <c r="S1033" t="s">
        <v>44</v>
      </c>
      <c r="T1033">
        <v>0</v>
      </c>
      <c r="V1033">
        <v>8</v>
      </c>
      <c r="W1033">
        <v>83</v>
      </c>
      <c r="X1033">
        <v>0</v>
      </c>
    </row>
    <row r="1034" spans="1:24" x14ac:dyDescent="0.35">
      <c r="A1034" t="s">
        <v>8</v>
      </c>
      <c r="B1034" t="s">
        <v>9</v>
      </c>
      <c r="C1034" t="str">
        <f t="shared" si="144"/>
        <v>11272</v>
      </c>
      <c r="D1034" t="s">
        <v>16</v>
      </c>
      <c r="E1034" t="str">
        <f t="shared" si="145"/>
        <v>23</v>
      </c>
      <c r="F1034">
        <v>25687</v>
      </c>
      <c r="G1034">
        <v>23566</v>
      </c>
      <c r="H1034">
        <v>970</v>
      </c>
      <c r="I1034" t="str">
        <f t="shared" si="146"/>
        <v>3</v>
      </c>
      <c r="J1034" t="str">
        <f t="shared" si="147"/>
        <v>CD&amp;V</v>
      </c>
      <c r="K1034">
        <v>330</v>
      </c>
      <c r="L1034">
        <v>1132</v>
      </c>
      <c r="M1034">
        <v>1462</v>
      </c>
      <c r="N1034">
        <v>731</v>
      </c>
      <c r="O1034">
        <v>1</v>
      </c>
      <c r="P1034" t="str">
        <f>("7")</f>
        <v>7</v>
      </c>
      <c r="Q1034" t="str">
        <f>("NOENS Maria")</f>
        <v>NOENS Maria</v>
      </c>
      <c r="R1034">
        <v>41</v>
      </c>
      <c r="S1034" t="s">
        <v>44</v>
      </c>
      <c r="T1034">
        <v>0</v>
      </c>
      <c r="V1034">
        <v>14</v>
      </c>
      <c r="W1034">
        <v>41</v>
      </c>
      <c r="X1034">
        <v>0</v>
      </c>
    </row>
    <row r="1035" spans="1:24" x14ac:dyDescent="0.35">
      <c r="A1035" t="s">
        <v>8</v>
      </c>
      <c r="B1035" t="s">
        <v>9</v>
      </c>
      <c r="C1035" t="str">
        <f t="shared" si="144"/>
        <v>11272</v>
      </c>
      <c r="D1035" t="s">
        <v>16</v>
      </c>
      <c r="E1035" t="str">
        <f t="shared" si="145"/>
        <v>23</v>
      </c>
      <c r="F1035">
        <v>25687</v>
      </c>
      <c r="G1035">
        <v>23566</v>
      </c>
      <c r="H1035">
        <v>970</v>
      </c>
      <c r="I1035" t="str">
        <f t="shared" si="146"/>
        <v>3</v>
      </c>
      <c r="J1035" t="str">
        <f t="shared" si="147"/>
        <v>CD&amp;V</v>
      </c>
      <c r="K1035">
        <v>330</v>
      </c>
      <c r="L1035">
        <v>1132</v>
      </c>
      <c r="M1035">
        <v>1462</v>
      </c>
      <c r="N1035">
        <v>731</v>
      </c>
      <c r="O1035">
        <v>1</v>
      </c>
      <c r="P1035" t="str">
        <f>("8")</f>
        <v>8</v>
      </c>
      <c r="Q1035" t="str">
        <f>("DE LEENHEIR Jan")</f>
        <v>DE LEENHEIR Jan</v>
      </c>
      <c r="R1035">
        <v>95</v>
      </c>
      <c r="S1035" t="s">
        <v>44</v>
      </c>
      <c r="T1035">
        <v>0</v>
      </c>
      <c r="V1035">
        <v>7</v>
      </c>
      <c r="W1035">
        <v>95</v>
      </c>
      <c r="X1035">
        <v>0</v>
      </c>
    </row>
    <row r="1036" spans="1:24" x14ac:dyDescent="0.35">
      <c r="A1036" t="s">
        <v>8</v>
      </c>
      <c r="B1036" t="s">
        <v>9</v>
      </c>
      <c r="C1036" t="str">
        <f t="shared" si="144"/>
        <v>11272</v>
      </c>
      <c r="D1036" t="s">
        <v>16</v>
      </c>
      <c r="E1036" t="str">
        <f t="shared" si="145"/>
        <v>23</v>
      </c>
      <c r="F1036">
        <v>25687</v>
      </c>
      <c r="G1036">
        <v>23566</v>
      </c>
      <c r="H1036">
        <v>970</v>
      </c>
      <c r="I1036" t="str">
        <f t="shared" si="146"/>
        <v>3</v>
      </c>
      <c r="J1036" t="str">
        <f t="shared" si="147"/>
        <v>CD&amp;V</v>
      </c>
      <c r="K1036">
        <v>330</v>
      </c>
      <c r="L1036">
        <v>1132</v>
      </c>
      <c r="M1036">
        <v>1462</v>
      </c>
      <c r="N1036">
        <v>731</v>
      </c>
      <c r="O1036">
        <v>1</v>
      </c>
      <c r="P1036" t="str">
        <f>("9")</f>
        <v>9</v>
      </c>
      <c r="Q1036" t="str">
        <f>("DENIS Amanda")</f>
        <v>DENIS Amanda</v>
      </c>
      <c r="R1036">
        <v>33</v>
      </c>
      <c r="S1036" t="s">
        <v>44</v>
      </c>
      <c r="T1036">
        <v>0</v>
      </c>
      <c r="V1036">
        <v>17</v>
      </c>
      <c r="W1036">
        <v>33</v>
      </c>
      <c r="X1036">
        <v>0</v>
      </c>
    </row>
    <row r="1037" spans="1:24" x14ac:dyDescent="0.35">
      <c r="A1037" t="s">
        <v>8</v>
      </c>
      <c r="B1037" t="s">
        <v>9</v>
      </c>
      <c r="C1037" t="str">
        <f t="shared" si="144"/>
        <v>11272</v>
      </c>
      <c r="D1037" t="s">
        <v>16</v>
      </c>
      <c r="E1037" t="str">
        <f t="shared" si="145"/>
        <v>23</v>
      </c>
      <c r="F1037">
        <v>25687</v>
      </c>
      <c r="G1037">
        <v>23566</v>
      </c>
      <c r="H1037">
        <v>970</v>
      </c>
      <c r="I1037" t="str">
        <f t="shared" si="146"/>
        <v>3</v>
      </c>
      <c r="J1037" t="str">
        <f t="shared" si="147"/>
        <v>CD&amp;V</v>
      </c>
      <c r="K1037">
        <v>330</v>
      </c>
      <c r="L1037">
        <v>1132</v>
      </c>
      <c r="M1037">
        <v>1462</v>
      </c>
      <c r="N1037">
        <v>731</v>
      </c>
      <c r="O1037">
        <v>1</v>
      </c>
      <c r="P1037" t="str">
        <f>("10")</f>
        <v>10</v>
      </c>
      <c r="Q1037" t="str">
        <f>("VELTMANS Tom")</f>
        <v>VELTMANS Tom</v>
      </c>
      <c r="R1037">
        <v>45</v>
      </c>
      <c r="S1037" t="s">
        <v>44</v>
      </c>
      <c r="T1037">
        <v>0</v>
      </c>
      <c r="V1037">
        <v>13</v>
      </c>
      <c r="W1037">
        <v>45</v>
      </c>
      <c r="X1037">
        <v>0</v>
      </c>
    </row>
    <row r="1038" spans="1:24" x14ac:dyDescent="0.35">
      <c r="A1038" t="s">
        <v>8</v>
      </c>
      <c r="B1038" t="s">
        <v>9</v>
      </c>
      <c r="C1038" t="str">
        <f t="shared" si="144"/>
        <v>11272</v>
      </c>
      <c r="D1038" t="s">
        <v>16</v>
      </c>
      <c r="E1038" t="str">
        <f t="shared" si="145"/>
        <v>23</v>
      </c>
      <c r="F1038">
        <v>25687</v>
      </c>
      <c r="G1038">
        <v>23566</v>
      </c>
      <c r="H1038">
        <v>970</v>
      </c>
      <c r="I1038" t="str">
        <f t="shared" si="146"/>
        <v>3</v>
      </c>
      <c r="J1038" t="str">
        <f t="shared" si="147"/>
        <v>CD&amp;V</v>
      </c>
      <c r="K1038">
        <v>330</v>
      </c>
      <c r="L1038">
        <v>1132</v>
      </c>
      <c r="M1038">
        <v>1462</v>
      </c>
      <c r="N1038">
        <v>731</v>
      </c>
      <c r="O1038">
        <v>1</v>
      </c>
      <c r="P1038" t="str">
        <f>("11")</f>
        <v>11</v>
      </c>
      <c r="Q1038" t="str">
        <f>("VERSCHUEREN Rita")</f>
        <v>VERSCHUEREN Rita</v>
      </c>
      <c r="R1038">
        <v>34</v>
      </c>
      <c r="S1038" t="s">
        <v>44</v>
      </c>
      <c r="T1038">
        <v>0</v>
      </c>
      <c r="V1038">
        <v>16</v>
      </c>
      <c r="W1038">
        <v>34</v>
      </c>
      <c r="X1038">
        <v>0</v>
      </c>
    </row>
    <row r="1039" spans="1:24" x14ac:dyDescent="0.35">
      <c r="A1039" t="s">
        <v>8</v>
      </c>
      <c r="B1039" t="s">
        <v>9</v>
      </c>
      <c r="C1039" t="str">
        <f t="shared" si="144"/>
        <v>11272</v>
      </c>
      <c r="D1039" t="s">
        <v>16</v>
      </c>
      <c r="E1039" t="str">
        <f t="shared" si="145"/>
        <v>23</v>
      </c>
      <c r="F1039">
        <v>25687</v>
      </c>
      <c r="G1039">
        <v>23566</v>
      </c>
      <c r="H1039">
        <v>970</v>
      </c>
      <c r="I1039" t="str">
        <f t="shared" si="146"/>
        <v>3</v>
      </c>
      <c r="J1039" t="str">
        <f t="shared" si="147"/>
        <v>CD&amp;V</v>
      </c>
      <c r="K1039">
        <v>330</v>
      </c>
      <c r="L1039">
        <v>1132</v>
      </c>
      <c r="M1039">
        <v>1462</v>
      </c>
      <c r="N1039">
        <v>731</v>
      </c>
      <c r="O1039">
        <v>1</v>
      </c>
      <c r="P1039" t="str">
        <f>("12")</f>
        <v>12</v>
      </c>
      <c r="Q1039" t="str">
        <f>("SAÏFI Abdelkader")</f>
        <v>SAÏFI Abdelkader</v>
      </c>
      <c r="R1039">
        <v>149</v>
      </c>
      <c r="S1039" t="s">
        <v>44</v>
      </c>
      <c r="T1039">
        <v>0</v>
      </c>
      <c r="V1039">
        <v>3</v>
      </c>
      <c r="W1039">
        <v>149</v>
      </c>
      <c r="X1039">
        <v>0</v>
      </c>
    </row>
    <row r="1040" spans="1:24" x14ac:dyDescent="0.35">
      <c r="A1040" t="s">
        <v>8</v>
      </c>
      <c r="B1040" t="s">
        <v>9</v>
      </c>
      <c r="C1040" t="str">
        <f t="shared" si="144"/>
        <v>11272</v>
      </c>
      <c r="D1040" t="s">
        <v>16</v>
      </c>
      <c r="E1040" t="str">
        <f t="shared" si="145"/>
        <v>23</v>
      </c>
      <c r="F1040">
        <v>25687</v>
      </c>
      <c r="G1040">
        <v>23566</v>
      </c>
      <c r="H1040">
        <v>970</v>
      </c>
      <c r="I1040" t="str">
        <f t="shared" si="146"/>
        <v>3</v>
      </c>
      <c r="J1040" t="str">
        <f t="shared" si="147"/>
        <v>CD&amp;V</v>
      </c>
      <c r="K1040">
        <v>330</v>
      </c>
      <c r="L1040">
        <v>1132</v>
      </c>
      <c r="M1040">
        <v>1462</v>
      </c>
      <c r="N1040">
        <v>731</v>
      </c>
      <c r="O1040">
        <v>1</v>
      </c>
      <c r="P1040" t="str">
        <f>("13")</f>
        <v>13</v>
      </c>
      <c r="Q1040" t="str">
        <f>("VAN GEEL Alex")</f>
        <v>VAN GEEL Alex</v>
      </c>
      <c r="R1040">
        <v>29</v>
      </c>
      <c r="S1040" t="s">
        <v>44</v>
      </c>
      <c r="T1040">
        <v>0</v>
      </c>
      <c r="V1040">
        <v>19</v>
      </c>
      <c r="W1040">
        <v>29</v>
      </c>
      <c r="X1040">
        <v>0</v>
      </c>
    </row>
    <row r="1041" spans="1:24" x14ac:dyDescent="0.35">
      <c r="A1041" t="s">
        <v>8</v>
      </c>
      <c r="B1041" t="s">
        <v>9</v>
      </c>
      <c r="C1041" t="str">
        <f t="shared" si="144"/>
        <v>11272</v>
      </c>
      <c r="D1041" t="s">
        <v>16</v>
      </c>
      <c r="E1041" t="str">
        <f t="shared" si="145"/>
        <v>23</v>
      </c>
      <c r="F1041">
        <v>25687</v>
      </c>
      <c r="G1041">
        <v>23566</v>
      </c>
      <c r="H1041">
        <v>970</v>
      </c>
      <c r="I1041" t="str">
        <f t="shared" si="146"/>
        <v>3</v>
      </c>
      <c r="J1041" t="str">
        <f t="shared" si="147"/>
        <v>CD&amp;V</v>
      </c>
      <c r="K1041">
        <v>330</v>
      </c>
      <c r="L1041">
        <v>1132</v>
      </c>
      <c r="M1041">
        <v>1462</v>
      </c>
      <c r="N1041">
        <v>731</v>
      </c>
      <c r="O1041">
        <v>1</v>
      </c>
      <c r="P1041" t="str">
        <f>("14")</f>
        <v>14</v>
      </c>
      <c r="Q1041" t="str">
        <f>("KAKONGA BISOMBE Monique")</f>
        <v>KAKONGA BISOMBE Monique</v>
      </c>
      <c r="R1041">
        <v>36</v>
      </c>
      <c r="S1041" t="s">
        <v>44</v>
      </c>
      <c r="T1041">
        <v>0</v>
      </c>
      <c r="V1041">
        <v>15</v>
      </c>
      <c r="W1041">
        <v>36</v>
      </c>
      <c r="X1041">
        <v>0</v>
      </c>
    </row>
    <row r="1042" spans="1:24" x14ac:dyDescent="0.35">
      <c r="A1042" t="s">
        <v>8</v>
      </c>
      <c r="B1042" t="s">
        <v>9</v>
      </c>
      <c r="C1042" t="str">
        <f t="shared" si="144"/>
        <v>11272</v>
      </c>
      <c r="D1042" t="s">
        <v>16</v>
      </c>
      <c r="E1042" t="str">
        <f t="shared" si="145"/>
        <v>23</v>
      </c>
      <c r="F1042">
        <v>25687</v>
      </c>
      <c r="G1042">
        <v>23566</v>
      </c>
      <c r="H1042">
        <v>970</v>
      </c>
      <c r="I1042" t="str">
        <f t="shared" si="146"/>
        <v>3</v>
      </c>
      <c r="J1042" t="str">
        <f t="shared" si="147"/>
        <v>CD&amp;V</v>
      </c>
      <c r="K1042">
        <v>330</v>
      </c>
      <c r="L1042">
        <v>1132</v>
      </c>
      <c r="M1042">
        <v>1462</v>
      </c>
      <c r="N1042">
        <v>731</v>
      </c>
      <c r="O1042">
        <v>1</v>
      </c>
      <c r="P1042" t="str">
        <f>("15")</f>
        <v>15</v>
      </c>
      <c r="Q1042" t="str">
        <f>("QUINTELIER Herman")</f>
        <v>QUINTELIER Herman</v>
      </c>
      <c r="R1042">
        <v>100</v>
      </c>
      <c r="S1042" t="s">
        <v>44</v>
      </c>
      <c r="T1042">
        <v>0</v>
      </c>
      <c r="V1042">
        <v>6</v>
      </c>
      <c r="W1042">
        <v>100</v>
      </c>
      <c r="X1042">
        <v>0</v>
      </c>
    </row>
    <row r="1043" spans="1:24" x14ac:dyDescent="0.35">
      <c r="A1043" t="s">
        <v>8</v>
      </c>
      <c r="B1043" t="s">
        <v>9</v>
      </c>
      <c r="C1043" t="str">
        <f t="shared" si="144"/>
        <v>11272</v>
      </c>
      <c r="D1043" t="s">
        <v>16</v>
      </c>
      <c r="E1043" t="str">
        <f t="shared" si="145"/>
        <v>23</v>
      </c>
      <c r="F1043">
        <v>25687</v>
      </c>
      <c r="G1043">
        <v>23566</v>
      </c>
      <c r="H1043">
        <v>970</v>
      </c>
      <c r="I1043" t="str">
        <f t="shared" si="146"/>
        <v>3</v>
      </c>
      <c r="J1043" t="str">
        <f t="shared" si="147"/>
        <v>CD&amp;V</v>
      </c>
      <c r="K1043">
        <v>330</v>
      </c>
      <c r="L1043">
        <v>1132</v>
      </c>
      <c r="M1043">
        <v>1462</v>
      </c>
      <c r="N1043">
        <v>731</v>
      </c>
      <c r="O1043">
        <v>1</v>
      </c>
      <c r="P1043" t="str">
        <f>("16")</f>
        <v>16</v>
      </c>
      <c r="Q1043" t="str">
        <f>("BOSSUYT Christophe")</f>
        <v>BOSSUYT Christophe</v>
      </c>
      <c r="R1043">
        <v>29</v>
      </c>
      <c r="S1043" t="s">
        <v>44</v>
      </c>
      <c r="T1043">
        <v>0</v>
      </c>
      <c r="V1043">
        <v>20</v>
      </c>
      <c r="W1043">
        <v>29</v>
      </c>
      <c r="X1043">
        <v>0</v>
      </c>
    </row>
    <row r="1044" spans="1:24" x14ac:dyDescent="0.35">
      <c r="A1044" t="s">
        <v>8</v>
      </c>
      <c r="B1044" t="s">
        <v>9</v>
      </c>
      <c r="C1044" t="str">
        <f t="shared" si="144"/>
        <v>11272</v>
      </c>
      <c r="D1044" t="s">
        <v>16</v>
      </c>
      <c r="E1044" t="str">
        <f t="shared" si="145"/>
        <v>23</v>
      </c>
      <c r="F1044">
        <v>25687</v>
      </c>
      <c r="G1044">
        <v>23566</v>
      </c>
      <c r="H1044">
        <v>970</v>
      </c>
      <c r="I1044" t="str">
        <f t="shared" si="146"/>
        <v>3</v>
      </c>
      <c r="J1044" t="str">
        <f t="shared" si="147"/>
        <v>CD&amp;V</v>
      </c>
      <c r="K1044">
        <v>330</v>
      </c>
      <c r="L1044">
        <v>1132</v>
      </c>
      <c r="M1044">
        <v>1462</v>
      </c>
      <c r="N1044">
        <v>731</v>
      </c>
      <c r="O1044">
        <v>1</v>
      </c>
      <c r="P1044" t="str">
        <f>("17")</f>
        <v>17</v>
      </c>
      <c r="Q1044" t="str">
        <f>("DERYCKE Hermine")</f>
        <v>DERYCKE Hermine</v>
      </c>
      <c r="R1044">
        <v>18</v>
      </c>
      <c r="S1044" t="s">
        <v>44</v>
      </c>
      <c r="T1044">
        <v>0</v>
      </c>
      <c r="V1044">
        <v>22</v>
      </c>
      <c r="W1044">
        <v>18</v>
      </c>
      <c r="X1044">
        <v>0</v>
      </c>
    </row>
    <row r="1045" spans="1:24" x14ac:dyDescent="0.35">
      <c r="A1045" t="s">
        <v>8</v>
      </c>
      <c r="B1045" t="s">
        <v>9</v>
      </c>
      <c r="C1045" t="str">
        <f t="shared" si="144"/>
        <v>11272</v>
      </c>
      <c r="D1045" t="s">
        <v>16</v>
      </c>
      <c r="E1045" t="str">
        <f t="shared" si="145"/>
        <v>23</v>
      </c>
      <c r="F1045">
        <v>25687</v>
      </c>
      <c r="G1045">
        <v>23566</v>
      </c>
      <c r="H1045">
        <v>970</v>
      </c>
      <c r="I1045" t="str">
        <f t="shared" si="146"/>
        <v>3</v>
      </c>
      <c r="J1045" t="str">
        <f t="shared" si="147"/>
        <v>CD&amp;V</v>
      </c>
      <c r="K1045">
        <v>330</v>
      </c>
      <c r="L1045">
        <v>1132</v>
      </c>
      <c r="M1045">
        <v>1462</v>
      </c>
      <c r="N1045">
        <v>731</v>
      </c>
      <c r="O1045">
        <v>1</v>
      </c>
      <c r="P1045" t="str">
        <f>("18")</f>
        <v>18</v>
      </c>
      <c r="Q1045" t="str">
        <f>("VERSCHUEREN Theo")</f>
        <v>VERSCHUEREN Theo</v>
      </c>
      <c r="R1045">
        <v>25</v>
      </c>
      <c r="S1045" t="s">
        <v>44</v>
      </c>
      <c r="T1045">
        <v>0</v>
      </c>
      <c r="V1045">
        <v>21</v>
      </c>
      <c r="W1045">
        <v>25</v>
      </c>
      <c r="X1045">
        <v>0</v>
      </c>
    </row>
    <row r="1046" spans="1:24" x14ac:dyDescent="0.35">
      <c r="A1046" t="s">
        <v>8</v>
      </c>
      <c r="B1046" t="s">
        <v>9</v>
      </c>
      <c r="C1046" t="str">
        <f t="shared" ref="C1046:C1077" si="148">("11272")</f>
        <v>11272</v>
      </c>
      <c r="D1046" t="s">
        <v>16</v>
      </c>
      <c r="E1046" t="str">
        <f t="shared" ref="E1046:E1077" si="149">("23")</f>
        <v>23</v>
      </c>
      <c r="F1046">
        <v>25687</v>
      </c>
      <c r="G1046">
        <v>23566</v>
      </c>
      <c r="H1046">
        <v>970</v>
      </c>
      <c r="I1046" t="str">
        <f t="shared" si="146"/>
        <v>3</v>
      </c>
      <c r="J1046" t="str">
        <f t="shared" si="147"/>
        <v>CD&amp;V</v>
      </c>
      <c r="K1046">
        <v>330</v>
      </c>
      <c r="L1046">
        <v>1132</v>
      </c>
      <c r="M1046">
        <v>1462</v>
      </c>
      <c r="N1046">
        <v>731</v>
      </c>
      <c r="O1046">
        <v>1</v>
      </c>
      <c r="P1046" t="str">
        <f>("19")</f>
        <v>19</v>
      </c>
      <c r="Q1046" t="str">
        <f>("TOEN-JANSSENS Paula")</f>
        <v>TOEN-JANSSENS Paula</v>
      </c>
      <c r="R1046">
        <v>59</v>
      </c>
      <c r="S1046" t="s">
        <v>44</v>
      </c>
      <c r="T1046">
        <v>0</v>
      </c>
      <c r="V1046">
        <v>11</v>
      </c>
      <c r="W1046">
        <v>59</v>
      </c>
      <c r="X1046">
        <v>0</v>
      </c>
    </row>
    <row r="1047" spans="1:24" x14ac:dyDescent="0.35">
      <c r="A1047" t="s">
        <v>8</v>
      </c>
      <c r="B1047" t="s">
        <v>9</v>
      </c>
      <c r="C1047" t="str">
        <f t="shared" si="148"/>
        <v>11272</v>
      </c>
      <c r="D1047" t="s">
        <v>16</v>
      </c>
      <c r="E1047" t="str">
        <f t="shared" si="149"/>
        <v>23</v>
      </c>
      <c r="F1047">
        <v>25687</v>
      </c>
      <c r="G1047">
        <v>23566</v>
      </c>
      <c r="H1047">
        <v>970</v>
      </c>
      <c r="I1047" t="str">
        <f t="shared" si="146"/>
        <v>3</v>
      </c>
      <c r="J1047" t="str">
        <f t="shared" si="147"/>
        <v>CD&amp;V</v>
      </c>
      <c r="K1047">
        <v>330</v>
      </c>
      <c r="L1047">
        <v>1132</v>
      </c>
      <c r="M1047">
        <v>1462</v>
      </c>
      <c r="N1047">
        <v>731</v>
      </c>
      <c r="O1047">
        <v>1</v>
      </c>
      <c r="P1047" t="str">
        <f>("20")</f>
        <v>20</v>
      </c>
      <c r="Q1047" t="str">
        <f>("NAUWELAERTS Walter")</f>
        <v>NAUWELAERTS Walter</v>
      </c>
      <c r="R1047">
        <v>31</v>
      </c>
      <c r="S1047" t="s">
        <v>44</v>
      </c>
      <c r="T1047">
        <v>0</v>
      </c>
      <c r="V1047">
        <v>18</v>
      </c>
      <c r="W1047">
        <v>31</v>
      </c>
      <c r="X1047">
        <v>0</v>
      </c>
    </row>
    <row r="1048" spans="1:24" x14ac:dyDescent="0.35">
      <c r="A1048" t="s">
        <v>8</v>
      </c>
      <c r="B1048" t="s">
        <v>9</v>
      </c>
      <c r="C1048" t="str">
        <f t="shared" si="148"/>
        <v>11272</v>
      </c>
      <c r="D1048" t="s">
        <v>16</v>
      </c>
      <c r="E1048" t="str">
        <f t="shared" si="149"/>
        <v>23</v>
      </c>
      <c r="F1048">
        <v>25687</v>
      </c>
      <c r="G1048">
        <v>23566</v>
      </c>
      <c r="H1048">
        <v>970</v>
      </c>
      <c r="I1048" t="str">
        <f t="shared" si="146"/>
        <v>3</v>
      </c>
      <c r="J1048" t="str">
        <f t="shared" si="147"/>
        <v>CD&amp;V</v>
      </c>
      <c r="K1048">
        <v>330</v>
      </c>
      <c r="L1048">
        <v>1132</v>
      </c>
      <c r="M1048">
        <v>1462</v>
      </c>
      <c r="N1048">
        <v>731</v>
      </c>
      <c r="O1048">
        <v>1</v>
      </c>
      <c r="P1048" t="str">
        <f>("21")</f>
        <v>21</v>
      </c>
      <c r="Q1048" t="str">
        <f>("AERTS-DE LEEUW Mia")</f>
        <v>AERTS-DE LEEUW Mia</v>
      </c>
      <c r="R1048">
        <v>68</v>
      </c>
      <c r="S1048" t="s">
        <v>44</v>
      </c>
      <c r="T1048">
        <v>0</v>
      </c>
      <c r="V1048">
        <v>10</v>
      </c>
      <c r="W1048">
        <v>68</v>
      </c>
      <c r="X1048">
        <v>0</v>
      </c>
    </row>
    <row r="1049" spans="1:24" x14ac:dyDescent="0.35">
      <c r="A1049" t="s">
        <v>8</v>
      </c>
      <c r="B1049" t="s">
        <v>9</v>
      </c>
      <c r="C1049" t="str">
        <f t="shared" si="148"/>
        <v>11272</v>
      </c>
      <c r="D1049" t="s">
        <v>16</v>
      </c>
      <c r="E1049" t="str">
        <f t="shared" si="149"/>
        <v>23</v>
      </c>
      <c r="F1049">
        <v>25687</v>
      </c>
      <c r="G1049">
        <v>23566</v>
      </c>
      <c r="H1049">
        <v>970</v>
      </c>
      <c r="I1049" t="str">
        <f t="shared" si="146"/>
        <v>3</v>
      </c>
      <c r="J1049" t="str">
        <f t="shared" si="147"/>
        <v>CD&amp;V</v>
      </c>
      <c r="K1049">
        <v>330</v>
      </c>
      <c r="L1049">
        <v>1132</v>
      </c>
      <c r="M1049">
        <v>1462</v>
      </c>
      <c r="N1049">
        <v>731</v>
      </c>
      <c r="O1049">
        <v>1</v>
      </c>
      <c r="P1049" t="str">
        <f>("22")</f>
        <v>22</v>
      </c>
      <c r="Q1049" t="str">
        <f>("PEETERS Bob")</f>
        <v>PEETERS Bob</v>
      </c>
      <c r="R1049">
        <v>69</v>
      </c>
      <c r="S1049" t="s">
        <v>44</v>
      </c>
      <c r="T1049">
        <v>0</v>
      </c>
      <c r="V1049">
        <v>9</v>
      </c>
      <c r="W1049">
        <v>69</v>
      </c>
      <c r="X1049">
        <v>0</v>
      </c>
    </row>
    <row r="1050" spans="1:24" x14ac:dyDescent="0.35">
      <c r="A1050" t="s">
        <v>8</v>
      </c>
      <c r="B1050" t="s">
        <v>9</v>
      </c>
      <c r="C1050" t="str">
        <f t="shared" si="148"/>
        <v>11272</v>
      </c>
      <c r="D1050" t="s">
        <v>16</v>
      </c>
      <c r="E1050" t="str">
        <f t="shared" si="149"/>
        <v>23</v>
      </c>
      <c r="F1050">
        <v>25687</v>
      </c>
      <c r="G1050">
        <v>23566</v>
      </c>
      <c r="H1050">
        <v>970</v>
      </c>
      <c r="I1050" t="str">
        <f t="shared" si="146"/>
        <v>3</v>
      </c>
      <c r="J1050" t="str">
        <f t="shared" si="147"/>
        <v>CD&amp;V</v>
      </c>
      <c r="K1050">
        <v>330</v>
      </c>
      <c r="L1050">
        <v>1132</v>
      </c>
      <c r="M1050">
        <v>1462</v>
      </c>
      <c r="N1050">
        <v>731</v>
      </c>
      <c r="O1050">
        <v>1</v>
      </c>
      <c r="P1050" t="str">
        <f>("23")</f>
        <v>23</v>
      </c>
      <c r="Q1050" t="str">
        <f>("BASTIAENS Caroline")</f>
        <v>BASTIAENS Caroline</v>
      </c>
      <c r="R1050">
        <v>151</v>
      </c>
      <c r="S1050" t="s">
        <v>44</v>
      </c>
      <c r="T1050">
        <v>0</v>
      </c>
      <c r="V1050">
        <v>2</v>
      </c>
      <c r="W1050">
        <v>151</v>
      </c>
      <c r="X1050">
        <v>0</v>
      </c>
    </row>
    <row r="1051" spans="1:24" x14ac:dyDescent="0.35">
      <c r="A1051" t="s">
        <v>8</v>
      </c>
      <c r="B1051" t="s">
        <v>9</v>
      </c>
      <c r="C1051" t="str">
        <f t="shared" si="148"/>
        <v>11272</v>
      </c>
      <c r="D1051" t="s">
        <v>16</v>
      </c>
      <c r="E1051" t="str">
        <f t="shared" si="149"/>
        <v>23</v>
      </c>
      <c r="F1051">
        <v>25687</v>
      </c>
      <c r="G1051">
        <v>23566</v>
      </c>
      <c r="H1051">
        <v>970</v>
      </c>
      <c r="I1051" t="str">
        <f t="shared" ref="I1051:I1073" si="150">("4")</f>
        <v>4</v>
      </c>
      <c r="J1051" t="str">
        <f t="shared" ref="J1051:J1073" si="151">("Groen")</f>
        <v>Groen</v>
      </c>
      <c r="K1051">
        <v>934</v>
      </c>
      <c r="L1051">
        <v>1782</v>
      </c>
      <c r="M1051">
        <v>2716</v>
      </c>
      <c r="N1051">
        <v>2037</v>
      </c>
      <c r="O1051">
        <v>3</v>
      </c>
      <c r="P1051" t="str">
        <f>("1")</f>
        <v>1</v>
      </c>
      <c r="Q1051" t="str">
        <f>("FATHI Omar")</f>
        <v>FATHI Omar</v>
      </c>
      <c r="R1051">
        <v>722</v>
      </c>
      <c r="S1051">
        <v>1656</v>
      </c>
      <c r="T1051">
        <v>0</v>
      </c>
      <c r="U1051">
        <v>1</v>
      </c>
    </row>
    <row r="1052" spans="1:24" x14ac:dyDescent="0.35">
      <c r="A1052" t="s">
        <v>8</v>
      </c>
      <c r="B1052" t="s">
        <v>9</v>
      </c>
      <c r="C1052" t="str">
        <f t="shared" si="148"/>
        <v>11272</v>
      </c>
      <c r="D1052" t="s">
        <v>16</v>
      </c>
      <c r="E1052" t="str">
        <f t="shared" si="149"/>
        <v>23</v>
      </c>
      <c r="F1052">
        <v>25687</v>
      </c>
      <c r="G1052">
        <v>23566</v>
      </c>
      <c r="H1052">
        <v>970</v>
      </c>
      <c r="I1052" t="str">
        <f t="shared" si="150"/>
        <v>4</v>
      </c>
      <c r="J1052" t="str">
        <f t="shared" si="151"/>
        <v>Groen</v>
      </c>
      <c r="K1052">
        <v>934</v>
      </c>
      <c r="L1052">
        <v>1782</v>
      </c>
      <c r="M1052">
        <v>2716</v>
      </c>
      <c r="N1052">
        <v>2037</v>
      </c>
      <c r="O1052">
        <v>3</v>
      </c>
      <c r="P1052" t="str">
        <f>("2")</f>
        <v>2</v>
      </c>
      <c r="Q1052" t="str">
        <f>("SMEULDERS Hilde")</f>
        <v>SMEULDERS Hilde</v>
      </c>
      <c r="R1052">
        <v>252</v>
      </c>
      <c r="S1052">
        <v>252</v>
      </c>
      <c r="T1052">
        <v>0</v>
      </c>
      <c r="U1052">
        <v>3</v>
      </c>
    </row>
    <row r="1053" spans="1:24" x14ac:dyDescent="0.35">
      <c r="A1053" t="s">
        <v>8</v>
      </c>
      <c r="B1053" t="s">
        <v>9</v>
      </c>
      <c r="C1053" t="str">
        <f t="shared" si="148"/>
        <v>11272</v>
      </c>
      <c r="D1053" t="s">
        <v>16</v>
      </c>
      <c r="E1053" t="str">
        <f t="shared" si="149"/>
        <v>23</v>
      </c>
      <c r="F1053">
        <v>25687</v>
      </c>
      <c r="G1053">
        <v>23566</v>
      </c>
      <c r="H1053">
        <v>970</v>
      </c>
      <c r="I1053" t="str">
        <f t="shared" si="150"/>
        <v>4</v>
      </c>
      <c r="J1053" t="str">
        <f t="shared" si="151"/>
        <v>Groen</v>
      </c>
      <c r="K1053">
        <v>934</v>
      </c>
      <c r="L1053">
        <v>1782</v>
      </c>
      <c r="M1053">
        <v>2716</v>
      </c>
      <c r="N1053">
        <v>2037</v>
      </c>
      <c r="O1053">
        <v>3</v>
      </c>
      <c r="P1053" t="str">
        <f>("3")</f>
        <v>3</v>
      </c>
      <c r="Q1053" t="str">
        <f>("MARKAI Yassin")</f>
        <v>MARKAI Yassin</v>
      </c>
      <c r="R1053">
        <v>278</v>
      </c>
      <c r="S1053">
        <v>278</v>
      </c>
      <c r="T1053">
        <v>0</v>
      </c>
      <c r="U1053">
        <v>2</v>
      </c>
    </row>
    <row r="1054" spans="1:24" x14ac:dyDescent="0.35">
      <c r="A1054" t="s">
        <v>8</v>
      </c>
      <c r="B1054" t="s">
        <v>9</v>
      </c>
      <c r="C1054" t="str">
        <f t="shared" si="148"/>
        <v>11272</v>
      </c>
      <c r="D1054" t="s">
        <v>16</v>
      </c>
      <c r="E1054" t="str">
        <f t="shared" si="149"/>
        <v>23</v>
      </c>
      <c r="F1054">
        <v>25687</v>
      </c>
      <c r="G1054">
        <v>23566</v>
      </c>
      <c r="H1054">
        <v>970</v>
      </c>
      <c r="I1054" t="str">
        <f t="shared" si="150"/>
        <v>4</v>
      </c>
      <c r="J1054" t="str">
        <f t="shared" si="151"/>
        <v>Groen</v>
      </c>
      <c r="K1054">
        <v>934</v>
      </c>
      <c r="L1054">
        <v>1782</v>
      </c>
      <c r="M1054">
        <v>2716</v>
      </c>
      <c r="N1054">
        <v>2037</v>
      </c>
      <c r="O1054">
        <v>3</v>
      </c>
      <c r="P1054" t="str">
        <f>("4")</f>
        <v>4</v>
      </c>
      <c r="Q1054" t="str">
        <f>("VAN DYCK Betty")</f>
        <v>VAN DYCK Betty</v>
      </c>
      <c r="R1054">
        <v>134</v>
      </c>
      <c r="S1054" t="s">
        <v>44</v>
      </c>
      <c r="T1054">
        <v>0</v>
      </c>
      <c r="V1054">
        <v>1</v>
      </c>
      <c r="W1054">
        <v>1068</v>
      </c>
      <c r="X1054">
        <v>0</v>
      </c>
    </row>
    <row r="1055" spans="1:24" x14ac:dyDescent="0.35">
      <c r="A1055" t="s">
        <v>8</v>
      </c>
      <c r="B1055" t="s">
        <v>9</v>
      </c>
      <c r="C1055" t="str">
        <f t="shared" si="148"/>
        <v>11272</v>
      </c>
      <c r="D1055" t="s">
        <v>16</v>
      </c>
      <c r="E1055" t="str">
        <f t="shared" si="149"/>
        <v>23</v>
      </c>
      <c r="F1055">
        <v>25687</v>
      </c>
      <c r="G1055">
        <v>23566</v>
      </c>
      <c r="H1055">
        <v>970</v>
      </c>
      <c r="I1055" t="str">
        <f t="shared" si="150"/>
        <v>4</v>
      </c>
      <c r="J1055" t="str">
        <f t="shared" si="151"/>
        <v>Groen</v>
      </c>
      <c r="K1055">
        <v>934</v>
      </c>
      <c r="L1055">
        <v>1782</v>
      </c>
      <c r="M1055">
        <v>2716</v>
      </c>
      <c r="N1055">
        <v>2037</v>
      </c>
      <c r="O1055">
        <v>3</v>
      </c>
      <c r="P1055" t="str">
        <f>("5")</f>
        <v>5</v>
      </c>
      <c r="Q1055" t="str">
        <f>("AL DARWEESH Hilal")</f>
        <v>AL DARWEESH Hilal</v>
      </c>
      <c r="R1055">
        <v>96</v>
      </c>
      <c r="S1055" t="s">
        <v>44</v>
      </c>
      <c r="T1055">
        <v>0</v>
      </c>
      <c r="V1055">
        <v>7</v>
      </c>
      <c r="W1055">
        <v>96</v>
      </c>
      <c r="X1055">
        <v>0</v>
      </c>
    </row>
    <row r="1056" spans="1:24" x14ac:dyDescent="0.35">
      <c r="A1056" t="s">
        <v>8</v>
      </c>
      <c r="B1056" t="s">
        <v>9</v>
      </c>
      <c r="C1056" t="str">
        <f t="shared" si="148"/>
        <v>11272</v>
      </c>
      <c r="D1056" t="s">
        <v>16</v>
      </c>
      <c r="E1056" t="str">
        <f t="shared" si="149"/>
        <v>23</v>
      </c>
      <c r="F1056">
        <v>25687</v>
      </c>
      <c r="G1056">
        <v>23566</v>
      </c>
      <c r="H1056">
        <v>970</v>
      </c>
      <c r="I1056" t="str">
        <f t="shared" si="150"/>
        <v>4</v>
      </c>
      <c r="J1056" t="str">
        <f t="shared" si="151"/>
        <v>Groen</v>
      </c>
      <c r="K1056">
        <v>934</v>
      </c>
      <c r="L1056">
        <v>1782</v>
      </c>
      <c r="M1056">
        <v>2716</v>
      </c>
      <c r="N1056">
        <v>2037</v>
      </c>
      <c r="O1056">
        <v>3</v>
      </c>
      <c r="P1056" t="str">
        <f>("6")</f>
        <v>6</v>
      </c>
      <c r="Q1056" t="str">
        <f>("PICHAL Geert")</f>
        <v>PICHAL Geert</v>
      </c>
      <c r="R1056">
        <v>113</v>
      </c>
      <c r="S1056" t="s">
        <v>44</v>
      </c>
      <c r="T1056">
        <v>0</v>
      </c>
      <c r="V1056">
        <v>5</v>
      </c>
      <c r="W1056">
        <v>113</v>
      </c>
      <c r="X1056">
        <v>0</v>
      </c>
    </row>
    <row r="1057" spans="1:24" x14ac:dyDescent="0.35">
      <c r="A1057" t="s">
        <v>8</v>
      </c>
      <c r="B1057" t="s">
        <v>9</v>
      </c>
      <c r="C1057" t="str">
        <f t="shared" si="148"/>
        <v>11272</v>
      </c>
      <c r="D1057" t="s">
        <v>16</v>
      </c>
      <c r="E1057" t="str">
        <f t="shared" si="149"/>
        <v>23</v>
      </c>
      <c r="F1057">
        <v>25687</v>
      </c>
      <c r="G1057">
        <v>23566</v>
      </c>
      <c r="H1057">
        <v>970</v>
      </c>
      <c r="I1057" t="str">
        <f t="shared" si="150"/>
        <v>4</v>
      </c>
      <c r="J1057" t="str">
        <f t="shared" si="151"/>
        <v>Groen</v>
      </c>
      <c r="K1057">
        <v>934</v>
      </c>
      <c r="L1057">
        <v>1782</v>
      </c>
      <c r="M1057">
        <v>2716</v>
      </c>
      <c r="N1057">
        <v>2037</v>
      </c>
      <c r="O1057">
        <v>3</v>
      </c>
      <c r="P1057" t="str">
        <f>("7")</f>
        <v>7</v>
      </c>
      <c r="Q1057" t="str">
        <f>("STAUT Sam")</f>
        <v>STAUT Sam</v>
      </c>
      <c r="R1057">
        <v>186</v>
      </c>
      <c r="S1057" t="s">
        <v>44</v>
      </c>
      <c r="T1057">
        <v>0</v>
      </c>
      <c r="V1057">
        <v>2</v>
      </c>
      <c r="W1057">
        <v>186</v>
      </c>
      <c r="X1057">
        <v>0</v>
      </c>
    </row>
    <row r="1058" spans="1:24" x14ac:dyDescent="0.35">
      <c r="A1058" t="s">
        <v>8</v>
      </c>
      <c r="B1058" t="s">
        <v>9</v>
      </c>
      <c r="C1058" t="str">
        <f t="shared" si="148"/>
        <v>11272</v>
      </c>
      <c r="D1058" t="s">
        <v>16</v>
      </c>
      <c r="E1058" t="str">
        <f t="shared" si="149"/>
        <v>23</v>
      </c>
      <c r="F1058">
        <v>25687</v>
      </c>
      <c r="G1058">
        <v>23566</v>
      </c>
      <c r="H1058">
        <v>970</v>
      </c>
      <c r="I1058" t="str">
        <f t="shared" si="150"/>
        <v>4</v>
      </c>
      <c r="J1058" t="str">
        <f t="shared" si="151"/>
        <v>Groen</v>
      </c>
      <c r="K1058">
        <v>934</v>
      </c>
      <c r="L1058">
        <v>1782</v>
      </c>
      <c r="M1058">
        <v>2716</v>
      </c>
      <c r="N1058">
        <v>2037</v>
      </c>
      <c r="O1058">
        <v>3</v>
      </c>
      <c r="P1058" t="str">
        <f>("8")</f>
        <v>8</v>
      </c>
      <c r="Q1058" t="str">
        <f>("VAN DEN ELSACKER Noke")</f>
        <v>VAN DEN ELSACKER Noke</v>
      </c>
      <c r="R1058">
        <v>129</v>
      </c>
      <c r="S1058" t="s">
        <v>44</v>
      </c>
      <c r="T1058">
        <v>0</v>
      </c>
      <c r="V1058">
        <v>3</v>
      </c>
      <c r="W1058">
        <v>129</v>
      </c>
      <c r="X1058">
        <v>0</v>
      </c>
    </row>
    <row r="1059" spans="1:24" x14ac:dyDescent="0.35">
      <c r="A1059" t="s">
        <v>8</v>
      </c>
      <c r="B1059" t="s">
        <v>9</v>
      </c>
      <c r="C1059" t="str">
        <f t="shared" si="148"/>
        <v>11272</v>
      </c>
      <c r="D1059" t="s">
        <v>16</v>
      </c>
      <c r="E1059" t="str">
        <f t="shared" si="149"/>
        <v>23</v>
      </c>
      <c r="F1059">
        <v>25687</v>
      </c>
      <c r="G1059">
        <v>23566</v>
      </c>
      <c r="H1059">
        <v>970</v>
      </c>
      <c r="I1059" t="str">
        <f t="shared" si="150"/>
        <v>4</v>
      </c>
      <c r="J1059" t="str">
        <f t="shared" si="151"/>
        <v>Groen</v>
      </c>
      <c r="K1059">
        <v>934</v>
      </c>
      <c r="L1059">
        <v>1782</v>
      </c>
      <c r="M1059">
        <v>2716</v>
      </c>
      <c r="N1059">
        <v>2037</v>
      </c>
      <c r="O1059">
        <v>3</v>
      </c>
      <c r="P1059" t="str">
        <f>("9")</f>
        <v>9</v>
      </c>
      <c r="Q1059" t="str">
        <f>("DEPIÈRE Pauline")</f>
        <v>DEPIÈRE Pauline</v>
      </c>
      <c r="R1059">
        <v>54</v>
      </c>
      <c r="S1059" t="s">
        <v>44</v>
      </c>
      <c r="T1059">
        <v>0</v>
      </c>
      <c r="V1059">
        <v>18</v>
      </c>
      <c r="W1059">
        <v>54</v>
      </c>
      <c r="X1059">
        <v>0</v>
      </c>
    </row>
    <row r="1060" spans="1:24" x14ac:dyDescent="0.35">
      <c r="A1060" t="s">
        <v>8</v>
      </c>
      <c r="B1060" t="s">
        <v>9</v>
      </c>
      <c r="C1060" t="str">
        <f t="shared" si="148"/>
        <v>11272</v>
      </c>
      <c r="D1060" t="s">
        <v>16</v>
      </c>
      <c r="E1060" t="str">
        <f t="shared" si="149"/>
        <v>23</v>
      </c>
      <c r="F1060">
        <v>25687</v>
      </c>
      <c r="G1060">
        <v>23566</v>
      </c>
      <c r="H1060">
        <v>970</v>
      </c>
      <c r="I1060" t="str">
        <f t="shared" si="150"/>
        <v>4</v>
      </c>
      <c r="J1060" t="str">
        <f t="shared" si="151"/>
        <v>Groen</v>
      </c>
      <c r="K1060">
        <v>934</v>
      </c>
      <c r="L1060">
        <v>1782</v>
      </c>
      <c r="M1060">
        <v>2716</v>
      </c>
      <c r="N1060">
        <v>2037</v>
      </c>
      <c r="O1060">
        <v>3</v>
      </c>
      <c r="P1060" t="str">
        <f>("10")</f>
        <v>10</v>
      </c>
      <c r="Q1060" t="str">
        <f>("LOUPART François")</f>
        <v>LOUPART François</v>
      </c>
      <c r="R1060">
        <v>39</v>
      </c>
      <c r="S1060" t="s">
        <v>44</v>
      </c>
      <c r="T1060">
        <v>0</v>
      </c>
      <c r="V1060">
        <v>20</v>
      </c>
      <c r="W1060">
        <v>39</v>
      </c>
      <c r="X1060">
        <v>0</v>
      </c>
    </row>
    <row r="1061" spans="1:24" x14ac:dyDescent="0.35">
      <c r="A1061" t="s">
        <v>8</v>
      </c>
      <c r="B1061" t="s">
        <v>9</v>
      </c>
      <c r="C1061" t="str">
        <f t="shared" si="148"/>
        <v>11272</v>
      </c>
      <c r="D1061" t="s">
        <v>16</v>
      </c>
      <c r="E1061" t="str">
        <f t="shared" si="149"/>
        <v>23</v>
      </c>
      <c r="F1061">
        <v>25687</v>
      </c>
      <c r="G1061">
        <v>23566</v>
      </c>
      <c r="H1061">
        <v>970</v>
      </c>
      <c r="I1061" t="str">
        <f t="shared" si="150"/>
        <v>4</v>
      </c>
      <c r="J1061" t="str">
        <f t="shared" si="151"/>
        <v>Groen</v>
      </c>
      <c r="K1061">
        <v>934</v>
      </c>
      <c r="L1061">
        <v>1782</v>
      </c>
      <c r="M1061">
        <v>2716</v>
      </c>
      <c r="N1061">
        <v>2037</v>
      </c>
      <c r="O1061">
        <v>3</v>
      </c>
      <c r="P1061" t="str">
        <f>("11")</f>
        <v>11</v>
      </c>
      <c r="Q1061" t="str">
        <f>("WILLEMS Marga")</f>
        <v>WILLEMS Marga</v>
      </c>
      <c r="R1061">
        <v>57</v>
      </c>
      <c r="S1061" t="s">
        <v>44</v>
      </c>
      <c r="T1061">
        <v>0</v>
      </c>
      <c r="V1061">
        <v>17</v>
      </c>
      <c r="W1061">
        <v>57</v>
      </c>
      <c r="X1061">
        <v>0</v>
      </c>
    </row>
    <row r="1062" spans="1:24" x14ac:dyDescent="0.35">
      <c r="A1062" t="s">
        <v>8</v>
      </c>
      <c r="B1062" t="s">
        <v>9</v>
      </c>
      <c r="C1062" t="str">
        <f t="shared" si="148"/>
        <v>11272</v>
      </c>
      <c r="D1062" t="s">
        <v>16</v>
      </c>
      <c r="E1062" t="str">
        <f t="shared" si="149"/>
        <v>23</v>
      </c>
      <c r="F1062">
        <v>25687</v>
      </c>
      <c r="G1062">
        <v>23566</v>
      </c>
      <c r="H1062">
        <v>970</v>
      </c>
      <c r="I1062" t="str">
        <f t="shared" si="150"/>
        <v>4</v>
      </c>
      <c r="J1062" t="str">
        <f t="shared" si="151"/>
        <v>Groen</v>
      </c>
      <c r="K1062">
        <v>934</v>
      </c>
      <c r="L1062">
        <v>1782</v>
      </c>
      <c r="M1062">
        <v>2716</v>
      </c>
      <c r="N1062">
        <v>2037</v>
      </c>
      <c r="O1062">
        <v>3</v>
      </c>
      <c r="P1062" t="str">
        <f>("12")</f>
        <v>12</v>
      </c>
      <c r="Q1062" t="str">
        <f>("CASSIERS Koen")</f>
        <v>CASSIERS Koen</v>
      </c>
      <c r="R1062">
        <v>75</v>
      </c>
      <c r="S1062" t="s">
        <v>44</v>
      </c>
      <c r="T1062">
        <v>0</v>
      </c>
      <c r="V1062">
        <v>10</v>
      </c>
      <c r="W1062">
        <v>75</v>
      </c>
      <c r="X1062">
        <v>0</v>
      </c>
    </row>
    <row r="1063" spans="1:24" x14ac:dyDescent="0.35">
      <c r="A1063" t="s">
        <v>8</v>
      </c>
      <c r="B1063" t="s">
        <v>9</v>
      </c>
      <c r="C1063" t="str">
        <f t="shared" si="148"/>
        <v>11272</v>
      </c>
      <c r="D1063" t="s">
        <v>16</v>
      </c>
      <c r="E1063" t="str">
        <f t="shared" si="149"/>
        <v>23</v>
      </c>
      <c r="F1063">
        <v>25687</v>
      </c>
      <c r="G1063">
        <v>23566</v>
      </c>
      <c r="H1063">
        <v>970</v>
      </c>
      <c r="I1063" t="str">
        <f t="shared" si="150"/>
        <v>4</v>
      </c>
      <c r="J1063" t="str">
        <f t="shared" si="151"/>
        <v>Groen</v>
      </c>
      <c r="K1063">
        <v>934</v>
      </c>
      <c r="L1063">
        <v>1782</v>
      </c>
      <c r="M1063">
        <v>2716</v>
      </c>
      <c r="N1063">
        <v>2037</v>
      </c>
      <c r="O1063">
        <v>3</v>
      </c>
      <c r="P1063" t="str">
        <f>("13")</f>
        <v>13</v>
      </c>
      <c r="Q1063" t="str">
        <f>("VAN DEN ELSACKER Robert")</f>
        <v>VAN DEN ELSACKER Robert</v>
      </c>
      <c r="R1063">
        <v>74</v>
      </c>
      <c r="S1063" t="s">
        <v>44</v>
      </c>
      <c r="T1063">
        <v>0</v>
      </c>
      <c r="V1063">
        <v>11</v>
      </c>
      <c r="W1063">
        <v>74</v>
      </c>
      <c r="X1063">
        <v>0</v>
      </c>
    </row>
    <row r="1064" spans="1:24" x14ac:dyDescent="0.35">
      <c r="A1064" t="s">
        <v>8</v>
      </c>
      <c r="B1064" t="s">
        <v>9</v>
      </c>
      <c r="C1064" t="str">
        <f t="shared" si="148"/>
        <v>11272</v>
      </c>
      <c r="D1064" t="s">
        <v>16</v>
      </c>
      <c r="E1064" t="str">
        <f t="shared" si="149"/>
        <v>23</v>
      </c>
      <c r="F1064">
        <v>25687</v>
      </c>
      <c r="G1064">
        <v>23566</v>
      </c>
      <c r="H1064">
        <v>970</v>
      </c>
      <c r="I1064" t="str">
        <f t="shared" si="150"/>
        <v>4</v>
      </c>
      <c r="J1064" t="str">
        <f t="shared" si="151"/>
        <v>Groen</v>
      </c>
      <c r="K1064">
        <v>934</v>
      </c>
      <c r="L1064">
        <v>1782</v>
      </c>
      <c r="M1064">
        <v>2716</v>
      </c>
      <c r="N1064">
        <v>2037</v>
      </c>
      <c r="O1064">
        <v>3</v>
      </c>
      <c r="P1064" t="str">
        <f>("14")</f>
        <v>14</v>
      </c>
      <c r="Q1064" t="str">
        <f>("BEUCKELAERS Patricia")</f>
        <v>BEUCKELAERS Patricia</v>
      </c>
      <c r="R1064">
        <v>58</v>
      </c>
      <c r="S1064" t="s">
        <v>44</v>
      </c>
      <c r="T1064">
        <v>0</v>
      </c>
      <c r="V1064">
        <v>16</v>
      </c>
      <c r="W1064">
        <v>58</v>
      </c>
      <c r="X1064">
        <v>0</v>
      </c>
    </row>
    <row r="1065" spans="1:24" x14ac:dyDescent="0.35">
      <c r="A1065" t="s">
        <v>8</v>
      </c>
      <c r="B1065" t="s">
        <v>9</v>
      </c>
      <c r="C1065" t="str">
        <f t="shared" si="148"/>
        <v>11272</v>
      </c>
      <c r="D1065" t="s">
        <v>16</v>
      </c>
      <c r="E1065" t="str">
        <f t="shared" si="149"/>
        <v>23</v>
      </c>
      <c r="F1065">
        <v>25687</v>
      </c>
      <c r="G1065">
        <v>23566</v>
      </c>
      <c r="H1065">
        <v>970</v>
      </c>
      <c r="I1065" t="str">
        <f t="shared" si="150"/>
        <v>4</v>
      </c>
      <c r="J1065" t="str">
        <f t="shared" si="151"/>
        <v>Groen</v>
      </c>
      <c r="K1065">
        <v>934</v>
      </c>
      <c r="L1065">
        <v>1782</v>
      </c>
      <c r="M1065">
        <v>2716</v>
      </c>
      <c r="N1065">
        <v>2037</v>
      </c>
      <c r="O1065">
        <v>3</v>
      </c>
      <c r="P1065" t="str">
        <f>("15")</f>
        <v>15</v>
      </c>
      <c r="Q1065" t="str">
        <f>("ADAMS Anja")</f>
        <v>ADAMS Anja</v>
      </c>
      <c r="R1065">
        <v>62</v>
      </c>
      <c r="S1065" t="s">
        <v>44</v>
      </c>
      <c r="T1065">
        <v>0</v>
      </c>
      <c r="V1065">
        <v>15</v>
      </c>
      <c r="W1065">
        <v>62</v>
      </c>
      <c r="X1065">
        <v>0</v>
      </c>
    </row>
    <row r="1066" spans="1:24" x14ac:dyDescent="0.35">
      <c r="A1066" t="s">
        <v>8</v>
      </c>
      <c r="B1066" t="s">
        <v>9</v>
      </c>
      <c r="C1066" t="str">
        <f t="shared" si="148"/>
        <v>11272</v>
      </c>
      <c r="D1066" t="s">
        <v>16</v>
      </c>
      <c r="E1066" t="str">
        <f t="shared" si="149"/>
        <v>23</v>
      </c>
      <c r="F1066">
        <v>25687</v>
      </c>
      <c r="G1066">
        <v>23566</v>
      </c>
      <c r="H1066">
        <v>970</v>
      </c>
      <c r="I1066" t="str">
        <f t="shared" si="150"/>
        <v>4</v>
      </c>
      <c r="J1066" t="str">
        <f t="shared" si="151"/>
        <v>Groen</v>
      </c>
      <c r="K1066">
        <v>934</v>
      </c>
      <c r="L1066">
        <v>1782</v>
      </c>
      <c r="M1066">
        <v>2716</v>
      </c>
      <c r="N1066">
        <v>2037</v>
      </c>
      <c r="O1066">
        <v>3</v>
      </c>
      <c r="P1066" t="str">
        <f>("16")</f>
        <v>16</v>
      </c>
      <c r="Q1066" t="str">
        <f>("VERBIST Esther")</f>
        <v>VERBIST Esther</v>
      </c>
      <c r="R1066">
        <v>63</v>
      </c>
      <c r="S1066" t="s">
        <v>44</v>
      </c>
      <c r="T1066">
        <v>0</v>
      </c>
      <c r="V1066">
        <v>14</v>
      </c>
      <c r="W1066">
        <v>63</v>
      </c>
      <c r="X1066">
        <v>0</v>
      </c>
    </row>
    <row r="1067" spans="1:24" x14ac:dyDescent="0.35">
      <c r="A1067" t="s">
        <v>8</v>
      </c>
      <c r="B1067" t="s">
        <v>9</v>
      </c>
      <c r="C1067" t="str">
        <f t="shared" si="148"/>
        <v>11272</v>
      </c>
      <c r="D1067" t="s">
        <v>16</v>
      </c>
      <c r="E1067" t="str">
        <f t="shared" si="149"/>
        <v>23</v>
      </c>
      <c r="F1067">
        <v>25687</v>
      </c>
      <c r="G1067">
        <v>23566</v>
      </c>
      <c r="H1067">
        <v>970</v>
      </c>
      <c r="I1067" t="str">
        <f t="shared" si="150"/>
        <v>4</v>
      </c>
      <c r="J1067" t="str">
        <f t="shared" si="151"/>
        <v>Groen</v>
      </c>
      <c r="K1067">
        <v>934</v>
      </c>
      <c r="L1067">
        <v>1782</v>
      </c>
      <c r="M1067">
        <v>2716</v>
      </c>
      <c r="N1067">
        <v>2037</v>
      </c>
      <c r="O1067">
        <v>3</v>
      </c>
      <c r="P1067" t="str">
        <f>("17")</f>
        <v>17</v>
      </c>
      <c r="Q1067" t="str">
        <f>("VAN HOEY Jasper")</f>
        <v>VAN HOEY Jasper</v>
      </c>
      <c r="R1067">
        <v>74</v>
      </c>
      <c r="S1067" t="s">
        <v>44</v>
      </c>
      <c r="T1067">
        <v>0</v>
      </c>
      <c r="V1067">
        <v>12</v>
      </c>
      <c r="W1067">
        <v>74</v>
      </c>
      <c r="X1067">
        <v>0</v>
      </c>
    </row>
    <row r="1068" spans="1:24" x14ac:dyDescent="0.35">
      <c r="A1068" t="s">
        <v>8</v>
      </c>
      <c r="B1068" t="s">
        <v>9</v>
      </c>
      <c r="C1068" t="str">
        <f t="shared" si="148"/>
        <v>11272</v>
      </c>
      <c r="D1068" t="s">
        <v>16</v>
      </c>
      <c r="E1068" t="str">
        <f t="shared" si="149"/>
        <v>23</v>
      </c>
      <c r="F1068">
        <v>25687</v>
      </c>
      <c r="G1068">
        <v>23566</v>
      </c>
      <c r="H1068">
        <v>970</v>
      </c>
      <c r="I1068" t="str">
        <f t="shared" si="150"/>
        <v>4</v>
      </c>
      <c r="J1068" t="str">
        <f t="shared" si="151"/>
        <v>Groen</v>
      </c>
      <c r="K1068">
        <v>934</v>
      </c>
      <c r="L1068">
        <v>1782</v>
      </c>
      <c r="M1068">
        <v>2716</v>
      </c>
      <c r="N1068">
        <v>2037</v>
      </c>
      <c r="O1068">
        <v>3</v>
      </c>
      <c r="P1068" t="str">
        <f>("18")</f>
        <v>18</v>
      </c>
      <c r="Q1068" t="str">
        <f>("VAN DEN ELSACKER Marlies")</f>
        <v>VAN DEN ELSACKER Marlies</v>
      </c>
      <c r="R1068">
        <v>82</v>
      </c>
      <c r="S1068" t="s">
        <v>44</v>
      </c>
      <c r="T1068">
        <v>0</v>
      </c>
      <c r="V1068">
        <v>9</v>
      </c>
      <c r="W1068">
        <v>82</v>
      </c>
      <c r="X1068">
        <v>0</v>
      </c>
    </row>
    <row r="1069" spans="1:24" x14ac:dyDescent="0.35">
      <c r="A1069" t="s">
        <v>8</v>
      </c>
      <c r="B1069" t="s">
        <v>9</v>
      </c>
      <c r="C1069" t="str">
        <f t="shared" si="148"/>
        <v>11272</v>
      </c>
      <c r="D1069" t="s">
        <v>16</v>
      </c>
      <c r="E1069" t="str">
        <f t="shared" si="149"/>
        <v>23</v>
      </c>
      <c r="F1069">
        <v>25687</v>
      </c>
      <c r="G1069">
        <v>23566</v>
      </c>
      <c r="H1069">
        <v>970</v>
      </c>
      <c r="I1069" t="str">
        <f t="shared" si="150"/>
        <v>4</v>
      </c>
      <c r="J1069" t="str">
        <f t="shared" si="151"/>
        <v>Groen</v>
      </c>
      <c r="K1069">
        <v>934</v>
      </c>
      <c r="L1069">
        <v>1782</v>
      </c>
      <c r="M1069">
        <v>2716</v>
      </c>
      <c r="N1069">
        <v>2037</v>
      </c>
      <c r="O1069">
        <v>3</v>
      </c>
      <c r="P1069" t="str">
        <f>("19")</f>
        <v>19</v>
      </c>
      <c r="Q1069" t="str">
        <f>("VERSLUYS Matthias")</f>
        <v>VERSLUYS Matthias</v>
      </c>
      <c r="R1069">
        <v>92</v>
      </c>
      <c r="S1069" t="s">
        <v>44</v>
      </c>
      <c r="T1069">
        <v>0</v>
      </c>
      <c r="V1069">
        <v>8</v>
      </c>
      <c r="W1069">
        <v>92</v>
      </c>
      <c r="X1069">
        <v>0</v>
      </c>
    </row>
    <row r="1070" spans="1:24" x14ac:dyDescent="0.35">
      <c r="A1070" t="s">
        <v>8</v>
      </c>
      <c r="B1070" t="s">
        <v>9</v>
      </c>
      <c r="C1070" t="str">
        <f t="shared" si="148"/>
        <v>11272</v>
      </c>
      <c r="D1070" t="s">
        <v>16</v>
      </c>
      <c r="E1070" t="str">
        <f t="shared" si="149"/>
        <v>23</v>
      </c>
      <c r="F1070">
        <v>25687</v>
      </c>
      <c r="G1070">
        <v>23566</v>
      </c>
      <c r="H1070">
        <v>970</v>
      </c>
      <c r="I1070" t="str">
        <f t="shared" si="150"/>
        <v>4</v>
      </c>
      <c r="J1070" t="str">
        <f t="shared" si="151"/>
        <v>Groen</v>
      </c>
      <c r="K1070">
        <v>934</v>
      </c>
      <c r="L1070">
        <v>1782</v>
      </c>
      <c r="M1070">
        <v>2716</v>
      </c>
      <c r="N1070">
        <v>2037</v>
      </c>
      <c r="O1070">
        <v>3</v>
      </c>
      <c r="P1070" t="str">
        <f>("20")</f>
        <v>20</v>
      </c>
      <c r="Q1070" t="str">
        <f>("VAN DAMME Mariko")</f>
        <v>VAN DAMME Mariko</v>
      </c>
      <c r="R1070">
        <v>45</v>
      </c>
      <c r="S1070" t="s">
        <v>44</v>
      </c>
      <c r="T1070">
        <v>0</v>
      </c>
      <c r="V1070">
        <v>19</v>
      </c>
      <c r="W1070">
        <v>45</v>
      </c>
      <c r="X1070">
        <v>0</v>
      </c>
    </row>
    <row r="1071" spans="1:24" x14ac:dyDescent="0.35">
      <c r="A1071" t="s">
        <v>8</v>
      </c>
      <c r="B1071" t="s">
        <v>9</v>
      </c>
      <c r="C1071" t="str">
        <f t="shared" si="148"/>
        <v>11272</v>
      </c>
      <c r="D1071" t="s">
        <v>16</v>
      </c>
      <c r="E1071" t="str">
        <f t="shared" si="149"/>
        <v>23</v>
      </c>
      <c r="F1071">
        <v>25687</v>
      </c>
      <c r="G1071">
        <v>23566</v>
      </c>
      <c r="H1071">
        <v>970</v>
      </c>
      <c r="I1071" t="str">
        <f t="shared" si="150"/>
        <v>4</v>
      </c>
      <c r="J1071" t="str">
        <f t="shared" si="151"/>
        <v>Groen</v>
      </c>
      <c r="K1071">
        <v>934</v>
      </c>
      <c r="L1071">
        <v>1782</v>
      </c>
      <c r="M1071">
        <v>2716</v>
      </c>
      <c r="N1071">
        <v>2037</v>
      </c>
      <c r="O1071">
        <v>3</v>
      </c>
      <c r="P1071" t="str">
        <f>("21")</f>
        <v>21</v>
      </c>
      <c r="Q1071" t="str">
        <f>("TABAOUNI Karim")</f>
        <v>TABAOUNI Karim</v>
      </c>
      <c r="R1071">
        <v>115</v>
      </c>
      <c r="S1071" t="s">
        <v>44</v>
      </c>
      <c r="T1071">
        <v>0</v>
      </c>
      <c r="V1071">
        <v>4</v>
      </c>
      <c r="W1071">
        <v>115</v>
      </c>
      <c r="X1071">
        <v>0</v>
      </c>
    </row>
    <row r="1072" spans="1:24" x14ac:dyDescent="0.35">
      <c r="A1072" t="s">
        <v>8</v>
      </c>
      <c r="B1072" t="s">
        <v>9</v>
      </c>
      <c r="C1072" t="str">
        <f t="shared" si="148"/>
        <v>11272</v>
      </c>
      <c r="D1072" t="s">
        <v>16</v>
      </c>
      <c r="E1072" t="str">
        <f t="shared" si="149"/>
        <v>23</v>
      </c>
      <c r="F1072">
        <v>25687</v>
      </c>
      <c r="G1072">
        <v>23566</v>
      </c>
      <c r="H1072">
        <v>970</v>
      </c>
      <c r="I1072" t="str">
        <f t="shared" si="150"/>
        <v>4</v>
      </c>
      <c r="J1072" t="str">
        <f t="shared" si="151"/>
        <v>Groen</v>
      </c>
      <c r="K1072">
        <v>934</v>
      </c>
      <c r="L1072">
        <v>1782</v>
      </c>
      <c r="M1072">
        <v>2716</v>
      </c>
      <c r="N1072">
        <v>2037</v>
      </c>
      <c r="O1072">
        <v>3</v>
      </c>
      <c r="P1072" t="str">
        <f>("22")</f>
        <v>22</v>
      </c>
      <c r="Q1072" t="str">
        <f>("ZERHOUNI Rajaa")</f>
        <v>ZERHOUNI Rajaa</v>
      </c>
      <c r="R1072">
        <v>99</v>
      </c>
      <c r="S1072" t="s">
        <v>44</v>
      </c>
      <c r="T1072">
        <v>0</v>
      </c>
      <c r="V1072">
        <v>6</v>
      </c>
      <c r="W1072">
        <v>99</v>
      </c>
      <c r="X1072">
        <v>0</v>
      </c>
    </row>
    <row r="1073" spans="1:24" x14ac:dyDescent="0.35">
      <c r="A1073" t="s">
        <v>8</v>
      </c>
      <c r="B1073" t="s">
        <v>9</v>
      </c>
      <c r="C1073" t="str">
        <f t="shared" si="148"/>
        <v>11272</v>
      </c>
      <c r="D1073" t="s">
        <v>16</v>
      </c>
      <c r="E1073" t="str">
        <f t="shared" si="149"/>
        <v>23</v>
      </c>
      <c r="F1073">
        <v>25687</v>
      </c>
      <c r="G1073">
        <v>23566</v>
      </c>
      <c r="H1073">
        <v>970</v>
      </c>
      <c r="I1073" t="str">
        <f t="shared" si="150"/>
        <v>4</v>
      </c>
      <c r="J1073" t="str">
        <f t="shared" si="151"/>
        <v>Groen</v>
      </c>
      <c r="K1073">
        <v>934</v>
      </c>
      <c r="L1073">
        <v>1782</v>
      </c>
      <c r="M1073">
        <v>2716</v>
      </c>
      <c r="N1073">
        <v>2037</v>
      </c>
      <c r="O1073">
        <v>3</v>
      </c>
      <c r="P1073" t="str">
        <f>("23")</f>
        <v>23</v>
      </c>
      <c r="Q1073" t="str">
        <f>("LUYCKX Bruno")</f>
        <v>LUYCKX Bruno</v>
      </c>
      <c r="R1073">
        <v>68</v>
      </c>
      <c r="S1073" t="s">
        <v>44</v>
      </c>
      <c r="T1073">
        <v>0</v>
      </c>
      <c r="V1073">
        <v>13</v>
      </c>
      <c r="W1073">
        <v>68</v>
      </c>
      <c r="X1073">
        <v>0</v>
      </c>
    </row>
    <row r="1074" spans="1:24" x14ac:dyDescent="0.35">
      <c r="A1074" t="s">
        <v>8</v>
      </c>
      <c r="B1074" t="s">
        <v>9</v>
      </c>
      <c r="C1074" t="str">
        <f t="shared" si="148"/>
        <v>11272</v>
      </c>
      <c r="D1074" t="s">
        <v>16</v>
      </c>
      <c r="E1074" t="str">
        <f t="shared" si="149"/>
        <v>23</v>
      </c>
      <c r="F1074">
        <v>25687</v>
      </c>
      <c r="G1074">
        <v>23566</v>
      </c>
      <c r="H1074">
        <v>970</v>
      </c>
      <c r="I1074" t="str">
        <f t="shared" ref="I1074:I1089" si="152">("5")</f>
        <v>5</v>
      </c>
      <c r="J1074" t="str">
        <f t="shared" ref="J1074:J1089" si="153">("VLAAMS BELANG")</f>
        <v>VLAAMS BELANG</v>
      </c>
      <c r="K1074">
        <v>1337</v>
      </c>
      <c r="L1074">
        <v>2015</v>
      </c>
      <c r="M1074">
        <v>3352</v>
      </c>
      <c r="N1074">
        <v>2682</v>
      </c>
      <c r="O1074">
        <v>4</v>
      </c>
      <c r="P1074" t="str">
        <f>("1")</f>
        <v>1</v>
      </c>
      <c r="Q1074" t="str">
        <f>("WOUTERS Staf")</f>
        <v>WOUTERS Staf</v>
      </c>
      <c r="R1074">
        <v>1307</v>
      </c>
      <c r="S1074">
        <v>2682</v>
      </c>
      <c r="T1074">
        <v>408</v>
      </c>
      <c r="U1074">
        <v>1</v>
      </c>
    </row>
    <row r="1075" spans="1:24" x14ac:dyDescent="0.35">
      <c r="A1075" t="s">
        <v>8</v>
      </c>
      <c r="B1075" t="s">
        <v>9</v>
      </c>
      <c r="C1075" t="str">
        <f t="shared" si="148"/>
        <v>11272</v>
      </c>
      <c r="D1075" t="s">
        <v>16</v>
      </c>
      <c r="E1075" t="str">
        <f t="shared" si="149"/>
        <v>23</v>
      </c>
      <c r="F1075">
        <v>25687</v>
      </c>
      <c r="G1075">
        <v>23566</v>
      </c>
      <c r="H1075">
        <v>970</v>
      </c>
      <c r="I1075" t="str">
        <f t="shared" si="152"/>
        <v>5</v>
      </c>
      <c r="J1075" t="str">
        <f t="shared" si="153"/>
        <v>VLAAMS BELANG</v>
      </c>
      <c r="K1075">
        <v>1337</v>
      </c>
      <c r="L1075">
        <v>2015</v>
      </c>
      <c r="M1075">
        <v>3352</v>
      </c>
      <c r="N1075">
        <v>2682</v>
      </c>
      <c r="O1075">
        <v>4</v>
      </c>
      <c r="P1075" t="str">
        <f>("2")</f>
        <v>2</v>
      </c>
      <c r="Q1075" t="str">
        <f>("SIX-HEYLEN Elke")</f>
        <v>SIX-HEYLEN Elke</v>
      </c>
      <c r="R1075">
        <v>167</v>
      </c>
      <c r="S1075">
        <v>575</v>
      </c>
      <c r="T1075">
        <v>0</v>
      </c>
      <c r="U1075">
        <v>2</v>
      </c>
    </row>
    <row r="1076" spans="1:24" x14ac:dyDescent="0.35">
      <c r="A1076" t="s">
        <v>8</v>
      </c>
      <c r="B1076" t="s">
        <v>9</v>
      </c>
      <c r="C1076" t="str">
        <f t="shared" si="148"/>
        <v>11272</v>
      </c>
      <c r="D1076" t="s">
        <v>16</v>
      </c>
      <c r="E1076" t="str">
        <f t="shared" si="149"/>
        <v>23</v>
      </c>
      <c r="F1076">
        <v>25687</v>
      </c>
      <c r="G1076">
        <v>23566</v>
      </c>
      <c r="H1076">
        <v>970</v>
      </c>
      <c r="I1076" t="str">
        <f t="shared" si="152"/>
        <v>5</v>
      </c>
      <c r="J1076" t="str">
        <f t="shared" si="153"/>
        <v>VLAAMS BELANG</v>
      </c>
      <c r="K1076">
        <v>1337</v>
      </c>
      <c r="L1076">
        <v>2015</v>
      </c>
      <c r="M1076">
        <v>3352</v>
      </c>
      <c r="N1076">
        <v>2682</v>
      </c>
      <c r="O1076">
        <v>4</v>
      </c>
      <c r="P1076" t="str">
        <f>("3")</f>
        <v>3</v>
      </c>
      <c r="Q1076" t="str">
        <f>("GORREBEECK Fred")</f>
        <v>GORREBEECK Fred</v>
      </c>
      <c r="R1076">
        <v>106</v>
      </c>
      <c r="S1076" t="s">
        <v>44</v>
      </c>
      <c r="T1076">
        <v>0</v>
      </c>
      <c r="V1076">
        <v>1</v>
      </c>
      <c r="W1076">
        <v>1889</v>
      </c>
      <c r="X1076">
        <v>0</v>
      </c>
    </row>
    <row r="1077" spans="1:24" x14ac:dyDescent="0.35">
      <c r="A1077" t="s">
        <v>8</v>
      </c>
      <c r="B1077" t="s">
        <v>9</v>
      </c>
      <c r="C1077" t="str">
        <f t="shared" si="148"/>
        <v>11272</v>
      </c>
      <c r="D1077" t="s">
        <v>16</v>
      </c>
      <c r="E1077" t="str">
        <f t="shared" si="149"/>
        <v>23</v>
      </c>
      <c r="F1077">
        <v>25687</v>
      </c>
      <c r="G1077">
        <v>23566</v>
      </c>
      <c r="H1077">
        <v>970</v>
      </c>
      <c r="I1077" t="str">
        <f t="shared" si="152"/>
        <v>5</v>
      </c>
      <c r="J1077" t="str">
        <f t="shared" si="153"/>
        <v>VLAAMS BELANG</v>
      </c>
      <c r="K1077">
        <v>1337</v>
      </c>
      <c r="L1077">
        <v>2015</v>
      </c>
      <c r="M1077">
        <v>3352</v>
      </c>
      <c r="N1077">
        <v>2682</v>
      </c>
      <c r="O1077">
        <v>4</v>
      </c>
      <c r="P1077" t="str">
        <f>("4")</f>
        <v>4</v>
      </c>
      <c r="Q1077" t="str">
        <f>("LAUREYS Hilde")</f>
        <v>LAUREYS Hilde</v>
      </c>
      <c r="R1077">
        <v>165</v>
      </c>
      <c r="S1077">
        <v>165</v>
      </c>
      <c r="T1077">
        <v>0</v>
      </c>
      <c r="U1077">
        <v>3</v>
      </c>
    </row>
    <row r="1078" spans="1:24" x14ac:dyDescent="0.35">
      <c r="A1078" t="s">
        <v>8</v>
      </c>
      <c r="B1078" t="s">
        <v>9</v>
      </c>
      <c r="C1078" t="str">
        <f t="shared" ref="C1078:C1109" si="154">("11272")</f>
        <v>11272</v>
      </c>
      <c r="D1078" t="s">
        <v>16</v>
      </c>
      <c r="E1078" t="str">
        <f t="shared" ref="E1078:E1109" si="155">("23")</f>
        <v>23</v>
      </c>
      <c r="F1078">
        <v>25687</v>
      </c>
      <c r="G1078">
        <v>23566</v>
      </c>
      <c r="H1078">
        <v>970</v>
      </c>
      <c r="I1078" t="str">
        <f t="shared" si="152"/>
        <v>5</v>
      </c>
      <c r="J1078" t="str">
        <f t="shared" si="153"/>
        <v>VLAAMS BELANG</v>
      </c>
      <c r="K1078">
        <v>1337</v>
      </c>
      <c r="L1078">
        <v>2015</v>
      </c>
      <c r="M1078">
        <v>3352</v>
      </c>
      <c r="N1078">
        <v>2682</v>
      </c>
      <c r="O1078">
        <v>4</v>
      </c>
      <c r="P1078" t="str">
        <f>("5")</f>
        <v>5</v>
      </c>
      <c r="Q1078" t="str">
        <f>("WIEME Dirk")</f>
        <v>WIEME Dirk</v>
      </c>
      <c r="R1078">
        <v>109</v>
      </c>
      <c r="S1078" t="s">
        <v>44</v>
      </c>
      <c r="T1078">
        <v>0</v>
      </c>
      <c r="V1078">
        <v>3</v>
      </c>
      <c r="W1078">
        <v>109</v>
      </c>
      <c r="X1078">
        <v>0</v>
      </c>
    </row>
    <row r="1079" spans="1:24" x14ac:dyDescent="0.35">
      <c r="A1079" t="s">
        <v>8</v>
      </c>
      <c r="B1079" t="s">
        <v>9</v>
      </c>
      <c r="C1079" t="str">
        <f t="shared" si="154"/>
        <v>11272</v>
      </c>
      <c r="D1079" t="s">
        <v>16</v>
      </c>
      <c r="E1079" t="str">
        <f t="shared" si="155"/>
        <v>23</v>
      </c>
      <c r="F1079">
        <v>25687</v>
      </c>
      <c r="G1079">
        <v>23566</v>
      </c>
      <c r="H1079">
        <v>970</v>
      </c>
      <c r="I1079" t="str">
        <f t="shared" si="152"/>
        <v>5</v>
      </c>
      <c r="J1079" t="str">
        <f t="shared" si="153"/>
        <v>VLAAMS BELANG</v>
      </c>
      <c r="K1079">
        <v>1337</v>
      </c>
      <c r="L1079">
        <v>2015</v>
      </c>
      <c r="M1079">
        <v>3352</v>
      </c>
      <c r="N1079">
        <v>2682</v>
      </c>
      <c r="O1079">
        <v>4</v>
      </c>
      <c r="P1079" t="str">
        <f>("6")</f>
        <v>6</v>
      </c>
      <c r="Q1079" t="str">
        <f>("SMETS Emile")</f>
        <v>SMETS Emile</v>
      </c>
      <c r="R1079">
        <v>110</v>
      </c>
      <c r="S1079" t="s">
        <v>44</v>
      </c>
      <c r="T1079">
        <v>0</v>
      </c>
      <c r="V1079">
        <v>2</v>
      </c>
      <c r="W1079">
        <v>110</v>
      </c>
      <c r="X1079">
        <v>0</v>
      </c>
    </row>
    <row r="1080" spans="1:24" x14ac:dyDescent="0.35">
      <c r="A1080" t="s">
        <v>8</v>
      </c>
      <c r="B1080" t="s">
        <v>9</v>
      </c>
      <c r="C1080" t="str">
        <f t="shared" si="154"/>
        <v>11272</v>
      </c>
      <c r="D1080" t="s">
        <v>16</v>
      </c>
      <c r="E1080" t="str">
        <f t="shared" si="155"/>
        <v>23</v>
      </c>
      <c r="F1080">
        <v>25687</v>
      </c>
      <c r="G1080">
        <v>23566</v>
      </c>
      <c r="H1080">
        <v>970</v>
      </c>
      <c r="I1080" t="str">
        <f t="shared" si="152"/>
        <v>5</v>
      </c>
      <c r="J1080" t="str">
        <f t="shared" si="153"/>
        <v>VLAAMS BELANG</v>
      </c>
      <c r="K1080">
        <v>1337</v>
      </c>
      <c r="L1080">
        <v>2015</v>
      </c>
      <c r="M1080">
        <v>3352</v>
      </c>
      <c r="N1080">
        <v>2682</v>
      </c>
      <c r="O1080">
        <v>4</v>
      </c>
      <c r="P1080" t="str">
        <f>("7")</f>
        <v>7</v>
      </c>
      <c r="Q1080" t="str">
        <f>("WALSCHAERTS Danny")</f>
        <v>WALSCHAERTS Danny</v>
      </c>
      <c r="R1080">
        <v>79</v>
      </c>
      <c r="S1080" t="s">
        <v>44</v>
      </c>
      <c r="T1080">
        <v>0</v>
      </c>
      <c r="V1080">
        <v>4</v>
      </c>
      <c r="W1080">
        <v>79</v>
      </c>
      <c r="X1080">
        <v>0</v>
      </c>
    </row>
    <row r="1081" spans="1:24" x14ac:dyDescent="0.35">
      <c r="A1081" t="s">
        <v>8</v>
      </c>
      <c r="B1081" t="s">
        <v>9</v>
      </c>
      <c r="C1081" t="str">
        <f t="shared" si="154"/>
        <v>11272</v>
      </c>
      <c r="D1081" t="s">
        <v>16</v>
      </c>
      <c r="E1081" t="str">
        <f t="shared" si="155"/>
        <v>23</v>
      </c>
      <c r="F1081">
        <v>25687</v>
      </c>
      <c r="G1081">
        <v>23566</v>
      </c>
      <c r="H1081">
        <v>970</v>
      </c>
      <c r="I1081" t="str">
        <f t="shared" si="152"/>
        <v>5</v>
      </c>
      <c r="J1081" t="str">
        <f t="shared" si="153"/>
        <v>VLAAMS BELANG</v>
      </c>
      <c r="K1081">
        <v>1337</v>
      </c>
      <c r="L1081">
        <v>2015</v>
      </c>
      <c r="M1081">
        <v>3352</v>
      </c>
      <c r="N1081">
        <v>2682</v>
      </c>
      <c r="O1081">
        <v>4</v>
      </c>
      <c r="P1081" t="str">
        <f>("8")</f>
        <v>8</v>
      </c>
      <c r="Q1081" t="str">
        <f>("DE KEERSMAEKER Nicole")</f>
        <v>DE KEERSMAEKER Nicole</v>
      </c>
      <c r="R1081">
        <v>121</v>
      </c>
      <c r="S1081">
        <v>121</v>
      </c>
      <c r="T1081">
        <v>0</v>
      </c>
      <c r="U1081">
        <v>4</v>
      </c>
    </row>
    <row r="1082" spans="1:24" x14ac:dyDescent="0.35">
      <c r="A1082" t="s">
        <v>8</v>
      </c>
      <c r="B1082" t="s">
        <v>9</v>
      </c>
      <c r="C1082" t="str">
        <f t="shared" si="154"/>
        <v>11272</v>
      </c>
      <c r="D1082" t="s">
        <v>16</v>
      </c>
      <c r="E1082" t="str">
        <f t="shared" si="155"/>
        <v>23</v>
      </c>
      <c r="F1082">
        <v>25687</v>
      </c>
      <c r="G1082">
        <v>23566</v>
      </c>
      <c r="H1082">
        <v>970</v>
      </c>
      <c r="I1082" t="str">
        <f t="shared" si="152"/>
        <v>5</v>
      </c>
      <c r="J1082" t="str">
        <f t="shared" si="153"/>
        <v>VLAAMS BELANG</v>
      </c>
      <c r="K1082">
        <v>1337</v>
      </c>
      <c r="L1082">
        <v>2015</v>
      </c>
      <c r="M1082">
        <v>3352</v>
      </c>
      <c r="N1082">
        <v>2682</v>
      </c>
      <c r="O1082">
        <v>4</v>
      </c>
      <c r="P1082" t="str">
        <f>("9")</f>
        <v>9</v>
      </c>
      <c r="Q1082" t="str">
        <f>("CALLEBAUT Nicole")</f>
        <v>CALLEBAUT Nicole</v>
      </c>
      <c r="R1082">
        <v>74</v>
      </c>
      <c r="S1082" t="s">
        <v>44</v>
      </c>
      <c r="T1082">
        <v>0</v>
      </c>
      <c r="V1082">
        <v>6</v>
      </c>
      <c r="W1082">
        <v>74</v>
      </c>
      <c r="X1082">
        <v>0</v>
      </c>
    </row>
    <row r="1083" spans="1:24" x14ac:dyDescent="0.35">
      <c r="A1083" t="s">
        <v>8</v>
      </c>
      <c r="B1083" t="s">
        <v>9</v>
      </c>
      <c r="C1083" t="str">
        <f t="shared" si="154"/>
        <v>11272</v>
      </c>
      <c r="D1083" t="s">
        <v>16</v>
      </c>
      <c r="E1083" t="str">
        <f t="shared" si="155"/>
        <v>23</v>
      </c>
      <c r="F1083">
        <v>25687</v>
      </c>
      <c r="G1083">
        <v>23566</v>
      </c>
      <c r="H1083">
        <v>970</v>
      </c>
      <c r="I1083" t="str">
        <f t="shared" si="152"/>
        <v>5</v>
      </c>
      <c r="J1083" t="str">
        <f t="shared" si="153"/>
        <v>VLAAMS BELANG</v>
      </c>
      <c r="K1083">
        <v>1337</v>
      </c>
      <c r="L1083">
        <v>2015</v>
      </c>
      <c r="M1083">
        <v>3352</v>
      </c>
      <c r="N1083">
        <v>2682</v>
      </c>
      <c r="O1083">
        <v>4</v>
      </c>
      <c r="P1083" t="str">
        <f>("10")</f>
        <v>10</v>
      </c>
      <c r="Q1083" t="str">
        <f>("GEERTS Denise")</f>
        <v>GEERTS Denise</v>
      </c>
      <c r="R1083">
        <v>73</v>
      </c>
      <c r="S1083" t="s">
        <v>44</v>
      </c>
      <c r="T1083">
        <v>0</v>
      </c>
      <c r="V1083">
        <v>7</v>
      </c>
      <c r="W1083">
        <v>73</v>
      </c>
      <c r="X1083">
        <v>0</v>
      </c>
    </row>
    <row r="1084" spans="1:24" x14ac:dyDescent="0.35">
      <c r="A1084" t="s">
        <v>8</v>
      </c>
      <c r="B1084" t="s">
        <v>9</v>
      </c>
      <c r="C1084" t="str">
        <f t="shared" si="154"/>
        <v>11272</v>
      </c>
      <c r="D1084" t="s">
        <v>16</v>
      </c>
      <c r="E1084" t="str">
        <f t="shared" si="155"/>
        <v>23</v>
      </c>
      <c r="F1084">
        <v>25687</v>
      </c>
      <c r="G1084">
        <v>23566</v>
      </c>
      <c r="H1084">
        <v>970</v>
      </c>
      <c r="I1084" t="str">
        <f t="shared" si="152"/>
        <v>5</v>
      </c>
      <c r="J1084" t="str">
        <f t="shared" si="153"/>
        <v>VLAAMS BELANG</v>
      </c>
      <c r="K1084">
        <v>1337</v>
      </c>
      <c r="L1084">
        <v>2015</v>
      </c>
      <c r="M1084">
        <v>3352</v>
      </c>
      <c r="N1084">
        <v>2682</v>
      </c>
      <c r="O1084">
        <v>4</v>
      </c>
      <c r="P1084" t="str">
        <f>("11")</f>
        <v>11</v>
      </c>
      <c r="Q1084" t="str">
        <f>("VERMEIREN Marie-José")</f>
        <v>VERMEIREN Marie-José</v>
      </c>
      <c r="R1084">
        <v>66</v>
      </c>
      <c r="S1084" t="s">
        <v>44</v>
      </c>
      <c r="T1084">
        <v>0</v>
      </c>
      <c r="V1084">
        <v>10</v>
      </c>
      <c r="W1084">
        <v>66</v>
      </c>
      <c r="X1084">
        <v>0</v>
      </c>
    </row>
    <row r="1085" spans="1:24" x14ac:dyDescent="0.35">
      <c r="A1085" t="s">
        <v>8</v>
      </c>
      <c r="B1085" t="s">
        <v>9</v>
      </c>
      <c r="C1085" t="str">
        <f t="shared" si="154"/>
        <v>11272</v>
      </c>
      <c r="D1085" t="s">
        <v>16</v>
      </c>
      <c r="E1085" t="str">
        <f t="shared" si="155"/>
        <v>23</v>
      </c>
      <c r="F1085">
        <v>25687</v>
      </c>
      <c r="G1085">
        <v>23566</v>
      </c>
      <c r="H1085">
        <v>970</v>
      </c>
      <c r="I1085" t="str">
        <f t="shared" si="152"/>
        <v>5</v>
      </c>
      <c r="J1085" t="str">
        <f t="shared" si="153"/>
        <v>VLAAMS BELANG</v>
      </c>
      <c r="K1085">
        <v>1337</v>
      </c>
      <c r="L1085">
        <v>2015</v>
      </c>
      <c r="M1085">
        <v>3352</v>
      </c>
      <c r="N1085">
        <v>2682</v>
      </c>
      <c r="O1085">
        <v>4</v>
      </c>
      <c r="P1085" t="str">
        <f>("12")</f>
        <v>12</v>
      </c>
      <c r="Q1085" t="str">
        <f>("HEYRMAN Annitta")</f>
        <v>HEYRMAN Annitta</v>
      </c>
      <c r="R1085">
        <v>68</v>
      </c>
      <c r="S1085" t="s">
        <v>44</v>
      </c>
      <c r="T1085">
        <v>0</v>
      </c>
      <c r="V1085">
        <v>9</v>
      </c>
      <c r="W1085">
        <v>68</v>
      </c>
      <c r="X1085">
        <v>0</v>
      </c>
    </row>
    <row r="1086" spans="1:24" x14ac:dyDescent="0.35">
      <c r="A1086" t="s">
        <v>8</v>
      </c>
      <c r="B1086" t="s">
        <v>9</v>
      </c>
      <c r="C1086" t="str">
        <f t="shared" si="154"/>
        <v>11272</v>
      </c>
      <c r="D1086" t="s">
        <v>16</v>
      </c>
      <c r="E1086" t="str">
        <f t="shared" si="155"/>
        <v>23</v>
      </c>
      <c r="F1086">
        <v>25687</v>
      </c>
      <c r="G1086">
        <v>23566</v>
      </c>
      <c r="H1086">
        <v>970</v>
      </c>
      <c r="I1086" t="str">
        <f t="shared" si="152"/>
        <v>5</v>
      </c>
      <c r="J1086" t="str">
        <f t="shared" si="153"/>
        <v>VLAAMS BELANG</v>
      </c>
      <c r="K1086">
        <v>1337</v>
      </c>
      <c r="L1086">
        <v>2015</v>
      </c>
      <c r="M1086">
        <v>3352</v>
      </c>
      <c r="N1086">
        <v>2682</v>
      </c>
      <c r="O1086">
        <v>4</v>
      </c>
      <c r="P1086" t="str">
        <f>("13")</f>
        <v>13</v>
      </c>
      <c r="Q1086" t="str">
        <f>("LAENENS Mimi")</f>
        <v>LAENENS Mimi</v>
      </c>
      <c r="R1086">
        <v>57</v>
      </c>
      <c r="S1086" t="s">
        <v>44</v>
      </c>
      <c r="T1086">
        <v>0</v>
      </c>
      <c r="V1086">
        <v>11</v>
      </c>
      <c r="W1086">
        <v>57</v>
      </c>
      <c r="X1086">
        <v>0</v>
      </c>
    </row>
    <row r="1087" spans="1:24" x14ac:dyDescent="0.35">
      <c r="A1087" t="s">
        <v>8</v>
      </c>
      <c r="B1087" t="s">
        <v>9</v>
      </c>
      <c r="C1087" t="str">
        <f t="shared" si="154"/>
        <v>11272</v>
      </c>
      <c r="D1087" t="s">
        <v>16</v>
      </c>
      <c r="E1087" t="str">
        <f t="shared" si="155"/>
        <v>23</v>
      </c>
      <c r="F1087">
        <v>25687</v>
      </c>
      <c r="G1087">
        <v>23566</v>
      </c>
      <c r="H1087">
        <v>970</v>
      </c>
      <c r="I1087" t="str">
        <f t="shared" si="152"/>
        <v>5</v>
      </c>
      <c r="J1087" t="str">
        <f t="shared" si="153"/>
        <v>VLAAMS BELANG</v>
      </c>
      <c r="K1087">
        <v>1337</v>
      </c>
      <c r="L1087">
        <v>2015</v>
      </c>
      <c r="M1087">
        <v>3352</v>
      </c>
      <c r="N1087">
        <v>2682</v>
      </c>
      <c r="O1087">
        <v>4</v>
      </c>
      <c r="P1087" t="str">
        <f>("14")</f>
        <v>14</v>
      </c>
      <c r="Q1087" t="str">
        <f>("MEEUS Calle")</f>
        <v>MEEUS Calle</v>
      </c>
      <c r="R1087">
        <v>54</v>
      </c>
      <c r="S1087" t="s">
        <v>44</v>
      </c>
      <c r="T1087">
        <v>0</v>
      </c>
      <c r="V1087">
        <v>12</v>
      </c>
      <c r="W1087">
        <v>54</v>
      </c>
      <c r="X1087">
        <v>0</v>
      </c>
    </row>
    <row r="1088" spans="1:24" x14ac:dyDescent="0.35">
      <c r="A1088" t="s">
        <v>8</v>
      </c>
      <c r="B1088" t="s">
        <v>9</v>
      </c>
      <c r="C1088" t="str">
        <f t="shared" si="154"/>
        <v>11272</v>
      </c>
      <c r="D1088" t="s">
        <v>16</v>
      </c>
      <c r="E1088" t="str">
        <f t="shared" si="155"/>
        <v>23</v>
      </c>
      <c r="F1088">
        <v>25687</v>
      </c>
      <c r="G1088">
        <v>23566</v>
      </c>
      <c r="H1088">
        <v>970</v>
      </c>
      <c r="I1088" t="str">
        <f t="shared" si="152"/>
        <v>5</v>
      </c>
      <c r="J1088" t="str">
        <f t="shared" si="153"/>
        <v>VLAAMS BELANG</v>
      </c>
      <c r="K1088">
        <v>1337</v>
      </c>
      <c r="L1088">
        <v>2015</v>
      </c>
      <c r="M1088">
        <v>3352</v>
      </c>
      <c r="N1088">
        <v>2682</v>
      </c>
      <c r="O1088">
        <v>4</v>
      </c>
      <c r="P1088" t="str">
        <f>("15")</f>
        <v>15</v>
      </c>
      <c r="Q1088" t="str">
        <f>("CLAESSENS Ronny")</f>
        <v>CLAESSENS Ronny</v>
      </c>
      <c r="R1088">
        <v>75</v>
      </c>
      <c r="S1088" t="s">
        <v>44</v>
      </c>
      <c r="T1088">
        <v>0</v>
      </c>
      <c r="V1088">
        <v>5</v>
      </c>
      <c r="W1088">
        <v>75</v>
      </c>
      <c r="X1088">
        <v>0</v>
      </c>
    </row>
    <row r="1089" spans="1:24" x14ac:dyDescent="0.35">
      <c r="A1089" t="s">
        <v>8</v>
      </c>
      <c r="B1089" t="s">
        <v>9</v>
      </c>
      <c r="C1089" t="str">
        <f t="shared" si="154"/>
        <v>11272</v>
      </c>
      <c r="D1089" t="s">
        <v>16</v>
      </c>
      <c r="E1089" t="str">
        <f t="shared" si="155"/>
        <v>23</v>
      </c>
      <c r="F1089">
        <v>25687</v>
      </c>
      <c r="G1089">
        <v>23566</v>
      </c>
      <c r="H1089">
        <v>970</v>
      </c>
      <c r="I1089" t="str">
        <f t="shared" si="152"/>
        <v>5</v>
      </c>
      <c r="J1089" t="str">
        <f t="shared" si="153"/>
        <v>VLAAMS BELANG</v>
      </c>
      <c r="K1089">
        <v>1337</v>
      </c>
      <c r="L1089">
        <v>2015</v>
      </c>
      <c r="M1089">
        <v>3352</v>
      </c>
      <c r="N1089">
        <v>2682</v>
      </c>
      <c r="O1089">
        <v>4</v>
      </c>
      <c r="P1089" t="str">
        <f>("16")</f>
        <v>16</v>
      </c>
      <c r="Q1089" t="str">
        <f>("PICCIONI Kristiaan")</f>
        <v>PICCIONI Kristiaan</v>
      </c>
      <c r="R1089">
        <v>73</v>
      </c>
      <c r="S1089" t="s">
        <v>44</v>
      </c>
      <c r="T1089">
        <v>0</v>
      </c>
      <c r="V1089">
        <v>8</v>
      </c>
      <c r="W1089">
        <v>73</v>
      </c>
      <c r="X1089">
        <v>0</v>
      </c>
    </row>
    <row r="1090" spans="1:24" x14ac:dyDescent="0.35">
      <c r="A1090" t="s">
        <v>8</v>
      </c>
      <c r="B1090" t="s">
        <v>9</v>
      </c>
      <c r="C1090" t="str">
        <f t="shared" si="154"/>
        <v>11272</v>
      </c>
      <c r="D1090" t="s">
        <v>16</v>
      </c>
      <c r="E1090" t="str">
        <f t="shared" si="155"/>
        <v>23</v>
      </c>
      <c r="F1090">
        <v>25687</v>
      </c>
      <c r="G1090">
        <v>23566</v>
      </c>
      <c r="H1090">
        <v>970</v>
      </c>
      <c r="I1090" t="str">
        <f t="shared" ref="I1090:I1112" si="156">("6")</f>
        <v>6</v>
      </c>
      <c r="J1090" t="str">
        <f t="shared" ref="J1090:J1112" si="157">("Open Vld")</f>
        <v>Open Vld</v>
      </c>
      <c r="K1090">
        <v>237</v>
      </c>
      <c r="L1090">
        <v>405</v>
      </c>
      <c r="M1090">
        <v>642</v>
      </c>
      <c r="O1090">
        <v>0</v>
      </c>
      <c r="P1090" t="str">
        <f>("1")</f>
        <v>1</v>
      </c>
      <c r="Q1090" t="str">
        <f>("LAMPO Edith")</f>
        <v>LAMPO Edith</v>
      </c>
      <c r="R1090">
        <v>183</v>
      </c>
      <c r="S1090" t="s">
        <v>44</v>
      </c>
    </row>
    <row r="1091" spans="1:24" x14ac:dyDescent="0.35">
      <c r="A1091" t="s">
        <v>8</v>
      </c>
      <c r="B1091" t="s">
        <v>9</v>
      </c>
      <c r="C1091" t="str">
        <f t="shared" si="154"/>
        <v>11272</v>
      </c>
      <c r="D1091" t="s">
        <v>16</v>
      </c>
      <c r="E1091" t="str">
        <f t="shared" si="155"/>
        <v>23</v>
      </c>
      <c r="F1091">
        <v>25687</v>
      </c>
      <c r="G1091">
        <v>23566</v>
      </c>
      <c r="H1091">
        <v>970</v>
      </c>
      <c r="I1091" t="str">
        <f t="shared" si="156"/>
        <v>6</v>
      </c>
      <c r="J1091" t="str">
        <f t="shared" si="157"/>
        <v>Open Vld</v>
      </c>
      <c r="K1091">
        <v>237</v>
      </c>
      <c r="L1091">
        <v>405</v>
      </c>
      <c r="M1091">
        <v>642</v>
      </c>
      <c r="O1091">
        <v>0</v>
      </c>
      <c r="P1091" t="str">
        <f>("2")</f>
        <v>2</v>
      </c>
      <c r="Q1091" t="str">
        <f>("PARIJS Dirk")</f>
        <v>PARIJS Dirk</v>
      </c>
      <c r="R1091">
        <v>104</v>
      </c>
      <c r="S1091" t="s">
        <v>44</v>
      </c>
    </row>
    <row r="1092" spans="1:24" x14ac:dyDescent="0.35">
      <c r="A1092" t="s">
        <v>8</v>
      </c>
      <c r="B1092" t="s">
        <v>9</v>
      </c>
      <c r="C1092" t="str">
        <f t="shared" si="154"/>
        <v>11272</v>
      </c>
      <c r="D1092" t="s">
        <v>16</v>
      </c>
      <c r="E1092" t="str">
        <f t="shared" si="155"/>
        <v>23</v>
      </c>
      <c r="F1092">
        <v>25687</v>
      </c>
      <c r="G1092">
        <v>23566</v>
      </c>
      <c r="H1092">
        <v>970</v>
      </c>
      <c r="I1092" t="str">
        <f t="shared" si="156"/>
        <v>6</v>
      </c>
      <c r="J1092" t="str">
        <f t="shared" si="157"/>
        <v>Open Vld</v>
      </c>
      <c r="K1092">
        <v>237</v>
      </c>
      <c r="L1092">
        <v>405</v>
      </c>
      <c r="M1092">
        <v>642</v>
      </c>
      <c r="O1092">
        <v>0</v>
      </c>
      <c r="P1092" t="str">
        <f>("3")</f>
        <v>3</v>
      </c>
      <c r="Q1092" t="str">
        <f>("GOOSSENS Tess")</f>
        <v>GOOSSENS Tess</v>
      </c>
      <c r="R1092">
        <v>81</v>
      </c>
      <c r="S1092" t="s">
        <v>44</v>
      </c>
    </row>
    <row r="1093" spans="1:24" x14ac:dyDescent="0.35">
      <c r="A1093" t="s">
        <v>8</v>
      </c>
      <c r="B1093" t="s">
        <v>9</v>
      </c>
      <c r="C1093" t="str">
        <f t="shared" si="154"/>
        <v>11272</v>
      </c>
      <c r="D1093" t="s">
        <v>16</v>
      </c>
      <c r="E1093" t="str">
        <f t="shared" si="155"/>
        <v>23</v>
      </c>
      <c r="F1093">
        <v>25687</v>
      </c>
      <c r="G1093">
        <v>23566</v>
      </c>
      <c r="H1093">
        <v>970</v>
      </c>
      <c r="I1093" t="str">
        <f t="shared" si="156"/>
        <v>6</v>
      </c>
      <c r="J1093" t="str">
        <f t="shared" si="157"/>
        <v>Open Vld</v>
      </c>
      <c r="K1093">
        <v>237</v>
      </c>
      <c r="L1093">
        <v>405</v>
      </c>
      <c r="M1093">
        <v>642</v>
      </c>
      <c r="O1093">
        <v>0</v>
      </c>
      <c r="P1093" t="str">
        <f>("4")</f>
        <v>4</v>
      </c>
      <c r="Q1093" t="str">
        <f>("VAN POLFLIET Pierre")</f>
        <v>VAN POLFLIET Pierre</v>
      </c>
      <c r="R1093">
        <v>35</v>
      </c>
      <c r="S1093" t="s">
        <v>44</v>
      </c>
    </row>
    <row r="1094" spans="1:24" x14ac:dyDescent="0.35">
      <c r="A1094" t="s">
        <v>8</v>
      </c>
      <c r="B1094" t="s">
        <v>9</v>
      </c>
      <c r="C1094" t="str">
        <f t="shared" si="154"/>
        <v>11272</v>
      </c>
      <c r="D1094" t="s">
        <v>16</v>
      </c>
      <c r="E1094" t="str">
        <f t="shared" si="155"/>
        <v>23</v>
      </c>
      <c r="F1094">
        <v>25687</v>
      </c>
      <c r="G1094">
        <v>23566</v>
      </c>
      <c r="H1094">
        <v>970</v>
      </c>
      <c r="I1094" t="str">
        <f t="shared" si="156"/>
        <v>6</v>
      </c>
      <c r="J1094" t="str">
        <f t="shared" si="157"/>
        <v>Open Vld</v>
      </c>
      <c r="K1094">
        <v>237</v>
      </c>
      <c r="L1094">
        <v>405</v>
      </c>
      <c r="M1094">
        <v>642</v>
      </c>
      <c r="O1094">
        <v>0</v>
      </c>
      <c r="P1094" t="str">
        <f>("5")</f>
        <v>5</v>
      </c>
      <c r="Q1094" t="str">
        <f>("MAENHAUT Magda")</f>
        <v>MAENHAUT Magda</v>
      </c>
      <c r="R1094">
        <v>38</v>
      </c>
      <c r="S1094" t="s">
        <v>44</v>
      </c>
    </row>
    <row r="1095" spans="1:24" x14ac:dyDescent="0.35">
      <c r="A1095" t="s">
        <v>8</v>
      </c>
      <c r="B1095" t="s">
        <v>9</v>
      </c>
      <c r="C1095" t="str">
        <f t="shared" si="154"/>
        <v>11272</v>
      </c>
      <c r="D1095" t="s">
        <v>16</v>
      </c>
      <c r="E1095" t="str">
        <f t="shared" si="155"/>
        <v>23</v>
      </c>
      <c r="F1095">
        <v>25687</v>
      </c>
      <c r="G1095">
        <v>23566</v>
      </c>
      <c r="H1095">
        <v>970</v>
      </c>
      <c r="I1095" t="str">
        <f t="shared" si="156"/>
        <v>6</v>
      </c>
      <c r="J1095" t="str">
        <f t="shared" si="157"/>
        <v>Open Vld</v>
      </c>
      <c r="K1095">
        <v>237</v>
      </c>
      <c r="L1095">
        <v>405</v>
      </c>
      <c r="M1095">
        <v>642</v>
      </c>
      <c r="O1095">
        <v>0</v>
      </c>
      <c r="P1095" t="str">
        <f>("6")</f>
        <v>6</v>
      </c>
      <c r="Q1095" t="str">
        <f>("LIÉGEOIS Frie")</f>
        <v>LIÉGEOIS Frie</v>
      </c>
      <c r="R1095">
        <v>37</v>
      </c>
      <c r="S1095" t="s">
        <v>44</v>
      </c>
    </row>
    <row r="1096" spans="1:24" x14ac:dyDescent="0.35">
      <c r="A1096" t="s">
        <v>8</v>
      </c>
      <c r="B1096" t="s">
        <v>9</v>
      </c>
      <c r="C1096" t="str">
        <f t="shared" si="154"/>
        <v>11272</v>
      </c>
      <c r="D1096" t="s">
        <v>16</v>
      </c>
      <c r="E1096" t="str">
        <f t="shared" si="155"/>
        <v>23</v>
      </c>
      <c r="F1096">
        <v>25687</v>
      </c>
      <c r="G1096">
        <v>23566</v>
      </c>
      <c r="H1096">
        <v>970</v>
      </c>
      <c r="I1096" t="str">
        <f t="shared" si="156"/>
        <v>6</v>
      </c>
      <c r="J1096" t="str">
        <f t="shared" si="157"/>
        <v>Open Vld</v>
      </c>
      <c r="K1096">
        <v>237</v>
      </c>
      <c r="L1096">
        <v>405</v>
      </c>
      <c r="M1096">
        <v>642</v>
      </c>
      <c r="O1096">
        <v>0</v>
      </c>
      <c r="P1096" t="str">
        <f>("7")</f>
        <v>7</v>
      </c>
      <c r="Q1096" t="str">
        <f>("VOORZANGER Michael")</f>
        <v>VOORZANGER Michael</v>
      </c>
      <c r="R1096">
        <v>35</v>
      </c>
      <c r="S1096" t="s">
        <v>44</v>
      </c>
    </row>
    <row r="1097" spans="1:24" x14ac:dyDescent="0.35">
      <c r="A1097" t="s">
        <v>8</v>
      </c>
      <c r="B1097" t="s">
        <v>9</v>
      </c>
      <c r="C1097" t="str">
        <f t="shared" si="154"/>
        <v>11272</v>
      </c>
      <c r="D1097" t="s">
        <v>16</v>
      </c>
      <c r="E1097" t="str">
        <f t="shared" si="155"/>
        <v>23</v>
      </c>
      <c r="F1097">
        <v>25687</v>
      </c>
      <c r="G1097">
        <v>23566</v>
      </c>
      <c r="H1097">
        <v>970</v>
      </c>
      <c r="I1097" t="str">
        <f t="shared" si="156"/>
        <v>6</v>
      </c>
      <c r="J1097" t="str">
        <f t="shared" si="157"/>
        <v>Open Vld</v>
      </c>
      <c r="K1097">
        <v>237</v>
      </c>
      <c r="L1097">
        <v>405</v>
      </c>
      <c r="M1097">
        <v>642</v>
      </c>
      <c r="O1097">
        <v>0</v>
      </c>
      <c r="P1097" t="str">
        <f>("8")</f>
        <v>8</v>
      </c>
      <c r="Q1097" t="str">
        <f>("LANGENAKENS Sven")</f>
        <v>LANGENAKENS Sven</v>
      </c>
      <c r="R1097">
        <v>35</v>
      </c>
      <c r="S1097" t="s">
        <v>44</v>
      </c>
    </row>
    <row r="1098" spans="1:24" x14ac:dyDescent="0.35">
      <c r="A1098" t="s">
        <v>8</v>
      </c>
      <c r="B1098" t="s">
        <v>9</v>
      </c>
      <c r="C1098" t="str">
        <f t="shared" si="154"/>
        <v>11272</v>
      </c>
      <c r="D1098" t="s">
        <v>16</v>
      </c>
      <c r="E1098" t="str">
        <f t="shared" si="155"/>
        <v>23</v>
      </c>
      <c r="F1098">
        <v>25687</v>
      </c>
      <c r="G1098">
        <v>23566</v>
      </c>
      <c r="H1098">
        <v>970</v>
      </c>
      <c r="I1098" t="str">
        <f t="shared" si="156"/>
        <v>6</v>
      </c>
      <c r="J1098" t="str">
        <f t="shared" si="157"/>
        <v>Open Vld</v>
      </c>
      <c r="K1098">
        <v>237</v>
      </c>
      <c r="L1098">
        <v>405</v>
      </c>
      <c r="M1098">
        <v>642</v>
      </c>
      <c r="O1098">
        <v>0</v>
      </c>
      <c r="P1098" t="str">
        <f>("9")</f>
        <v>9</v>
      </c>
      <c r="Q1098" t="str">
        <f>("SMET Wim")</f>
        <v>SMET Wim</v>
      </c>
      <c r="R1098">
        <v>34</v>
      </c>
      <c r="S1098" t="s">
        <v>44</v>
      </c>
    </row>
    <row r="1099" spans="1:24" x14ac:dyDescent="0.35">
      <c r="A1099" t="s">
        <v>8</v>
      </c>
      <c r="B1099" t="s">
        <v>9</v>
      </c>
      <c r="C1099" t="str">
        <f t="shared" si="154"/>
        <v>11272</v>
      </c>
      <c r="D1099" t="s">
        <v>16</v>
      </c>
      <c r="E1099" t="str">
        <f t="shared" si="155"/>
        <v>23</v>
      </c>
      <c r="F1099">
        <v>25687</v>
      </c>
      <c r="G1099">
        <v>23566</v>
      </c>
      <c r="H1099">
        <v>970</v>
      </c>
      <c r="I1099" t="str">
        <f t="shared" si="156"/>
        <v>6</v>
      </c>
      <c r="J1099" t="str">
        <f t="shared" si="157"/>
        <v>Open Vld</v>
      </c>
      <c r="K1099">
        <v>237</v>
      </c>
      <c r="L1099">
        <v>405</v>
      </c>
      <c r="M1099">
        <v>642</v>
      </c>
      <c r="O1099">
        <v>0</v>
      </c>
      <c r="P1099" t="str">
        <f>("10")</f>
        <v>10</v>
      </c>
      <c r="Q1099" t="str">
        <f>("HUIJBRECHTS Shareena")</f>
        <v>HUIJBRECHTS Shareena</v>
      </c>
      <c r="R1099">
        <v>35</v>
      </c>
      <c r="S1099" t="s">
        <v>44</v>
      </c>
    </row>
    <row r="1100" spans="1:24" x14ac:dyDescent="0.35">
      <c r="A1100" t="s">
        <v>8</v>
      </c>
      <c r="B1100" t="s">
        <v>9</v>
      </c>
      <c r="C1100" t="str">
        <f t="shared" si="154"/>
        <v>11272</v>
      </c>
      <c r="D1100" t="s">
        <v>16</v>
      </c>
      <c r="E1100" t="str">
        <f t="shared" si="155"/>
        <v>23</v>
      </c>
      <c r="F1100">
        <v>25687</v>
      </c>
      <c r="G1100">
        <v>23566</v>
      </c>
      <c r="H1100">
        <v>970</v>
      </c>
      <c r="I1100" t="str">
        <f t="shared" si="156"/>
        <v>6</v>
      </c>
      <c r="J1100" t="str">
        <f t="shared" si="157"/>
        <v>Open Vld</v>
      </c>
      <c r="K1100">
        <v>237</v>
      </c>
      <c r="L1100">
        <v>405</v>
      </c>
      <c r="M1100">
        <v>642</v>
      </c>
      <c r="O1100">
        <v>0</v>
      </c>
      <c r="P1100" t="str">
        <f>("11")</f>
        <v>11</v>
      </c>
      <c r="Q1100" t="str">
        <f>("COOLS Louisa")</f>
        <v>COOLS Louisa</v>
      </c>
      <c r="R1100">
        <v>38</v>
      </c>
      <c r="S1100" t="s">
        <v>44</v>
      </c>
    </row>
    <row r="1101" spans="1:24" x14ac:dyDescent="0.35">
      <c r="A1101" t="s">
        <v>8</v>
      </c>
      <c r="B1101" t="s">
        <v>9</v>
      </c>
      <c r="C1101" t="str">
        <f t="shared" si="154"/>
        <v>11272</v>
      </c>
      <c r="D1101" t="s">
        <v>16</v>
      </c>
      <c r="E1101" t="str">
        <f t="shared" si="155"/>
        <v>23</v>
      </c>
      <c r="F1101">
        <v>25687</v>
      </c>
      <c r="G1101">
        <v>23566</v>
      </c>
      <c r="H1101">
        <v>970</v>
      </c>
      <c r="I1101" t="str">
        <f t="shared" si="156"/>
        <v>6</v>
      </c>
      <c r="J1101" t="str">
        <f t="shared" si="157"/>
        <v>Open Vld</v>
      </c>
      <c r="K1101">
        <v>237</v>
      </c>
      <c r="L1101">
        <v>405</v>
      </c>
      <c r="M1101">
        <v>642</v>
      </c>
      <c r="O1101">
        <v>0</v>
      </c>
      <c r="P1101" t="str">
        <f>("12")</f>
        <v>12</v>
      </c>
      <c r="Q1101" t="str">
        <f>("SMET Robert")</f>
        <v>SMET Robert</v>
      </c>
      <c r="R1101">
        <v>29</v>
      </c>
      <c r="S1101" t="s">
        <v>44</v>
      </c>
    </row>
    <row r="1102" spans="1:24" x14ac:dyDescent="0.35">
      <c r="A1102" t="s">
        <v>8</v>
      </c>
      <c r="B1102" t="s">
        <v>9</v>
      </c>
      <c r="C1102" t="str">
        <f t="shared" si="154"/>
        <v>11272</v>
      </c>
      <c r="D1102" t="s">
        <v>16</v>
      </c>
      <c r="E1102" t="str">
        <f t="shared" si="155"/>
        <v>23</v>
      </c>
      <c r="F1102">
        <v>25687</v>
      </c>
      <c r="G1102">
        <v>23566</v>
      </c>
      <c r="H1102">
        <v>970</v>
      </c>
      <c r="I1102" t="str">
        <f t="shared" si="156"/>
        <v>6</v>
      </c>
      <c r="J1102" t="str">
        <f t="shared" si="157"/>
        <v>Open Vld</v>
      </c>
      <c r="K1102">
        <v>237</v>
      </c>
      <c r="L1102">
        <v>405</v>
      </c>
      <c r="M1102">
        <v>642</v>
      </c>
      <c r="O1102">
        <v>0</v>
      </c>
      <c r="P1102" t="str">
        <f>("13")</f>
        <v>13</v>
      </c>
      <c r="Q1102" t="str">
        <f>("JOCHEMS Patrick")</f>
        <v>JOCHEMS Patrick</v>
      </c>
      <c r="R1102">
        <v>37</v>
      </c>
      <c r="S1102" t="s">
        <v>44</v>
      </c>
    </row>
    <row r="1103" spans="1:24" x14ac:dyDescent="0.35">
      <c r="A1103" t="s">
        <v>8</v>
      </c>
      <c r="B1103" t="s">
        <v>9</v>
      </c>
      <c r="C1103" t="str">
        <f t="shared" si="154"/>
        <v>11272</v>
      </c>
      <c r="D1103" t="s">
        <v>16</v>
      </c>
      <c r="E1103" t="str">
        <f t="shared" si="155"/>
        <v>23</v>
      </c>
      <c r="F1103">
        <v>25687</v>
      </c>
      <c r="G1103">
        <v>23566</v>
      </c>
      <c r="H1103">
        <v>970</v>
      </c>
      <c r="I1103" t="str">
        <f t="shared" si="156"/>
        <v>6</v>
      </c>
      <c r="J1103" t="str">
        <f t="shared" si="157"/>
        <v>Open Vld</v>
      </c>
      <c r="K1103">
        <v>237</v>
      </c>
      <c r="L1103">
        <v>405</v>
      </c>
      <c r="M1103">
        <v>642</v>
      </c>
      <c r="O1103">
        <v>0</v>
      </c>
      <c r="P1103" t="str">
        <f>("14")</f>
        <v>14</v>
      </c>
      <c r="Q1103" t="str">
        <f>("VOORZANGER Jill")</f>
        <v>VOORZANGER Jill</v>
      </c>
      <c r="R1103">
        <v>35</v>
      </c>
      <c r="S1103" t="s">
        <v>44</v>
      </c>
    </row>
    <row r="1104" spans="1:24" x14ac:dyDescent="0.35">
      <c r="A1104" t="s">
        <v>8</v>
      </c>
      <c r="B1104" t="s">
        <v>9</v>
      </c>
      <c r="C1104" t="str">
        <f t="shared" si="154"/>
        <v>11272</v>
      </c>
      <c r="D1104" t="s">
        <v>16</v>
      </c>
      <c r="E1104" t="str">
        <f t="shared" si="155"/>
        <v>23</v>
      </c>
      <c r="F1104">
        <v>25687</v>
      </c>
      <c r="G1104">
        <v>23566</v>
      </c>
      <c r="H1104">
        <v>970</v>
      </c>
      <c r="I1104" t="str">
        <f t="shared" si="156"/>
        <v>6</v>
      </c>
      <c r="J1104" t="str">
        <f t="shared" si="157"/>
        <v>Open Vld</v>
      </c>
      <c r="K1104">
        <v>237</v>
      </c>
      <c r="L1104">
        <v>405</v>
      </c>
      <c r="M1104">
        <v>642</v>
      </c>
      <c r="O1104">
        <v>0</v>
      </c>
      <c r="P1104" t="str">
        <f>("15")</f>
        <v>15</v>
      </c>
      <c r="Q1104" t="str">
        <f>("VAN ACKER Suzy")</f>
        <v>VAN ACKER Suzy</v>
      </c>
      <c r="R1104">
        <v>38</v>
      </c>
      <c r="S1104" t="s">
        <v>44</v>
      </c>
    </row>
    <row r="1105" spans="1:24" x14ac:dyDescent="0.35">
      <c r="A1105" t="s">
        <v>8</v>
      </c>
      <c r="B1105" t="s">
        <v>9</v>
      </c>
      <c r="C1105" t="str">
        <f t="shared" si="154"/>
        <v>11272</v>
      </c>
      <c r="D1105" t="s">
        <v>16</v>
      </c>
      <c r="E1105" t="str">
        <f t="shared" si="155"/>
        <v>23</v>
      </c>
      <c r="F1105">
        <v>25687</v>
      </c>
      <c r="G1105">
        <v>23566</v>
      </c>
      <c r="H1105">
        <v>970</v>
      </c>
      <c r="I1105" t="str">
        <f t="shared" si="156"/>
        <v>6</v>
      </c>
      <c r="J1105" t="str">
        <f t="shared" si="157"/>
        <v>Open Vld</v>
      </c>
      <c r="K1105">
        <v>237</v>
      </c>
      <c r="L1105">
        <v>405</v>
      </c>
      <c r="M1105">
        <v>642</v>
      </c>
      <c r="O1105">
        <v>0</v>
      </c>
      <c r="P1105" t="str">
        <f>("16")</f>
        <v>16</v>
      </c>
      <c r="Q1105" t="str">
        <f>("VAN UFFELEN Guillaume")</f>
        <v>VAN UFFELEN Guillaume</v>
      </c>
      <c r="R1105">
        <v>31</v>
      </c>
      <c r="S1105" t="s">
        <v>44</v>
      </c>
    </row>
    <row r="1106" spans="1:24" x14ac:dyDescent="0.35">
      <c r="A1106" t="s">
        <v>8</v>
      </c>
      <c r="B1106" t="s">
        <v>9</v>
      </c>
      <c r="C1106" t="str">
        <f t="shared" si="154"/>
        <v>11272</v>
      </c>
      <c r="D1106" t="s">
        <v>16</v>
      </c>
      <c r="E1106" t="str">
        <f t="shared" si="155"/>
        <v>23</v>
      </c>
      <c r="F1106">
        <v>25687</v>
      </c>
      <c r="G1106">
        <v>23566</v>
      </c>
      <c r="H1106">
        <v>970</v>
      </c>
      <c r="I1106" t="str">
        <f t="shared" si="156"/>
        <v>6</v>
      </c>
      <c r="J1106" t="str">
        <f t="shared" si="157"/>
        <v>Open Vld</v>
      </c>
      <c r="K1106">
        <v>237</v>
      </c>
      <c r="L1106">
        <v>405</v>
      </c>
      <c r="M1106">
        <v>642</v>
      </c>
      <c r="O1106">
        <v>0</v>
      </c>
      <c r="P1106" t="str">
        <f>("17")</f>
        <v>17</v>
      </c>
      <c r="Q1106" t="str">
        <f>("MARCHANT Josephine")</f>
        <v>MARCHANT Josephine</v>
      </c>
      <c r="R1106">
        <v>28</v>
      </c>
      <c r="S1106" t="s">
        <v>44</v>
      </c>
    </row>
    <row r="1107" spans="1:24" x14ac:dyDescent="0.35">
      <c r="A1107" t="s">
        <v>8</v>
      </c>
      <c r="B1107" t="s">
        <v>9</v>
      </c>
      <c r="C1107" t="str">
        <f t="shared" si="154"/>
        <v>11272</v>
      </c>
      <c r="D1107" t="s">
        <v>16</v>
      </c>
      <c r="E1107" t="str">
        <f t="shared" si="155"/>
        <v>23</v>
      </c>
      <c r="F1107">
        <v>25687</v>
      </c>
      <c r="G1107">
        <v>23566</v>
      </c>
      <c r="H1107">
        <v>970</v>
      </c>
      <c r="I1107" t="str">
        <f t="shared" si="156"/>
        <v>6</v>
      </c>
      <c r="J1107" t="str">
        <f t="shared" si="157"/>
        <v>Open Vld</v>
      </c>
      <c r="K1107">
        <v>237</v>
      </c>
      <c r="L1107">
        <v>405</v>
      </c>
      <c r="M1107">
        <v>642</v>
      </c>
      <c r="O1107">
        <v>0</v>
      </c>
      <c r="P1107" t="str">
        <f>("18")</f>
        <v>18</v>
      </c>
      <c r="Q1107" t="str">
        <f>("VAN GAVER Luc")</f>
        <v>VAN GAVER Luc</v>
      </c>
      <c r="R1107">
        <v>26</v>
      </c>
      <c r="S1107" t="s">
        <v>44</v>
      </c>
    </row>
    <row r="1108" spans="1:24" x14ac:dyDescent="0.35">
      <c r="A1108" t="s">
        <v>8</v>
      </c>
      <c r="B1108" t="s">
        <v>9</v>
      </c>
      <c r="C1108" t="str">
        <f t="shared" si="154"/>
        <v>11272</v>
      </c>
      <c r="D1108" t="s">
        <v>16</v>
      </c>
      <c r="E1108" t="str">
        <f t="shared" si="155"/>
        <v>23</v>
      </c>
      <c r="F1108">
        <v>25687</v>
      </c>
      <c r="G1108">
        <v>23566</v>
      </c>
      <c r="H1108">
        <v>970</v>
      </c>
      <c r="I1108" t="str">
        <f t="shared" si="156"/>
        <v>6</v>
      </c>
      <c r="J1108" t="str">
        <f t="shared" si="157"/>
        <v>Open Vld</v>
      </c>
      <c r="K1108">
        <v>237</v>
      </c>
      <c r="L1108">
        <v>405</v>
      </c>
      <c r="M1108">
        <v>642</v>
      </c>
      <c r="O1108">
        <v>0</v>
      </c>
      <c r="P1108" t="str">
        <f>("19")</f>
        <v>19</v>
      </c>
      <c r="Q1108" t="str">
        <f>("AUGUSTEYNS Bernard")</f>
        <v>AUGUSTEYNS Bernard</v>
      </c>
      <c r="R1108">
        <v>26</v>
      </c>
      <c r="S1108" t="s">
        <v>44</v>
      </c>
    </row>
    <row r="1109" spans="1:24" x14ac:dyDescent="0.35">
      <c r="A1109" t="s">
        <v>8</v>
      </c>
      <c r="B1109" t="s">
        <v>9</v>
      </c>
      <c r="C1109" t="str">
        <f t="shared" si="154"/>
        <v>11272</v>
      </c>
      <c r="D1109" t="s">
        <v>16</v>
      </c>
      <c r="E1109" t="str">
        <f t="shared" si="155"/>
        <v>23</v>
      </c>
      <c r="F1109">
        <v>25687</v>
      </c>
      <c r="G1109">
        <v>23566</v>
      </c>
      <c r="H1109">
        <v>970</v>
      </c>
      <c r="I1109" t="str">
        <f t="shared" si="156"/>
        <v>6</v>
      </c>
      <c r="J1109" t="str">
        <f t="shared" si="157"/>
        <v>Open Vld</v>
      </c>
      <c r="K1109">
        <v>237</v>
      </c>
      <c r="L1109">
        <v>405</v>
      </c>
      <c r="M1109">
        <v>642</v>
      </c>
      <c r="O1109">
        <v>0</v>
      </c>
      <c r="P1109" t="str">
        <f>("20")</f>
        <v>20</v>
      </c>
      <c r="Q1109" t="str">
        <f>("AVAERT Tamara")</f>
        <v>AVAERT Tamara</v>
      </c>
      <c r="R1109">
        <v>38</v>
      </c>
      <c r="S1109" t="s">
        <v>44</v>
      </c>
    </row>
    <row r="1110" spans="1:24" x14ac:dyDescent="0.35">
      <c r="A1110" t="s">
        <v>8</v>
      </c>
      <c r="B1110" t="s">
        <v>9</v>
      </c>
      <c r="C1110" t="str">
        <f t="shared" ref="C1110:C1142" si="158">("11272")</f>
        <v>11272</v>
      </c>
      <c r="D1110" t="s">
        <v>16</v>
      </c>
      <c r="E1110" t="str">
        <f t="shared" ref="E1110:E1142" si="159">("23")</f>
        <v>23</v>
      </c>
      <c r="F1110">
        <v>25687</v>
      </c>
      <c r="G1110">
        <v>23566</v>
      </c>
      <c r="H1110">
        <v>970</v>
      </c>
      <c r="I1110" t="str">
        <f t="shared" si="156"/>
        <v>6</v>
      </c>
      <c r="J1110" t="str">
        <f t="shared" si="157"/>
        <v>Open Vld</v>
      </c>
      <c r="K1110">
        <v>237</v>
      </c>
      <c r="L1110">
        <v>405</v>
      </c>
      <c r="M1110">
        <v>642</v>
      </c>
      <c r="O1110">
        <v>0</v>
      </c>
      <c r="P1110" t="str">
        <f>("21")</f>
        <v>21</v>
      </c>
      <c r="Q1110" t="str">
        <f>("LANGENAKENS Rob")</f>
        <v>LANGENAKENS Rob</v>
      </c>
      <c r="R1110">
        <v>43</v>
      </c>
      <c r="S1110" t="s">
        <v>44</v>
      </c>
    </row>
    <row r="1111" spans="1:24" x14ac:dyDescent="0.35">
      <c r="A1111" t="s">
        <v>8</v>
      </c>
      <c r="B1111" t="s">
        <v>9</v>
      </c>
      <c r="C1111" t="str">
        <f t="shared" si="158"/>
        <v>11272</v>
      </c>
      <c r="D1111" t="s">
        <v>16</v>
      </c>
      <c r="E1111" t="str">
        <f t="shared" si="159"/>
        <v>23</v>
      </c>
      <c r="F1111">
        <v>25687</v>
      </c>
      <c r="G1111">
        <v>23566</v>
      </c>
      <c r="H1111">
        <v>970</v>
      </c>
      <c r="I1111" t="str">
        <f t="shared" si="156"/>
        <v>6</v>
      </c>
      <c r="J1111" t="str">
        <f t="shared" si="157"/>
        <v>Open Vld</v>
      </c>
      <c r="K1111">
        <v>237</v>
      </c>
      <c r="L1111">
        <v>405</v>
      </c>
      <c r="M1111">
        <v>642</v>
      </c>
      <c r="O1111">
        <v>0</v>
      </c>
      <c r="P1111" t="str">
        <f>("22")</f>
        <v>22</v>
      </c>
      <c r="Q1111" t="str">
        <f>("PARIJS DEL TORO Dayana")</f>
        <v>PARIJS DEL TORO Dayana</v>
      </c>
      <c r="R1111">
        <v>35</v>
      </c>
      <c r="S1111" t="s">
        <v>44</v>
      </c>
    </row>
    <row r="1112" spans="1:24" x14ac:dyDescent="0.35">
      <c r="A1112" t="s">
        <v>8</v>
      </c>
      <c r="B1112" t="s">
        <v>9</v>
      </c>
      <c r="C1112" t="str">
        <f t="shared" si="158"/>
        <v>11272</v>
      </c>
      <c r="D1112" t="s">
        <v>16</v>
      </c>
      <c r="E1112" t="str">
        <f t="shared" si="159"/>
        <v>23</v>
      </c>
      <c r="F1112">
        <v>25687</v>
      </c>
      <c r="G1112">
        <v>23566</v>
      </c>
      <c r="H1112">
        <v>970</v>
      </c>
      <c r="I1112" t="str">
        <f t="shared" si="156"/>
        <v>6</v>
      </c>
      <c r="J1112" t="str">
        <f t="shared" si="157"/>
        <v>Open Vld</v>
      </c>
      <c r="K1112">
        <v>237</v>
      </c>
      <c r="L1112">
        <v>405</v>
      </c>
      <c r="M1112">
        <v>642</v>
      </c>
      <c r="O1112">
        <v>0</v>
      </c>
      <c r="P1112" t="str">
        <f>("23")</f>
        <v>23</v>
      </c>
      <c r="Q1112" t="str">
        <f>("HUIJBRECHTS Rudi")</f>
        <v>HUIJBRECHTS Rudi</v>
      </c>
      <c r="R1112">
        <v>44</v>
      </c>
      <c r="S1112" t="s">
        <v>44</v>
      </c>
    </row>
    <row r="1113" spans="1:24" x14ac:dyDescent="0.35">
      <c r="A1113" t="s">
        <v>8</v>
      </c>
      <c r="B1113" t="s">
        <v>9</v>
      </c>
      <c r="C1113" t="str">
        <f t="shared" si="158"/>
        <v>11272</v>
      </c>
      <c r="D1113" t="s">
        <v>16</v>
      </c>
      <c r="E1113" t="str">
        <f t="shared" si="159"/>
        <v>23</v>
      </c>
      <c r="F1113">
        <v>25687</v>
      </c>
      <c r="G1113">
        <v>23566</v>
      </c>
      <c r="H1113">
        <v>970</v>
      </c>
      <c r="I1113" t="str">
        <f t="shared" ref="I1113:I1135" si="160">("7")</f>
        <v>7</v>
      </c>
      <c r="J1113" t="str">
        <f t="shared" ref="J1113:J1135" si="161">("PVDA")</f>
        <v>PVDA</v>
      </c>
      <c r="K1113">
        <v>688</v>
      </c>
      <c r="L1113">
        <v>2625</v>
      </c>
      <c r="M1113">
        <v>3313</v>
      </c>
      <c r="N1113">
        <v>2485</v>
      </c>
      <c r="O1113">
        <v>3</v>
      </c>
      <c r="P1113" t="str">
        <f>("1")</f>
        <v>1</v>
      </c>
      <c r="Q1113" t="str">
        <f>("BRANDERS Mie")</f>
        <v>BRANDERS Mie</v>
      </c>
      <c r="R1113">
        <v>1493</v>
      </c>
      <c r="S1113">
        <v>2181</v>
      </c>
      <c r="T1113">
        <v>0</v>
      </c>
      <c r="U1113">
        <v>1</v>
      </c>
    </row>
    <row r="1114" spans="1:24" x14ac:dyDescent="0.35">
      <c r="A1114" t="s">
        <v>8</v>
      </c>
      <c r="B1114" t="s">
        <v>9</v>
      </c>
      <c r="C1114" t="str">
        <f t="shared" si="158"/>
        <v>11272</v>
      </c>
      <c r="D1114" t="s">
        <v>16</v>
      </c>
      <c r="E1114" t="str">
        <f t="shared" si="159"/>
        <v>23</v>
      </c>
      <c r="F1114">
        <v>25687</v>
      </c>
      <c r="G1114">
        <v>23566</v>
      </c>
      <c r="H1114">
        <v>970</v>
      </c>
      <c r="I1114" t="str">
        <f t="shared" si="160"/>
        <v>7</v>
      </c>
      <c r="J1114" t="str">
        <f t="shared" si="161"/>
        <v>PVDA</v>
      </c>
      <c r="K1114">
        <v>688</v>
      </c>
      <c r="L1114">
        <v>2625</v>
      </c>
      <c r="M1114">
        <v>3313</v>
      </c>
      <c r="N1114">
        <v>2485</v>
      </c>
      <c r="O1114">
        <v>3</v>
      </c>
      <c r="P1114" t="str">
        <f>("2")</f>
        <v>2</v>
      </c>
      <c r="Q1114" t="str">
        <f>("ENGELEN Swa")</f>
        <v>ENGELEN Swa</v>
      </c>
      <c r="R1114">
        <v>206</v>
      </c>
      <c r="S1114" t="s">
        <v>44</v>
      </c>
      <c r="T1114">
        <v>0</v>
      </c>
      <c r="V1114">
        <v>1</v>
      </c>
      <c r="W1114">
        <v>894</v>
      </c>
      <c r="X1114">
        <v>0</v>
      </c>
    </row>
    <row r="1115" spans="1:24" x14ac:dyDescent="0.35">
      <c r="A1115" t="s">
        <v>8</v>
      </c>
      <c r="B1115" t="s">
        <v>9</v>
      </c>
      <c r="C1115" t="str">
        <f t="shared" si="158"/>
        <v>11272</v>
      </c>
      <c r="D1115" t="s">
        <v>16</v>
      </c>
      <c r="E1115" t="str">
        <f t="shared" si="159"/>
        <v>23</v>
      </c>
      <c r="F1115">
        <v>25687</v>
      </c>
      <c r="G1115">
        <v>23566</v>
      </c>
      <c r="H1115">
        <v>970</v>
      </c>
      <c r="I1115" t="str">
        <f t="shared" si="160"/>
        <v>7</v>
      </c>
      <c r="J1115" t="str">
        <f t="shared" si="161"/>
        <v>PVDA</v>
      </c>
      <c r="K1115">
        <v>688</v>
      </c>
      <c r="L1115">
        <v>2625</v>
      </c>
      <c r="M1115">
        <v>3313</v>
      </c>
      <c r="N1115">
        <v>2485</v>
      </c>
      <c r="O1115">
        <v>3</v>
      </c>
      <c r="P1115" t="str">
        <f>("3")</f>
        <v>3</v>
      </c>
      <c r="Q1115" t="str">
        <f>("ELST Tineke")</f>
        <v>ELST Tineke</v>
      </c>
      <c r="R1115">
        <v>189</v>
      </c>
      <c r="S1115" t="s">
        <v>44</v>
      </c>
      <c r="T1115">
        <v>0</v>
      </c>
      <c r="V1115">
        <v>3</v>
      </c>
      <c r="W1115">
        <v>189</v>
      </c>
      <c r="X1115">
        <v>0</v>
      </c>
    </row>
    <row r="1116" spans="1:24" x14ac:dyDescent="0.35">
      <c r="A1116" t="s">
        <v>8</v>
      </c>
      <c r="B1116" t="s">
        <v>9</v>
      </c>
      <c r="C1116" t="str">
        <f t="shared" si="158"/>
        <v>11272</v>
      </c>
      <c r="D1116" t="s">
        <v>16</v>
      </c>
      <c r="E1116" t="str">
        <f t="shared" si="159"/>
        <v>23</v>
      </c>
      <c r="F1116">
        <v>25687</v>
      </c>
      <c r="G1116">
        <v>23566</v>
      </c>
      <c r="H1116">
        <v>970</v>
      </c>
      <c r="I1116" t="str">
        <f t="shared" si="160"/>
        <v>7</v>
      </c>
      <c r="J1116" t="str">
        <f t="shared" si="161"/>
        <v>PVDA</v>
      </c>
      <c r="K1116">
        <v>688</v>
      </c>
      <c r="L1116">
        <v>2625</v>
      </c>
      <c r="M1116">
        <v>3313</v>
      </c>
      <c r="N1116">
        <v>2485</v>
      </c>
      <c r="O1116">
        <v>3</v>
      </c>
      <c r="P1116" t="str">
        <f>("4")</f>
        <v>4</v>
      </c>
      <c r="Q1116" t="str">
        <f>("MAZGHANI Sadiq")</f>
        <v>MAZGHANI Sadiq</v>
      </c>
      <c r="R1116">
        <v>256</v>
      </c>
      <c r="S1116" t="s">
        <v>44</v>
      </c>
      <c r="T1116">
        <v>0</v>
      </c>
      <c r="V1116">
        <v>2</v>
      </c>
      <c r="W1116">
        <v>256</v>
      </c>
      <c r="X1116">
        <v>0</v>
      </c>
    </row>
    <row r="1117" spans="1:24" x14ac:dyDescent="0.35">
      <c r="A1117" t="s">
        <v>8</v>
      </c>
      <c r="B1117" t="s">
        <v>9</v>
      </c>
      <c r="C1117" t="str">
        <f t="shared" si="158"/>
        <v>11272</v>
      </c>
      <c r="D1117" t="s">
        <v>16</v>
      </c>
      <c r="E1117" t="str">
        <f t="shared" si="159"/>
        <v>23</v>
      </c>
      <c r="F1117">
        <v>25687</v>
      </c>
      <c r="G1117">
        <v>23566</v>
      </c>
      <c r="H1117">
        <v>970</v>
      </c>
      <c r="I1117" t="str">
        <f t="shared" si="160"/>
        <v>7</v>
      </c>
      <c r="J1117" t="str">
        <f t="shared" si="161"/>
        <v>PVDA</v>
      </c>
      <c r="K1117">
        <v>688</v>
      </c>
      <c r="L1117">
        <v>2625</v>
      </c>
      <c r="M1117">
        <v>3313</v>
      </c>
      <c r="N1117">
        <v>2485</v>
      </c>
      <c r="O1117">
        <v>3</v>
      </c>
      <c r="P1117" t="str">
        <f>("5")</f>
        <v>5</v>
      </c>
      <c r="Q1117" t="str">
        <f>("JOYE Tim")</f>
        <v>JOYE Tim</v>
      </c>
      <c r="R1117">
        <v>162</v>
      </c>
      <c r="S1117" t="s">
        <v>44</v>
      </c>
      <c r="T1117">
        <v>0</v>
      </c>
      <c r="V1117">
        <v>6</v>
      </c>
      <c r="W1117">
        <v>162</v>
      </c>
      <c r="X1117">
        <v>0</v>
      </c>
    </row>
    <row r="1118" spans="1:24" x14ac:dyDescent="0.35">
      <c r="A1118" t="s">
        <v>8</v>
      </c>
      <c r="B1118" t="s">
        <v>9</v>
      </c>
      <c r="C1118" t="str">
        <f t="shared" si="158"/>
        <v>11272</v>
      </c>
      <c r="D1118" t="s">
        <v>16</v>
      </c>
      <c r="E1118" t="str">
        <f t="shared" si="159"/>
        <v>23</v>
      </c>
      <c r="F1118">
        <v>25687</v>
      </c>
      <c r="G1118">
        <v>23566</v>
      </c>
      <c r="H1118">
        <v>970</v>
      </c>
      <c r="I1118" t="str">
        <f t="shared" si="160"/>
        <v>7</v>
      </c>
      <c r="J1118" t="str">
        <f t="shared" si="161"/>
        <v>PVDA</v>
      </c>
      <c r="K1118">
        <v>688</v>
      </c>
      <c r="L1118">
        <v>2625</v>
      </c>
      <c r="M1118">
        <v>3313</v>
      </c>
      <c r="N1118">
        <v>2485</v>
      </c>
      <c r="O1118">
        <v>3</v>
      </c>
      <c r="P1118" t="str">
        <f>("6")</f>
        <v>6</v>
      </c>
      <c r="Q1118" t="str">
        <f>("VAN DE WIELE Michel")</f>
        <v>VAN DE WIELE Michel</v>
      </c>
      <c r="R1118">
        <v>110</v>
      </c>
      <c r="S1118" t="s">
        <v>44</v>
      </c>
      <c r="T1118">
        <v>0</v>
      </c>
      <c r="V1118">
        <v>8</v>
      </c>
      <c r="W1118">
        <v>110</v>
      </c>
      <c r="X1118">
        <v>0</v>
      </c>
    </row>
    <row r="1119" spans="1:24" x14ac:dyDescent="0.35">
      <c r="A1119" t="s">
        <v>8</v>
      </c>
      <c r="B1119" t="s">
        <v>9</v>
      </c>
      <c r="C1119" t="str">
        <f t="shared" si="158"/>
        <v>11272</v>
      </c>
      <c r="D1119" t="s">
        <v>16</v>
      </c>
      <c r="E1119" t="str">
        <f t="shared" si="159"/>
        <v>23</v>
      </c>
      <c r="F1119">
        <v>25687</v>
      </c>
      <c r="G1119">
        <v>23566</v>
      </c>
      <c r="H1119">
        <v>970</v>
      </c>
      <c r="I1119" t="str">
        <f t="shared" si="160"/>
        <v>7</v>
      </c>
      <c r="J1119" t="str">
        <f t="shared" si="161"/>
        <v>PVDA</v>
      </c>
      <c r="K1119">
        <v>688</v>
      </c>
      <c r="L1119">
        <v>2625</v>
      </c>
      <c r="M1119">
        <v>3313</v>
      </c>
      <c r="N1119">
        <v>2485</v>
      </c>
      <c r="O1119">
        <v>3</v>
      </c>
      <c r="P1119" t="str">
        <f>("7")</f>
        <v>7</v>
      </c>
      <c r="Q1119" t="str">
        <f>("EL MAIMOUNI Inssaf")</f>
        <v>EL MAIMOUNI Inssaf</v>
      </c>
      <c r="R1119">
        <v>306</v>
      </c>
      <c r="S1119">
        <v>306</v>
      </c>
      <c r="T1119">
        <v>0</v>
      </c>
      <c r="U1119">
        <v>3</v>
      </c>
    </row>
    <row r="1120" spans="1:24" x14ac:dyDescent="0.35">
      <c r="A1120" t="s">
        <v>8</v>
      </c>
      <c r="B1120" t="s">
        <v>9</v>
      </c>
      <c r="C1120" t="str">
        <f t="shared" si="158"/>
        <v>11272</v>
      </c>
      <c r="D1120" t="s">
        <v>16</v>
      </c>
      <c r="E1120" t="str">
        <f t="shared" si="159"/>
        <v>23</v>
      </c>
      <c r="F1120">
        <v>25687</v>
      </c>
      <c r="G1120">
        <v>23566</v>
      </c>
      <c r="H1120">
        <v>970</v>
      </c>
      <c r="I1120" t="str">
        <f t="shared" si="160"/>
        <v>7</v>
      </c>
      <c r="J1120" t="str">
        <f t="shared" si="161"/>
        <v>PVDA</v>
      </c>
      <c r="K1120">
        <v>688</v>
      </c>
      <c r="L1120">
        <v>2625</v>
      </c>
      <c r="M1120">
        <v>3313</v>
      </c>
      <c r="N1120">
        <v>2485</v>
      </c>
      <c r="O1120">
        <v>3</v>
      </c>
      <c r="P1120" t="str">
        <f>("8")</f>
        <v>8</v>
      </c>
      <c r="Q1120" t="str">
        <f>("DE VRIES Maartje")</f>
        <v>DE VRIES Maartje</v>
      </c>
      <c r="R1120">
        <v>101</v>
      </c>
      <c r="S1120" t="s">
        <v>44</v>
      </c>
      <c r="T1120">
        <v>0</v>
      </c>
      <c r="V1120">
        <v>10</v>
      </c>
      <c r="W1120">
        <v>101</v>
      </c>
      <c r="X1120">
        <v>0</v>
      </c>
    </row>
    <row r="1121" spans="1:24" x14ac:dyDescent="0.35">
      <c r="A1121" t="s">
        <v>8</v>
      </c>
      <c r="B1121" t="s">
        <v>9</v>
      </c>
      <c r="C1121" t="str">
        <f t="shared" si="158"/>
        <v>11272</v>
      </c>
      <c r="D1121" t="s">
        <v>16</v>
      </c>
      <c r="E1121" t="str">
        <f t="shared" si="159"/>
        <v>23</v>
      </c>
      <c r="F1121">
        <v>25687</v>
      </c>
      <c r="G1121">
        <v>23566</v>
      </c>
      <c r="H1121">
        <v>970</v>
      </c>
      <c r="I1121" t="str">
        <f t="shared" si="160"/>
        <v>7</v>
      </c>
      <c r="J1121" t="str">
        <f t="shared" si="161"/>
        <v>PVDA</v>
      </c>
      <c r="K1121">
        <v>688</v>
      </c>
      <c r="L1121">
        <v>2625</v>
      </c>
      <c r="M1121">
        <v>3313</v>
      </c>
      <c r="N1121">
        <v>2485</v>
      </c>
      <c r="O1121">
        <v>3</v>
      </c>
      <c r="P1121" t="str">
        <f>("9")</f>
        <v>9</v>
      </c>
      <c r="Q1121" t="str">
        <f>("YAMAN Tülay")</f>
        <v>YAMAN Tülay</v>
      </c>
      <c r="R1121">
        <v>183</v>
      </c>
      <c r="S1121" t="s">
        <v>44</v>
      </c>
      <c r="T1121">
        <v>0</v>
      </c>
      <c r="V1121">
        <v>4</v>
      </c>
      <c r="W1121">
        <v>183</v>
      </c>
      <c r="X1121">
        <v>0</v>
      </c>
    </row>
    <row r="1122" spans="1:24" x14ac:dyDescent="0.35">
      <c r="A1122" t="s">
        <v>8</v>
      </c>
      <c r="B1122" t="s">
        <v>9</v>
      </c>
      <c r="C1122" t="str">
        <f t="shared" si="158"/>
        <v>11272</v>
      </c>
      <c r="D1122" t="s">
        <v>16</v>
      </c>
      <c r="E1122" t="str">
        <f t="shared" si="159"/>
        <v>23</v>
      </c>
      <c r="F1122">
        <v>25687</v>
      </c>
      <c r="G1122">
        <v>23566</v>
      </c>
      <c r="H1122">
        <v>970</v>
      </c>
      <c r="I1122" t="str">
        <f t="shared" si="160"/>
        <v>7</v>
      </c>
      <c r="J1122" t="str">
        <f t="shared" si="161"/>
        <v>PVDA</v>
      </c>
      <c r="K1122">
        <v>688</v>
      </c>
      <c r="L1122">
        <v>2625</v>
      </c>
      <c r="M1122">
        <v>3313</v>
      </c>
      <c r="N1122">
        <v>2485</v>
      </c>
      <c r="O1122">
        <v>3</v>
      </c>
      <c r="P1122" t="str">
        <f>("10")</f>
        <v>10</v>
      </c>
      <c r="Q1122" t="str">
        <f>("MARCHANDT Denise")</f>
        <v>MARCHANDT Denise</v>
      </c>
      <c r="R1122">
        <v>76</v>
      </c>
      <c r="S1122" t="s">
        <v>44</v>
      </c>
      <c r="T1122">
        <v>0</v>
      </c>
      <c r="V1122">
        <v>15</v>
      </c>
      <c r="W1122">
        <v>76</v>
      </c>
      <c r="X1122">
        <v>0</v>
      </c>
    </row>
    <row r="1123" spans="1:24" x14ac:dyDescent="0.35">
      <c r="A1123" t="s">
        <v>8</v>
      </c>
      <c r="B1123" t="s">
        <v>9</v>
      </c>
      <c r="C1123" t="str">
        <f t="shared" si="158"/>
        <v>11272</v>
      </c>
      <c r="D1123" t="s">
        <v>16</v>
      </c>
      <c r="E1123" t="str">
        <f t="shared" si="159"/>
        <v>23</v>
      </c>
      <c r="F1123">
        <v>25687</v>
      </c>
      <c r="G1123">
        <v>23566</v>
      </c>
      <c r="H1123">
        <v>970</v>
      </c>
      <c r="I1123" t="str">
        <f t="shared" si="160"/>
        <v>7</v>
      </c>
      <c r="J1123" t="str">
        <f t="shared" si="161"/>
        <v>PVDA</v>
      </c>
      <c r="K1123">
        <v>688</v>
      </c>
      <c r="L1123">
        <v>2625</v>
      </c>
      <c r="M1123">
        <v>3313</v>
      </c>
      <c r="N1123">
        <v>2485</v>
      </c>
      <c r="O1123">
        <v>3</v>
      </c>
      <c r="P1123" t="str">
        <f>("11")</f>
        <v>11</v>
      </c>
      <c r="Q1123" t="str">
        <f>("DAELEMANS Dennis")</f>
        <v>DAELEMANS Dennis</v>
      </c>
      <c r="R1123">
        <v>78</v>
      </c>
      <c r="S1123" t="s">
        <v>44</v>
      </c>
      <c r="T1123">
        <v>0</v>
      </c>
      <c r="V1123">
        <v>14</v>
      </c>
      <c r="W1123">
        <v>78</v>
      </c>
      <c r="X1123">
        <v>0</v>
      </c>
    </row>
    <row r="1124" spans="1:24" x14ac:dyDescent="0.35">
      <c r="A1124" t="s">
        <v>8</v>
      </c>
      <c r="B1124" t="s">
        <v>9</v>
      </c>
      <c r="C1124" t="str">
        <f t="shared" si="158"/>
        <v>11272</v>
      </c>
      <c r="D1124" t="s">
        <v>16</v>
      </c>
      <c r="E1124" t="str">
        <f t="shared" si="159"/>
        <v>23</v>
      </c>
      <c r="F1124">
        <v>25687</v>
      </c>
      <c r="G1124">
        <v>23566</v>
      </c>
      <c r="H1124">
        <v>970</v>
      </c>
      <c r="I1124" t="str">
        <f t="shared" si="160"/>
        <v>7</v>
      </c>
      <c r="J1124" t="str">
        <f t="shared" si="161"/>
        <v>PVDA</v>
      </c>
      <c r="K1124">
        <v>688</v>
      </c>
      <c r="L1124">
        <v>2625</v>
      </c>
      <c r="M1124">
        <v>3313</v>
      </c>
      <c r="N1124">
        <v>2485</v>
      </c>
      <c r="O1124">
        <v>3</v>
      </c>
      <c r="P1124" t="str">
        <f>("12")</f>
        <v>12</v>
      </c>
      <c r="Q1124" t="str">
        <f>("COECKELBERGS Nicole")</f>
        <v>COECKELBERGS Nicole</v>
      </c>
      <c r="R1124">
        <v>70</v>
      </c>
      <c r="S1124" t="s">
        <v>44</v>
      </c>
      <c r="T1124">
        <v>0</v>
      </c>
      <c r="V1124">
        <v>16</v>
      </c>
      <c r="W1124">
        <v>70</v>
      </c>
      <c r="X1124">
        <v>0</v>
      </c>
    </row>
    <row r="1125" spans="1:24" x14ac:dyDescent="0.35">
      <c r="A1125" t="s">
        <v>8</v>
      </c>
      <c r="B1125" t="s">
        <v>9</v>
      </c>
      <c r="C1125" t="str">
        <f t="shared" si="158"/>
        <v>11272</v>
      </c>
      <c r="D1125" t="s">
        <v>16</v>
      </c>
      <c r="E1125" t="str">
        <f t="shared" si="159"/>
        <v>23</v>
      </c>
      <c r="F1125">
        <v>25687</v>
      </c>
      <c r="G1125">
        <v>23566</v>
      </c>
      <c r="H1125">
        <v>970</v>
      </c>
      <c r="I1125" t="str">
        <f t="shared" si="160"/>
        <v>7</v>
      </c>
      <c r="J1125" t="str">
        <f t="shared" si="161"/>
        <v>PVDA</v>
      </c>
      <c r="K1125">
        <v>688</v>
      </c>
      <c r="L1125">
        <v>2625</v>
      </c>
      <c r="M1125">
        <v>3313</v>
      </c>
      <c r="N1125">
        <v>2485</v>
      </c>
      <c r="O1125">
        <v>3</v>
      </c>
      <c r="P1125" t="str">
        <f>("13")</f>
        <v>13</v>
      </c>
      <c r="Q1125" t="str">
        <f>("ANTHONISSEN Els")</f>
        <v>ANTHONISSEN Els</v>
      </c>
      <c r="R1125">
        <v>99</v>
      </c>
      <c r="S1125" t="s">
        <v>44</v>
      </c>
      <c r="T1125">
        <v>0</v>
      </c>
      <c r="V1125">
        <v>11</v>
      </c>
      <c r="W1125">
        <v>99</v>
      </c>
      <c r="X1125">
        <v>0</v>
      </c>
    </row>
    <row r="1126" spans="1:24" x14ac:dyDescent="0.35">
      <c r="A1126" t="s">
        <v>8</v>
      </c>
      <c r="B1126" t="s">
        <v>9</v>
      </c>
      <c r="C1126" t="str">
        <f t="shared" si="158"/>
        <v>11272</v>
      </c>
      <c r="D1126" t="s">
        <v>16</v>
      </c>
      <c r="E1126" t="str">
        <f t="shared" si="159"/>
        <v>23</v>
      </c>
      <c r="F1126">
        <v>25687</v>
      </c>
      <c r="G1126">
        <v>23566</v>
      </c>
      <c r="H1126">
        <v>970</v>
      </c>
      <c r="I1126" t="str">
        <f t="shared" si="160"/>
        <v>7</v>
      </c>
      <c r="J1126" t="str">
        <f t="shared" si="161"/>
        <v>PVDA</v>
      </c>
      <c r="K1126">
        <v>688</v>
      </c>
      <c r="L1126">
        <v>2625</v>
      </c>
      <c r="M1126">
        <v>3313</v>
      </c>
      <c r="N1126">
        <v>2485</v>
      </c>
      <c r="O1126">
        <v>3</v>
      </c>
      <c r="P1126" t="str">
        <f>("14")</f>
        <v>14</v>
      </c>
      <c r="Q1126" t="str">
        <f>("BADRI Abderrahim")</f>
        <v>BADRI Abderrahim</v>
      </c>
      <c r="R1126">
        <v>353</v>
      </c>
      <c r="S1126">
        <v>353</v>
      </c>
      <c r="T1126">
        <v>0</v>
      </c>
      <c r="U1126">
        <v>2</v>
      </c>
    </row>
    <row r="1127" spans="1:24" x14ac:dyDescent="0.35">
      <c r="A1127" t="s">
        <v>8</v>
      </c>
      <c r="B1127" t="s">
        <v>9</v>
      </c>
      <c r="C1127" t="str">
        <f t="shared" si="158"/>
        <v>11272</v>
      </c>
      <c r="D1127" t="s">
        <v>16</v>
      </c>
      <c r="E1127" t="str">
        <f t="shared" si="159"/>
        <v>23</v>
      </c>
      <c r="F1127">
        <v>25687</v>
      </c>
      <c r="G1127">
        <v>23566</v>
      </c>
      <c r="H1127">
        <v>970</v>
      </c>
      <c r="I1127" t="str">
        <f t="shared" si="160"/>
        <v>7</v>
      </c>
      <c r="J1127" t="str">
        <f t="shared" si="161"/>
        <v>PVDA</v>
      </c>
      <c r="K1127">
        <v>688</v>
      </c>
      <c r="L1127">
        <v>2625</v>
      </c>
      <c r="M1127">
        <v>3313</v>
      </c>
      <c r="N1127">
        <v>2485</v>
      </c>
      <c r="O1127">
        <v>3</v>
      </c>
      <c r="P1127" t="str">
        <f>("15")</f>
        <v>15</v>
      </c>
      <c r="Q1127" t="str">
        <f>("KLEYKENS Benny")</f>
        <v>KLEYKENS Benny</v>
      </c>
      <c r="R1127">
        <v>61</v>
      </c>
      <c r="S1127" t="s">
        <v>44</v>
      </c>
      <c r="T1127">
        <v>0</v>
      </c>
      <c r="V1127">
        <v>19</v>
      </c>
      <c r="W1127">
        <v>61</v>
      </c>
      <c r="X1127">
        <v>0</v>
      </c>
    </row>
    <row r="1128" spans="1:24" x14ac:dyDescent="0.35">
      <c r="A1128" t="s">
        <v>8</v>
      </c>
      <c r="B1128" t="s">
        <v>9</v>
      </c>
      <c r="C1128" t="str">
        <f t="shared" si="158"/>
        <v>11272</v>
      </c>
      <c r="D1128" t="s">
        <v>16</v>
      </c>
      <c r="E1128" t="str">
        <f t="shared" si="159"/>
        <v>23</v>
      </c>
      <c r="F1128">
        <v>25687</v>
      </c>
      <c r="G1128">
        <v>23566</v>
      </c>
      <c r="H1128">
        <v>970</v>
      </c>
      <c r="I1128" t="str">
        <f t="shared" si="160"/>
        <v>7</v>
      </c>
      <c r="J1128" t="str">
        <f t="shared" si="161"/>
        <v>PVDA</v>
      </c>
      <c r="K1128">
        <v>688</v>
      </c>
      <c r="L1128">
        <v>2625</v>
      </c>
      <c r="M1128">
        <v>3313</v>
      </c>
      <c r="N1128">
        <v>2485</v>
      </c>
      <c r="O1128">
        <v>3</v>
      </c>
      <c r="P1128" t="str">
        <f>("16")</f>
        <v>16</v>
      </c>
      <c r="Q1128" t="str">
        <f>("VAN DEN HEUVEL Joeri")</f>
        <v>VAN DEN HEUVEL Joeri</v>
      </c>
      <c r="R1128">
        <v>69</v>
      </c>
      <c r="S1128" t="s">
        <v>44</v>
      </c>
      <c r="T1128">
        <v>0</v>
      </c>
      <c r="V1128">
        <v>18</v>
      </c>
      <c r="W1128">
        <v>69</v>
      </c>
      <c r="X1128">
        <v>0</v>
      </c>
    </row>
    <row r="1129" spans="1:24" x14ac:dyDescent="0.35">
      <c r="A1129" t="s">
        <v>8</v>
      </c>
      <c r="B1129" t="s">
        <v>9</v>
      </c>
      <c r="C1129" t="str">
        <f t="shared" si="158"/>
        <v>11272</v>
      </c>
      <c r="D1129" t="s">
        <v>16</v>
      </c>
      <c r="E1129" t="str">
        <f t="shared" si="159"/>
        <v>23</v>
      </c>
      <c r="F1129">
        <v>25687</v>
      </c>
      <c r="G1129">
        <v>23566</v>
      </c>
      <c r="H1129">
        <v>970</v>
      </c>
      <c r="I1129" t="str">
        <f t="shared" si="160"/>
        <v>7</v>
      </c>
      <c r="J1129" t="str">
        <f t="shared" si="161"/>
        <v>PVDA</v>
      </c>
      <c r="K1129">
        <v>688</v>
      </c>
      <c r="L1129">
        <v>2625</v>
      </c>
      <c r="M1129">
        <v>3313</v>
      </c>
      <c r="N1129">
        <v>2485</v>
      </c>
      <c r="O1129">
        <v>3</v>
      </c>
      <c r="P1129" t="str">
        <f>("17")</f>
        <v>17</v>
      </c>
      <c r="Q1129" t="str">
        <f>("CRIEL Tony")</f>
        <v>CRIEL Tony</v>
      </c>
      <c r="R1129">
        <v>82</v>
      </c>
      <c r="S1129" t="s">
        <v>44</v>
      </c>
      <c r="T1129">
        <v>0</v>
      </c>
      <c r="V1129">
        <v>12</v>
      </c>
      <c r="W1129">
        <v>82</v>
      </c>
      <c r="X1129">
        <v>0</v>
      </c>
    </row>
    <row r="1130" spans="1:24" x14ac:dyDescent="0.35">
      <c r="A1130" t="s">
        <v>8</v>
      </c>
      <c r="B1130" t="s">
        <v>9</v>
      </c>
      <c r="C1130" t="str">
        <f t="shared" si="158"/>
        <v>11272</v>
      </c>
      <c r="D1130" t="s">
        <v>16</v>
      </c>
      <c r="E1130" t="str">
        <f t="shared" si="159"/>
        <v>23</v>
      </c>
      <c r="F1130">
        <v>25687</v>
      </c>
      <c r="G1130">
        <v>23566</v>
      </c>
      <c r="H1130">
        <v>970</v>
      </c>
      <c r="I1130" t="str">
        <f t="shared" si="160"/>
        <v>7</v>
      </c>
      <c r="J1130" t="str">
        <f t="shared" si="161"/>
        <v>PVDA</v>
      </c>
      <c r="K1130">
        <v>688</v>
      </c>
      <c r="L1130">
        <v>2625</v>
      </c>
      <c r="M1130">
        <v>3313</v>
      </c>
      <c r="N1130">
        <v>2485</v>
      </c>
      <c r="O1130">
        <v>3</v>
      </c>
      <c r="P1130" t="str">
        <f>("18")</f>
        <v>18</v>
      </c>
      <c r="Q1130" t="str">
        <f>("MERCKX Katrien")</f>
        <v>MERCKX Katrien</v>
      </c>
      <c r="R1130">
        <v>143</v>
      </c>
      <c r="S1130" t="s">
        <v>44</v>
      </c>
      <c r="T1130">
        <v>0</v>
      </c>
      <c r="V1130">
        <v>7</v>
      </c>
      <c r="W1130">
        <v>143</v>
      </c>
      <c r="X1130">
        <v>0</v>
      </c>
    </row>
    <row r="1131" spans="1:24" x14ac:dyDescent="0.35">
      <c r="A1131" t="s">
        <v>8</v>
      </c>
      <c r="B1131" t="s">
        <v>9</v>
      </c>
      <c r="C1131" t="str">
        <f t="shared" si="158"/>
        <v>11272</v>
      </c>
      <c r="D1131" t="s">
        <v>16</v>
      </c>
      <c r="E1131" t="str">
        <f t="shared" si="159"/>
        <v>23</v>
      </c>
      <c r="F1131">
        <v>25687</v>
      </c>
      <c r="G1131">
        <v>23566</v>
      </c>
      <c r="H1131">
        <v>970</v>
      </c>
      <c r="I1131" t="str">
        <f t="shared" si="160"/>
        <v>7</v>
      </c>
      <c r="J1131" t="str">
        <f t="shared" si="161"/>
        <v>PVDA</v>
      </c>
      <c r="K1131">
        <v>688</v>
      </c>
      <c r="L1131">
        <v>2625</v>
      </c>
      <c r="M1131">
        <v>3313</v>
      </c>
      <c r="N1131">
        <v>2485</v>
      </c>
      <c r="O1131">
        <v>3</v>
      </c>
      <c r="P1131" t="str">
        <f>("19")</f>
        <v>19</v>
      </c>
      <c r="Q1131" t="str">
        <f>("BOENS Koen")</f>
        <v>BOENS Koen</v>
      </c>
      <c r="R1131">
        <v>70</v>
      </c>
      <c r="S1131" t="s">
        <v>44</v>
      </c>
      <c r="T1131">
        <v>0</v>
      </c>
      <c r="V1131">
        <v>17</v>
      </c>
      <c r="W1131">
        <v>70</v>
      </c>
      <c r="X1131">
        <v>0</v>
      </c>
    </row>
    <row r="1132" spans="1:24" x14ac:dyDescent="0.35">
      <c r="A1132" t="s">
        <v>8</v>
      </c>
      <c r="B1132" t="s">
        <v>9</v>
      </c>
      <c r="C1132" t="str">
        <f t="shared" si="158"/>
        <v>11272</v>
      </c>
      <c r="D1132" t="s">
        <v>16</v>
      </c>
      <c r="E1132" t="str">
        <f t="shared" si="159"/>
        <v>23</v>
      </c>
      <c r="F1132">
        <v>25687</v>
      </c>
      <c r="G1132">
        <v>23566</v>
      </c>
      <c r="H1132">
        <v>970</v>
      </c>
      <c r="I1132" t="str">
        <f t="shared" si="160"/>
        <v>7</v>
      </c>
      <c r="J1132" t="str">
        <f t="shared" si="161"/>
        <v>PVDA</v>
      </c>
      <c r="K1132">
        <v>688</v>
      </c>
      <c r="L1132">
        <v>2625</v>
      </c>
      <c r="M1132">
        <v>3313</v>
      </c>
      <c r="N1132">
        <v>2485</v>
      </c>
      <c r="O1132">
        <v>3</v>
      </c>
      <c r="P1132" t="str">
        <f>("20")</f>
        <v>20</v>
      </c>
      <c r="Q1132" t="str">
        <f>("DE BEER Marc")</f>
        <v>DE BEER Marc</v>
      </c>
      <c r="R1132">
        <v>56</v>
      </c>
      <c r="S1132" t="s">
        <v>44</v>
      </c>
      <c r="T1132">
        <v>0</v>
      </c>
      <c r="V1132">
        <v>20</v>
      </c>
      <c r="W1132">
        <v>56</v>
      </c>
      <c r="X1132">
        <v>0</v>
      </c>
    </row>
    <row r="1133" spans="1:24" x14ac:dyDescent="0.35">
      <c r="A1133" t="s">
        <v>8</v>
      </c>
      <c r="B1133" t="s">
        <v>9</v>
      </c>
      <c r="C1133" t="str">
        <f t="shared" si="158"/>
        <v>11272</v>
      </c>
      <c r="D1133" t="s">
        <v>16</v>
      </c>
      <c r="E1133" t="str">
        <f t="shared" si="159"/>
        <v>23</v>
      </c>
      <c r="F1133">
        <v>25687</v>
      </c>
      <c r="G1133">
        <v>23566</v>
      </c>
      <c r="H1133">
        <v>970</v>
      </c>
      <c r="I1133" t="str">
        <f t="shared" si="160"/>
        <v>7</v>
      </c>
      <c r="J1133" t="str">
        <f t="shared" si="161"/>
        <v>PVDA</v>
      </c>
      <c r="K1133">
        <v>688</v>
      </c>
      <c r="L1133">
        <v>2625</v>
      </c>
      <c r="M1133">
        <v>3313</v>
      </c>
      <c r="N1133">
        <v>2485</v>
      </c>
      <c r="O1133">
        <v>3</v>
      </c>
      <c r="P1133" t="str">
        <f>("21")</f>
        <v>21</v>
      </c>
      <c r="Q1133" t="str">
        <f>("STEVENS Nadine")</f>
        <v>STEVENS Nadine</v>
      </c>
      <c r="R1133">
        <v>80</v>
      </c>
      <c r="S1133" t="s">
        <v>44</v>
      </c>
      <c r="T1133">
        <v>0</v>
      </c>
      <c r="V1133">
        <v>13</v>
      </c>
      <c r="W1133">
        <v>80</v>
      </c>
      <c r="X1133">
        <v>0</v>
      </c>
    </row>
    <row r="1134" spans="1:24" x14ac:dyDescent="0.35">
      <c r="A1134" t="s">
        <v>8</v>
      </c>
      <c r="B1134" t="s">
        <v>9</v>
      </c>
      <c r="C1134" t="str">
        <f t="shared" si="158"/>
        <v>11272</v>
      </c>
      <c r="D1134" t="s">
        <v>16</v>
      </c>
      <c r="E1134" t="str">
        <f t="shared" si="159"/>
        <v>23</v>
      </c>
      <c r="F1134">
        <v>25687</v>
      </c>
      <c r="G1134">
        <v>23566</v>
      </c>
      <c r="H1134">
        <v>970</v>
      </c>
      <c r="I1134" t="str">
        <f t="shared" si="160"/>
        <v>7</v>
      </c>
      <c r="J1134" t="str">
        <f t="shared" si="161"/>
        <v>PVDA</v>
      </c>
      <c r="K1134">
        <v>688</v>
      </c>
      <c r="L1134">
        <v>2625</v>
      </c>
      <c r="M1134">
        <v>3313</v>
      </c>
      <c r="N1134">
        <v>2485</v>
      </c>
      <c r="O1134">
        <v>3</v>
      </c>
      <c r="P1134" t="str">
        <f>("22")</f>
        <v>22</v>
      </c>
      <c r="Q1134" t="str">
        <f>("DE MEYER Erica")</f>
        <v>DE MEYER Erica</v>
      </c>
      <c r="R1134">
        <v>103</v>
      </c>
      <c r="S1134" t="s">
        <v>44</v>
      </c>
      <c r="T1134">
        <v>0</v>
      </c>
      <c r="V1134">
        <v>9</v>
      </c>
      <c r="W1134">
        <v>103</v>
      </c>
      <c r="X1134">
        <v>0</v>
      </c>
    </row>
    <row r="1135" spans="1:24" x14ac:dyDescent="0.35">
      <c r="A1135" t="s">
        <v>8</v>
      </c>
      <c r="B1135" t="s">
        <v>9</v>
      </c>
      <c r="C1135" t="str">
        <f t="shared" si="158"/>
        <v>11272</v>
      </c>
      <c r="D1135" t="s">
        <v>16</v>
      </c>
      <c r="E1135" t="str">
        <f t="shared" si="159"/>
        <v>23</v>
      </c>
      <c r="F1135">
        <v>25687</v>
      </c>
      <c r="G1135">
        <v>23566</v>
      </c>
      <c r="H1135">
        <v>970</v>
      </c>
      <c r="I1135" t="str">
        <f t="shared" si="160"/>
        <v>7</v>
      </c>
      <c r="J1135" t="str">
        <f t="shared" si="161"/>
        <v>PVDA</v>
      </c>
      <c r="K1135">
        <v>688</v>
      </c>
      <c r="L1135">
        <v>2625</v>
      </c>
      <c r="M1135">
        <v>3313</v>
      </c>
      <c r="N1135">
        <v>2485</v>
      </c>
      <c r="O1135">
        <v>3</v>
      </c>
      <c r="P1135" t="str">
        <f>("23")</f>
        <v>23</v>
      </c>
      <c r="Q1135" t="str">
        <f>("VANOBBERGEN Erik")</f>
        <v>VANOBBERGEN Erik</v>
      </c>
      <c r="R1135">
        <v>181</v>
      </c>
      <c r="S1135" t="s">
        <v>44</v>
      </c>
      <c r="T1135">
        <v>0</v>
      </c>
      <c r="V1135">
        <v>5</v>
      </c>
      <c r="W1135">
        <v>181</v>
      </c>
      <c r="X1135">
        <v>0</v>
      </c>
    </row>
    <row r="1136" spans="1:24" x14ac:dyDescent="0.35">
      <c r="A1136" t="s">
        <v>8</v>
      </c>
      <c r="B1136" t="s">
        <v>9</v>
      </c>
      <c r="C1136" t="str">
        <f t="shared" si="158"/>
        <v>11272</v>
      </c>
      <c r="D1136" t="s">
        <v>16</v>
      </c>
      <c r="E1136" t="str">
        <f t="shared" si="159"/>
        <v>23</v>
      </c>
      <c r="F1136">
        <v>25687</v>
      </c>
      <c r="G1136">
        <v>23566</v>
      </c>
      <c r="H1136">
        <v>970</v>
      </c>
      <c r="I1136" t="str">
        <f t="shared" ref="I1136:I1142" si="162">("8")</f>
        <v>8</v>
      </c>
      <c r="J1136" t="str">
        <f t="shared" ref="J1136:J1142" si="163">("D-SA")</f>
        <v>D-SA</v>
      </c>
      <c r="K1136">
        <v>42</v>
      </c>
      <c r="L1136">
        <v>852</v>
      </c>
      <c r="M1136">
        <v>894</v>
      </c>
      <c r="N1136">
        <v>447</v>
      </c>
      <c r="O1136">
        <v>1</v>
      </c>
      <c r="P1136" t="str">
        <f>("1")</f>
        <v>1</v>
      </c>
      <c r="Q1136" t="str">
        <f>("ÇITAK Yeliz")</f>
        <v>ÇITAK Yeliz</v>
      </c>
      <c r="R1136">
        <v>466</v>
      </c>
      <c r="S1136">
        <v>466</v>
      </c>
      <c r="T1136">
        <v>14</v>
      </c>
      <c r="U1136">
        <v>1</v>
      </c>
    </row>
    <row r="1137" spans="1:24" x14ac:dyDescent="0.35">
      <c r="A1137" t="s">
        <v>8</v>
      </c>
      <c r="B1137" t="s">
        <v>9</v>
      </c>
      <c r="C1137" t="str">
        <f t="shared" si="158"/>
        <v>11272</v>
      </c>
      <c r="D1137" t="s">
        <v>16</v>
      </c>
      <c r="E1137" t="str">
        <f t="shared" si="159"/>
        <v>23</v>
      </c>
      <c r="F1137">
        <v>25687</v>
      </c>
      <c r="G1137">
        <v>23566</v>
      </c>
      <c r="H1137">
        <v>970</v>
      </c>
      <c r="I1137" t="str">
        <f t="shared" si="162"/>
        <v>8</v>
      </c>
      <c r="J1137" t="str">
        <f t="shared" si="163"/>
        <v>D-SA</v>
      </c>
      <c r="K1137">
        <v>42</v>
      </c>
      <c r="L1137">
        <v>852</v>
      </c>
      <c r="M1137">
        <v>894</v>
      </c>
      <c r="N1137">
        <v>447</v>
      </c>
      <c r="O1137">
        <v>1</v>
      </c>
      <c r="P1137" t="str">
        <f>("2")</f>
        <v>2</v>
      </c>
      <c r="Q1137" t="str">
        <f>("ABOURIG Rachid")</f>
        <v>ABOURIG Rachid</v>
      </c>
      <c r="R1137">
        <v>223</v>
      </c>
      <c r="S1137" t="s">
        <v>44</v>
      </c>
      <c r="T1137">
        <v>0</v>
      </c>
      <c r="V1137">
        <v>1</v>
      </c>
      <c r="W1137">
        <v>237</v>
      </c>
      <c r="X1137">
        <v>0</v>
      </c>
    </row>
    <row r="1138" spans="1:24" x14ac:dyDescent="0.35">
      <c r="A1138" t="s">
        <v>8</v>
      </c>
      <c r="B1138" t="s">
        <v>9</v>
      </c>
      <c r="C1138" t="str">
        <f t="shared" si="158"/>
        <v>11272</v>
      </c>
      <c r="D1138" t="s">
        <v>16</v>
      </c>
      <c r="E1138" t="str">
        <f t="shared" si="159"/>
        <v>23</v>
      </c>
      <c r="F1138">
        <v>25687</v>
      </c>
      <c r="G1138">
        <v>23566</v>
      </c>
      <c r="H1138">
        <v>970</v>
      </c>
      <c r="I1138" t="str">
        <f t="shared" si="162"/>
        <v>8</v>
      </c>
      <c r="J1138" t="str">
        <f t="shared" si="163"/>
        <v>D-SA</v>
      </c>
      <c r="K1138">
        <v>42</v>
      </c>
      <c r="L1138">
        <v>852</v>
      </c>
      <c r="M1138">
        <v>894</v>
      </c>
      <c r="N1138">
        <v>447</v>
      </c>
      <c r="O1138">
        <v>1</v>
      </c>
      <c r="P1138" t="str">
        <f>("3")</f>
        <v>3</v>
      </c>
      <c r="Q1138" t="str">
        <f>("TARAK Hayriye")</f>
        <v>TARAK Hayriye</v>
      </c>
      <c r="R1138">
        <v>74</v>
      </c>
      <c r="S1138" t="s">
        <v>44</v>
      </c>
      <c r="T1138">
        <v>0</v>
      </c>
      <c r="V1138">
        <v>4</v>
      </c>
      <c r="W1138">
        <v>74</v>
      </c>
      <c r="X1138">
        <v>0</v>
      </c>
    </row>
    <row r="1139" spans="1:24" x14ac:dyDescent="0.35">
      <c r="A1139" t="s">
        <v>8</v>
      </c>
      <c r="B1139" t="s">
        <v>9</v>
      </c>
      <c r="C1139" t="str">
        <f t="shared" si="158"/>
        <v>11272</v>
      </c>
      <c r="D1139" t="s">
        <v>16</v>
      </c>
      <c r="E1139" t="str">
        <f t="shared" si="159"/>
        <v>23</v>
      </c>
      <c r="F1139">
        <v>25687</v>
      </c>
      <c r="G1139">
        <v>23566</v>
      </c>
      <c r="H1139">
        <v>970</v>
      </c>
      <c r="I1139" t="str">
        <f t="shared" si="162"/>
        <v>8</v>
      </c>
      <c r="J1139" t="str">
        <f t="shared" si="163"/>
        <v>D-SA</v>
      </c>
      <c r="K1139">
        <v>42</v>
      </c>
      <c r="L1139">
        <v>852</v>
      </c>
      <c r="M1139">
        <v>894</v>
      </c>
      <c r="N1139">
        <v>447</v>
      </c>
      <c r="O1139">
        <v>1</v>
      </c>
      <c r="P1139" t="str">
        <f>("4")</f>
        <v>4</v>
      </c>
      <c r="Q1139" t="str">
        <f>("ACER Mevlüt")</f>
        <v>ACER Mevlüt</v>
      </c>
      <c r="R1139">
        <v>98</v>
      </c>
      <c r="S1139" t="s">
        <v>44</v>
      </c>
      <c r="T1139">
        <v>0</v>
      </c>
      <c r="V1139">
        <v>3</v>
      </c>
      <c r="W1139">
        <v>98</v>
      </c>
      <c r="X1139">
        <v>0</v>
      </c>
    </row>
    <row r="1140" spans="1:24" x14ac:dyDescent="0.35">
      <c r="A1140" t="s">
        <v>8</v>
      </c>
      <c r="B1140" t="s">
        <v>9</v>
      </c>
      <c r="C1140" t="str">
        <f t="shared" si="158"/>
        <v>11272</v>
      </c>
      <c r="D1140" t="s">
        <v>16</v>
      </c>
      <c r="E1140" t="str">
        <f t="shared" si="159"/>
        <v>23</v>
      </c>
      <c r="F1140">
        <v>25687</v>
      </c>
      <c r="G1140">
        <v>23566</v>
      </c>
      <c r="H1140">
        <v>970</v>
      </c>
      <c r="I1140" t="str">
        <f t="shared" si="162"/>
        <v>8</v>
      </c>
      <c r="J1140" t="str">
        <f t="shared" si="163"/>
        <v>D-SA</v>
      </c>
      <c r="K1140">
        <v>42</v>
      </c>
      <c r="L1140">
        <v>852</v>
      </c>
      <c r="M1140">
        <v>894</v>
      </c>
      <c r="N1140">
        <v>447</v>
      </c>
      <c r="O1140">
        <v>1</v>
      </c>
      <c r="P1140" t="str">
        <f>("5")</f>
        <v>5</v>
      </c>
      <c r="Q1140" t="str">
        <f>("DAǦLIOǦLU Tuǧçe")</f>
        <v>DAǦLIOǦLU Tuǧçe</v>
      </c>
      <c r="R1140">
        <v>33</v>
      </c>
      <c r="S1140" t="s">
        <v>44</v>
      </c>
      <c r="T1140">
        <v>0</v>
      </c>
      <c r="V1140">
        <v>5</v>
      </c>
      <c r="W1140">
        <v>33</v>
      </c>
      <c r="X1140">
        <v>0</v>
      </c>
    </row>
    <row r="1141" spans="1:24" x14ac:dyDescent="0.35">
      <c r="A1141" t="s">
        <v>8</v>
      </c>
      <c r="B1141" t="s">
        <v>9</v>
      </c>
      <c r="C1141" t="str">
        <f t="shared" si="158"/>
        <v>11272</v>
      </c>
      <c r="D1141" t="s">
        <v>16</v>
      </c>
      <c r="E1141" t="str">
        <f t="shared" si="159"/>
        <v>23</v>
      </c>
      <c r="F1141">
        <v>25687</v>
      </c>
      <c r="G1141">
        <v>23566</v>
      </c>
      <c r="H1141">
        <v>970</v>
      </c>
      <c r="I1141" t="str">
        <f t="shared" si="162"/>
        <v>8</v>
      </c>
      <c r="J1141" t="str">
        <f t="shared" si="163"/>
        <v>D-SA</v>
      </c>
      <c r="K1141">
        <v>42</v>
      </c>
      <c r="L1141">
        <v>852</v>
      </c>
      <c r="M1141">
        <v>894</v>
      </c>
      <c r="N1141">
        <v>447</v>
      </c>
      <c r="O1141">
        <v>1</v>
      </c>
      <c r="P1141" t="str">
        <f>("6")</f>
        <v>6</v>
      </c>
      <c r="Q1141" t="str">
        <f>("ÇIL Savaş")</f>
        <v>ÇIL Savaş</v>
      </c>
      <c r="R1141">
        <v>27</v>
      </c>
      <c r="S1141" t="s">
        <v>44</v>
      </c>
      <c r="T1141">
        <v>0</v>
      </c>
      <c r="V1141">
        <v>6</v>
      </c>
      <c r="W1141">
        <v>27</v>
      </c>
      <c r="X1141">
        <v>0</v>
      </c>
    </row>
    <row r="1142" spans="1:24" x14ac:dyDescent="0.35">
      <c r="A1142" t="s">
        <v>8</v>
      </c>
      <c r="B1142" t="s">
        <v>9</v>
      </c>
      <c r="C1142" t="str">
        <f t="shared" si="158"/>
        <v>11272</v>
      </c>
      <c r="D1142" t="s">
        <v>16</v>
      </c>
      <c r="E1142" t="str">
        <f t="shared" si="159"/>
        <v>23</v>
      </c>
      <c r="F1142">
        <v>25687</v>
      </c>
      <c r="G1142">
        <v>23566</v>
      </c>
      <c r="H1142">
        <v>970</v>
      </c>
      <c r="I1142" t="str">
        <f t="shared" si="162"/>
        <v>8</v>
      </c>
      <c r="J1142" t="str">
        <f t="shared" si="163"/>
        <v>D-SA</v>
      </c>
      <c r="K1142">
        <v>42</v>
      </c>
      <c r="L1142">
        <v>852</v>
      </c>
      <c r="M1142">
        <v>894</v>
      </c>
      <c r="N1142">
        <v>447</v>
      </c>
      <c r="O1142">
        <v>1</v>
      </c>
      <c r="P1142" t="str">
        <f>("7")</f>
        <v>7</v>
      </c>
      <c r="Q1142" t="str">
        <f>("YIǦIT Serife")</f>
        <v>YIǦIT Serife</v>
      </c>
      <c r="R1142">
        <v>114</v>
      </c>
      <c r="S1142" t="s">
        <v>44</v>
      </c>
      <c r="T1142">
        <v>0</v>
      </c>
      <c r="V1142">
        <v>2</v>
      </c>
      <c r="W1142">
        <v>114</v>
      </c>
      <c r="X1142">
        <v>0</v>
      </c>
    </row>
    <row r="1143" spans="1:24" x14ac:dyDescent="0.35">
      <c r="A1143" t="s">
        <v>8</v>
      </c>
      <c r="B1143" t="s">
        <v>9</v>
      </c>
      <c r="C1143" t="str">
        <f t="shared" ref="C1143:C1174" si="164">("11282")</f>
        <v>11282</v>
      </c>
      <c r="D1143" t="s">
        <v>17</v>
      </c>
      <c r="E1143" t="str">
        <f t="shared" ref="E1143:E1206" si="165">("25")</f>
        <v>25</v>
      </c>
      <c r="F1143">
        <v>29016</v>
      </c>
      <c r="G1143">
        <v>25938</v>
      </c>
      <c r="H1143">
        <v>1090</v>
      </c>
      <c r="I1143" t="str">
        <f t="shared" ref="I1143:I1167" si="166">("1")</f>
        <v>1</v>
      </c>
      <c r="J1143" t="str">
        <f t="shared" ref="J1143:J1167" si="167">("sp.a")</f>
        <v>sp.a</v>
      </c>
      <c r="K1143">
        <v>659</v>
      </c>
      <c r="L1143">
        <v>2105</v>
      </c>
      <c r="M1143">
        <v>2764</v>
      </c>
      <c r="N1143">
        <v>2073</v>
      </c>
      <c r="O1143">
        <v>3</v>
      </c>
      <c r="P1143" t="str">
        <f>("1")</f>
        <v>1</v>
      </c>
      <c r="Q1143" t="str">
        <f>("VERSTRAELEN Gilbert")</f>
        <v>VERSTRAELEN Gilbert</v>
      </c>
      <c r="R1143">
        <v>678</v>
      </c>
      <c r="S1143">
        <v>1337</v>
      </c>
      <c r="T1143">
        <v>0</v>
      </c>
      <c r="U1143">
        <v>1</v>
      </c>
    </row>
    <row r="1144" spans="1:24" x14ac:dyDescent="0.35">
      <c r="A1144" t="s">
        <v>8</v>
      </c>
      <c r="B1144" t="s">
        <v>9</v>
      </c>
      <c r="C1144" t="str">
        <f t="shared" si="164"/>
        <v>11282</v>
      </c>
      <c r="D1144" t="s">
        <v>17</v>
      </c>
      <c r="E1144" t="str">
        <f t="shared" si="165"/>
        <v>25</v>
      </c>
      <c r="F1144">
        <v>29016</v>
      </c>
      <c r="G1144">
        <v>25938</v>
      </c>
      <c r="H1144">
        <v>1090</v>
      </c>
      <c r="I1144" t="str">
        <f t="shared" si="166"/>
        <v>1</v>
      </c>
      <c r="J1144" t="str">
        <f t="shared" si="167"/>
        <v>sp.a</v>
      </c>
      <c r="K1144">
        <v>659</v>
      </c>
      <c r="L1144">
        <v>2105</v>
      </c>
      <c r="M1144">
        <v>2764</v>
      </c>
      <c r="N1144">
        <v>2073</v>
      </c>
      <c r="O1144">
        <v>3</v>
      </c>
      <c r="P1144" t="str">
        <f>("2")</f>
        <v>2</v>
      </c>
      <c r="Q1144" t="str">
        <f>("KUMS Dominique")</f>
        <v>KUMS Dominique</v>
      </c>
      <c r="R1144">
        <v>187</v>
      </c>
      <c r="S1144" t="s">
        <v>44</v>
      </c>
      <c r="T1144">
        <v>0</v>
      </c>
      <c r="V1144">
        <v>1</v>
      </c>
      <c r="W1144">
        <v>846</v>
      </c>
      <c r="X1144">
        <v>0</v>
      </c>
    </row>
    <row r="1145" spans="1:24" x14ac:dyDescent="0.35">
      <c r="A1145" t="s">
        <v>8</v>
      </c>
      <c r="B1145" t="s">
        <v>9</v>
      </c>
      <c r="C1145" t="str">
        <f t="shared" si="164"/>
        <v>11282</v>
      </c>
      <c r="D1145" t="s">
        <v>17</v>
      </c>
      <c r="E1145" t="str">
        <f t="shared" si="165"/>
        <v>25</v>
      </c>
      <c r="F1145">
        <v>29016</v>
      </c>
      <c r="G1145">
        <v>25938</v>
      </c>
      <c r="H1145">
        <v>1090</v>
      </c>
      <c r="I1145" t="str">
        <f t="shared" si="166"/>
        <v>1</v>
      </c>
      <c r="J1145" t="str">
        <f t="shared" si="167"/>
        <v>sp.a</v>
      </c>
      <c r="K1145">
        <v>659</v>
      </c>
      <c r="L1145">
        <v>2105</v>
      </c>
      <c r="M1145">
        <v>2764</v>
      </c>
      <c r="N1145">
        <v>2073</v>
      </c>
      <c r="O1145">
        <v>3</v>
      </c>
      <c r="P1145" t="str">
        <f>("3")</f>
        <v>3</v>
      </c>
      <c r="Q1145" t="str">
        <f>("NASSALI Mostafa")</f>
        <v>NASSALI Mostafa</v>
      </c>
      <c r="R1145">
        <v>227</v>
      </c>
      <c r="S1145">
        <v>227</v>
      </c>
      <c r="T1145">
        <v>0</v>
      </c>
      <c r="U1145">
        <v>3</v>
      </c>
    </row>
    <row r="1146" spans="1:24" x14ac:dyDescent="0.35">
      <c r="A1146" t="s">
        <v>8</v>
      </c>
      <c r="B1146" t="s">
        <v>9</v>
      </c>
      <c r="C1146" t="str">
        <f t="shared" si="164"/>
        <v>11282</v>
      </c>
      <c r="D1146" t="s">
        <v>17</v>
      </c>
      <c r="E1146" t="str">
        <f t="shared" si="165"/>
        <v>25</v>
      </c>
      <c r="F1146">
        <v>29016</v>
      </c>
      <c r="G1146">
        <v>25938</v>
      </c>
      <c r="H1146">
        <v>1090</v>
      </c>
      <c r="I1146" t="str">
        <f t="shared" si="166"/>
        <v>1</v>
      </c>
      <c r="J1146" t="str">
        <f t="shared" si="167"/>
        <v>sp.a</v>
      </c>
      <c r="K1146">
        <v>659</v>
      </c>
      <c r="L1146">
        <v>2105</v>
      </c>
      <c r="M1146">
        <v>2764</v>
      </c>
      <c r="N1146">
        <v>2073</v>
      </c>
      <c r="O1146">
        <v>3</v>
      </c>
      <c r="P1146" t="str">
        <f>("4")</f>
        <v>4</v>
      </c>
      <c r="Q1146" t="str">
        <f>("GJONAJ Irida")</f>
        <v>GJONAJ Irida</v>
      </c>
      <c r="R1146">
        <v>103</v>
      </c>
      <c r="S1146" t="s">
        <v>44</v>
      </c>
      <c r="T1146">
        <v>0</v>
      </c>
      <c r="V1146">
        <v>8</v>
      </c>
      <c r="W1146">
        <v>103</v>
      </c>
      <c r="X1146">
        <v>0</v>
      </c>
    </row>
    <row r="1147" spans="1:24" x14ac:dyDescent="0.35">
      <c r="A1147" t="s">
        <v>8</v>
      </c>
      <c r="B1147" t="s">
        <v>9</v>
      </c>
      <c r="C1147" t="str">
        <f t="shared" si="164"/>
        <v>11282</v>
      </c>
      <c r="D1147" t="s">
        <v>17</v>
      </c>
      <c r="E1147" t="str">
        <f t="shared" si="165"/>
        <v>25</v>
      </c>
      <c r="F1147">
        <v>29016</v>
      </c>
      <c r="G1147">
        <v>25938</v>
      </c>
      <c r="H1147">
        <v>1090</v>
      </c>
      <c r="I1147" t="str">
        <f t="shared" si="166"/>
        <v>1</v>
      </c>
      <c r="J1147" t="str">
        <f t="shared" si="167"/>
        <v>sp.a</v>
      </c>
      <c r="K1147">
        <v>659</v>
      </c>
      <c r="L1147">
        <v>2105</v>
      </c>
      <c r="M1147">
        <v>2764</v>
      </c>
      <c r="N1147">
        <v>2073</v>
      </c>
      <c r="O1147">
        <v>3</v>
      </c>
      <c r="P1147" t="str">
        <f>("5")</f>
        <v>5</v>
      </c>
      <c r="Q1147" t="str">
        <f>("LORIDAN Nick")</f>
        <v>LORIDAN Nick</v>
      </c>
      <c r="R1147">
        <v>121</v>
      </c>
      <c r="S1147" t="s">
        <v>44</v>
      </c>
      <c r="T1147">
        <v>0</v>
      </c>
      <c r="V1147">
        <v>6</v>
      </c>
      <c r="W1147">
        <v>121</v>
      </c>
      <c r="X1147">
        <v>0</v>
      </c>
    </row>
    <row r="1148" spans="1:24" x14ac:dyDescent="0.35">
      <c r="A1148" t="s">
        <v>8</v>
      </c>
      <c r="B1148" t="s">
        <v>9</v>
      </c>
      <c r="C1148" t="str">
        <f t="shared" si="164"/>
        <v>11282</v>
      </c>
      <c r="D1148" t="s">
        <v>17</v>
      </c>
      <c r="E1148" t="str">
        <f t="shared" si="165"/>
        <v>25</v>
      </c>
      <c r="F1148">
        <v>29016</v>
      </c>
      <c r="G1148">
        <v>25938</v>
      </c>
      <c r="H1148">
        <v>1090</v>
      </c>
      <c r="I1148" t="str">
        <f t="shared" si="166"/>
        <v>1</v>
      </c>
      <c r="J1148" t="str">
        <f t="shared" si="167"/>
        <v>sp.a</v>
      </c>
      <c r="K1148">
        <v>659</v>
      </c>
      <c r="L1148">
        <v>2105</v>
      </c>
      <c r="M1148">
        <v>2764</v>
      </c>
      <c r="N1148">
        <v>2073</v>
      </c>
      <c r="O1148">
        <v>3</v>
      </c>
      <c r="P1148" t="str">
        <f>("6")</f>
        <v>6</v>
      </c>
      <c r="Q1148" t="str">
        <f>("CARPENTIER Shaan")</f>
        <v>CARPENTIER Shaan</v>
      </c>
      <c r="R1148">
        <v>47</v>
      </c>
      <c r="S1148" t="s">
        <v>44</v>
      </c>
      <c r="T1148">
        <v>0</v>
      </c>
      <c r="V1148">
        <v>20</v>
      </c>
      <c r="W1148">
        <v>47</v>
      </c>
      <c r="X1148">
        <v>0</v>
      </c>
    </row>
    <row r="1149" spans="1:24" x14ac:dyDescent="0.35">
      <c r="A1149" t="s">
        <v>8</v>
      </c>
      <c r="B1149" t="s">
        <v>9</v>
      </c>
      <c r="C1149" t="str">
        <f t="shared" si="164"/>
        <v>11282</v>
      </c>
      <c r="D1149" t="s">
        <v>17</v>
      </c>
      <c r="E1149" t="str">
        <f t="shared" si="165"/>
        <v>25</v>
      </c>
      <c r="F1149">
        <v>29016</v>
      </c>
      <c r="G1149">
        <v>25938</v>
      </c>
      <c r="H1149">
        <v>1090</v>
      </c>
      <c r="I1149" t="str">
        <f t="shared" si="166"/>
        <v>1</v>
      </c>
      <c r="J1149" t="str">
        <f t="shared" si="167"/>
        <v>sp.a</v>
      </c>
      <c r="K1149">
        <v>659</v>
      </c>
      <c r="L1149">
        <v>2105</v>
      </c>
      <c r="M1149">
        <v>2764</v>
      </c>
      <c r="N1149">
        <v>2073</v>
      </c>
      <c r="O1149">
        <v>3</v>
      </c>
      <c r="P1149" t="str">
        <f>("7")</f>
        <v>7</v>
      </c>
      <c r="Q1149" t="str">
        <f>("JIMENEZ OQUENDO Rick")</f>
        <v>JIMENEZ OQUENDO Rick</v>
      </c>
      <c r="R1149">
        <v>58</v>
      </c>
      <c r="S1149" t="s">
        <v>44</v>
      </c>
      <c r="T1149">
        <v>0</v>
      </c>
      <c r="V1149">
        <v>17</v>
      </c>
      <c r="W1149">
        <v>58</v>
      </c>
      <c r="X1149">
        <v>0</v>
      </c>
    </row>
    <row r="1150" spans="1:24" x14ac:dyDescent="0.35">
      <c r="A1150" t="s">
        <v>8</v>
      </c>
      <c r="B1150" t="s">
        <v>9</v>
      </c>
      <c r="C1150" t="str">
        <f t="shared" si="164"/>
        <v>11282</v>
      </c>
      <c r="D1150" t="s">
        <v>17</v>
      </c>
      <c r="E1150" t="str">
        <f t="shared" si="165"/>
        <v>25</v>
      </c>
      <c r="F1150">
        <v>29016</v>
      </c>
      <c r="G1150">
        <v>25938</v>
      </c>
      <c r="H1150">
        <v>1090</v>
      </c>
      <c r="I1150" t="str">
        <f t="shared" si="166"/>
        <v>1</v>
      </c>
      <c r="J1150" t="str">
        <f t="shared" si="167"/>
        <v>sp.a</v>
      </c>
      <c r="K1150">
        <v>659</v>
      </c>
      <c r="L1150">
        <v>2105</v>
      </c>
      <c r="M1150">
        <v>2764</v>
      </c>
      <c r="N1150">
        <v>2073</v>
      </c>
      <c r="O1150">
        <v>3</v>
      </c>
      <c r="P1150" t="str">
        <f>("8")</f>
        <v>8</v>
      </c>
      <c r="Q1150" t="str">
        <f>("AMOAKO Richard")</f>
        <v>AMOAKO Richard</v>
      </c>
      <c r="R1150">
        <v>188</v>
      </c>
      <c r="S1150" t="s">
        <v>44</v>
      </c>
      <c r="T1150">
        <v>0</v>
      </c>
      <c r="V1150">
        <v>2</v>
      </c>
      <c r="W1150">
        <v>188</v>
      </c>
      <c r="X1150">
        <v>0</v>
      </c>
    </row>
    <row r="1151" spans="1:24" x14ac:dyDescent="0.35">
      <c r="A1151" t="s">
        <v>8</v>
      </c>
      <c r="B1151" t="s">
        <v>9</v>
      </c>
      <c r="C1151" t="str">
        <f t="shared" si="164"/>
        <v>11282</v>
      </c>
      <c r="D1151" t="s">
        <v>17</v>
      </c>
      <c r="E1151" t="str">
        <f t="shared" si="165"/>
        <v>25</v>
      </c>
      <c r="F1151">
        <v>29016</v>
      </c>
      <c r="G1151">
        <v>25938</v>
      </c>
      <c r="H1151">
        <v>1090</v>
      </c>
      <c r="I1151" t="str">
        <f t="shared" si="166"/>
        <v>1</v>
      </c>
      <c r="J1151" t="str">
        <f t="shared" si="167"/>
        <v>sp.a</v>
      </c>
      <c r="K1151">
        <v>659</v>
      </c>
      <c r="L1151">
        <v>2105</v>
      </c>
      <c r="M1151">
        <v>2764</v>
      </c>
      <c r="N1151">
        <v>2073</v>
      </c>
      <c r="O1151">
        <v>3</v>
      </c>
      <c r="P1151" t="str">
        <f>("9")</f>
        <v>9</v>
      </c>
      <c r="Q1151" t="str">
        <f>("NASSALI Ihsane")</f>
        <v>NASSALI Ihsane</v>
      </c>
      <c r="R1151">
        <v>86</v>
      </c>
      <c r="S1151" t="s">
        <v>44</v>
      </c>
      <c r="T1151">
        <v>0</v>
      </c>
      <c r="V1151">
        <v>10</v>
      </c>
      <c r="W1151">
        <v>86</v>
      </c>
      <c r="X1151">
        <v>0</v>
      </c>
    </row>
    <row r="1152" spans="1:24" x14ac:dyDescent="0.35">
      <c r="A1152" t="s">
        <v>8</v>
      </c>
      <c r="B1152" t="s">
        <v>9</v>
      </c>
      <c r="C1152" t="str">
        <f t="shared" si="164"/>
        <v>11282</v>
      </c>
      <c r="D1152" t="s">
        <v>17</v>
      </c>
      <c r="E1152" t="str">
        <f t="shared" si="165"/>
        <v>25</v>
      </c>
      <c r="F1152">
        <v>29016</v>
      </c>
      <c r="G1152">
        <v>25938</v>
      </c>
      <c r="H1152">
        <v>1090</v>
      </c>
      <c r="I1152" t="str">
        <f t="shared" si="166"/>
        <v>1</v>
      </c>
      <c r="J1152" t="str">
        <f t="shared" si="167"/>
        <v>sp.a</v>
      </c>
      <c r="K1152">
        <v>659</v>
      </c>
      <c r="L1152">
        <v>2105</v>
      </c>
      <c r="M1152">
        <v>2764</v>
      </c>
      <c r="N1152">
        <v>2073</v>
      </c>
      <c r="O1152">
        <v>3</v>
      </c>
      <c r="P1152" t="str">
        <f>("10")</f>
        <v>10</v>
      </c>
      <c r="Q1152" t="str">
        <f>("BOGAERTS Tom")</f>
        <v>BOGAERTS Tom</v>
      </c>
      <c r="R1152">
        <v>92</v>
      </c>
      <c r="S1152" t="s">
        <v>44</v>
      </c>
      <c r="T1152">
        <v>0</v>
      </c>
      <c r="V1152">
        <v>9</v>
      </c>
      <c r="W1152">
        <v>92</v>
      </c>
      <c r="X1152">
        <v>0</v>
      </c>
    </row>
    <row r="1153" spans="1:24" x14ac:dyDescent="0.35">
      <c r="A1153" t="s">
        <v>8</v>
      </c>
      <c r="B1153" t="s">
        <v>9</v>
      </c>
      <c r="C1153" t="str">
        <f t="shared" si="164"/>
        <v>11282</v>
      </c>
      <c r="D1153" t="s">
        <v>17</v>
      </c>
      <c r="E1153" t="str">
        <f t="shared" si="165"/>
        <v>25</v>
      </c>
      <c r="F1153">
        <v>29016</v>
      </c>
      <c r="G1153">
        <v>25938</v>
      </c>
      <c r="H1153">
        <v>1090</v>
      </c>
      <c r="I1153" t="str">
        <f t="shared" si="166"/>
        <v>1</v>
      </c>
      <c r="J1153" t="str">
        <f t="shared" si="167"/>
        <v>sp.a</v>
      </c>
      <c r="K1153">
        <v>659</v>
      </c>
      <c r="L1153">
        <v>2105</v>
      </c>
      <c r="M1153">
        <v>2764</v>
      </c>
      <c r="N1153">
        <v>2073</v>
      </c>
      <c r="O1153">
        <v>3</v>
      </c>
      <c r="P1153" t="str">
        <f>("11")</f>
        <v>11</v>
      </c>
      <c r="Q1153" t="str">
        <f>("ZEERVI Nasir")</f>
        <v>ZEERVI Nasir</v>
      </c>
      <c r="R1153">
        <v>78</v>
      </c>
      <c r="S1153" t="s">
        <v>44</v>
      </c>
      <c r="T1153">
        <v>0</v>
      </c>
      <c r="V1153">
        <v>11</v>
      </c>
      <c r="W1153">
        <v>78</v>
      </c>
      <c r="X1153">
        <v>0</v>
      </c>
    </row>
    <row r="1154" spans="1:24" x14ac:dyDescent="0.35">
      <c r="A1154" t="s">
        <v>8</v>
      </c>
      <c r="B1154" t="s">
        <v>9</v>
      </c>
      <c r="C1154" t="str">
        <f t="shared" si="164"/>
        <v>11282</v>
      </c>
      <c r="D1154" t="s">
        <v>17</v>
      </c>
      <c r="E1154" t="str">
        <f t="shared" si="165"/>
        <v>25</v>
      </c>
      <c r="F1154">
        <v>29016</v>
      </c>
      <c r="G1154">
        <v>25938</v>
      </c>
      <c r="H1154">
        <v>1090</v>
      </c>
      <c r="I1154" t="str">
        <f t="shared" si="166"/>
        <v>1</v>
      </c>
      <c r="J1154" t="str">
        <f t="shared" si="167"/>
        <v>sp.a</v>
      </c>
      <c r="K1154">
        <v>659</v>
      </c>
      <c r="L1154">
        <v>2105</v>
      </c>
      <c r="M1154">
        <v>2764</v>
      </c>
      <c r="N1154">
        <v>2073</v>
      </c>
      <c r="O1154">
        <v>3</v>
      </c>
      <c r="P1154" t="str">
        <f>("12")</f>
        <v>12</v>
      </c>
      <c r="Q1154" t="str">
        <f>("MERTES Vanessa")</f>
        <v>MERTES Vanessa</v>
      </c>
      <c r="R1154">
        <v>73</v>
      </c>
      <c r="S1154" t="s">
        <v>44</v>
      </c>
      <c r="T1154">
        <v>0</v>
      </c>
      <c r="V1154">
        <v>12</v>
      </c>
      <c r="W1154">
        <v>73</v>
      </c>
      <c r="X1154">
        <v>0</v>
      </c>
    </row>
    <row r="1155" spans="1:24" x14ac:dyDescent="0.35">
      <c r="A1155" t="s">
        <v>8</v>
      </c>
      <c r="B1155" t="s">
        <v>9</v>
      </c>
      <c r="C1155" t="str">
        <f t="shared" si="164"/>
        <v>11282</v>
      </c>
      <c r="D1155" t="s">
        <v>17</v>
      </c>
      <c r="E1155" t="str">
        <f t="shared" si="165"/>
        <v>25</v>
      </c>
      <c r="F1155">
        <v>29016</v>
      </c>
      <c r="G1155">
        <v>25938</v>
      </c>
      <c r="H1155">
        <v>1090</v>
      </c>
      <c r="I1155" t="str">
        <f t="shared" si="166"/>
        <v>1</v>
      </c>
      <c r="J1155" t="str">
        <f t="shared" si="167"/>
        <v>sp.a</v>
      </c>
      <c r="K1155">
        <v>659</v>
      </c>
      <c r="L1155">
        <v>2105</v>
      </c>
      <c r="M1155">
        <v>2764</v>
      </c>
      <c r="N1155">
        <v>2073</v>
      </c>
      <c r="O1155">
        <v>3</v>
      </c>
      <c r="P1155" t="str">
        <f>("13")</f>
        <v>13</v>
      </c>
      <c r="Q1155" t="str">
        <f>("VAN HAVERBEKE Celle")</f>
        <v>VAN HAVERBEKE Celle</v>
      </c>
      <c r="R1155">
        <v>60</v>
      </c>
      <c r="S1155" t="s">
        <v>44</v>
      </c>
      <c r="T1155">
        <v>0</v>
      </c>
      <c r="V1155">
        <v>16</v>
      </c>
      <c r="W1155">
        <v>60</v>
      </c>
      <c r="X1155">
        <v>0</v>
      </c>
    </row>
    <row r="1156" spans="1:24" x14ac:dyDescent="0.35">
      <c r="A1156" t="s">
        <v>8</v>
      </c>
      <c r="B1156" t="s">
        <v>9</v>
      </c>
      <c r="C1156" t="str">
        <f t="shared" si="164"/>
        <v>11282</v>
      </c>
      <c r="D1156" t="s">
        <v>17</v>
      </c>
      <c r="E1156" t="str">
        <f t="shared" si="165"/>
        <v>25</v>
      </c>
      <c r="F1156">
        <v>29016</v>
      </c>
      <c r="G1156">
        <v>25938</v>
      </c>
      <c r="H1156">
        <v>1090</v>
      </c>
      <c r="I1156" t="str">
        <f t="shared" si="166"/>
        <v>1</v>
      </c>
      <c r="J1156" t="str">
        <f t="shared" si="167"/>
        <v>sp.a</v>
      </c>
      <c r="K1156">
        <v>659</v>
      </c>
      <c r="L1156">
        <v>2105</v>
      </c>
      <c r="M1156">
        <v>2764</v>
      </c>
      <c r="N1156">
        <v>2073</v>
      </c>
      <c r="O1156">
        <v>3</v>
      </c>
      <c r="P1156" t="str">
        <f>("14")</f>
        <v>14</v>
      </c>
      <c r="Q1156" t="str">
        <f>("VANDE CAUTER Didier")</f>
        <v>VANDE CAUTER Didier</v>
      </c>
      <c r="R1156">
        <v>174</v>
      </c>
      <c r="S1156" t="s">
        <v>44</v>
      </c>
      <c r="T1156">
        <v>0</v>
      </c>
      <c r="V1156">
        <v>3</v>
      </c>
      <c r="W1156">
        <v>174</v>
      </c>
      <c r="X1156">
        <v>0</v>
      </c>
    </row>
    <row r="1157" spans="1:24" x14ac:dyDescent="0.35">
      <c r="A1157" t="s">
        <v>8</v>
      </c>
      <c r="B1157" t="s">
        <v>9</v>
      </c>
      <c r="C1157" t="str">
        <f t="shared" si="164"/>
        <v>11282</v>
      </c>
      <c r="D1157" t="s">
        <v>17</v>
      </c>
      <c r="E1157" t="str">
        <f t="shared" si="165"/>
        <v>25</v>
      </c>
      <c r="F1157">
        <v>29016</v>
      </c>
      <c r="G1157">
        <v>25938</v>
      </c>
      <c r="H1157">
        <v>1090</v>
      </c>
      <c r="I1157" t="str">
        <f t="shared" si="166"/>
        <v>1</v>
      </c>
      <c r="J1157" t="str">
        <f t="shared" si="167"/>
        <v>sp.a</v>
      </c>
      <c r="K1157">
        <v>659</v>
      </c>
      <c r="L1157">
        <v>2105</v>
      </c>
      <c r="M1157">
        <v>2764</v>
      </c>
      <c r="N1157">
        <v>2073</v>
      </c>
      <c r="O1157">
        <v>3</v>
      </c>
      <c r="P1157" t="str">
        <f>("15")</f>
        <v>15</v>
      </c>
      <c r="Q1157" t="str">
        <f>("LAURYSSEN Lisette")</f>
        <v>LAURYSSEN Lisette</v>
      </c>
      <c r="R1157">
        <v>61</v>
      </c>
      <c r="S1157" t="s">
        <v>44</v>
      </c>
      <c r="T1157">
        <v>0</v>
      </c>
      <c r="V1157">
        <v>15</v>
      </c>
      <c r="W1157">
        <v>61</v>
      </c>
      <c r="X1157">
        <v>0</v>
      </c>
    </row>
    <row r="1158" spans="1:24" x14ac:dyDescent="0.35">
      <c r="A1158" t="s">
        <v>8</v>
      </c>
      <c r="B1158" t="s">
        <v>9</v>
      </c>
      <c r="C1158" t="str">
        <f t="shared" si="164"/>
        <v>11282</v>
      </c>
      <c r="D1158" t="s">
        <v>17</v>
      </c>
      <c r="E1158" t="str">
        <f t="shared" si="165"/>
        <v>25</v>
      </c>
      <c r="F1158">
        <v>29016</v>
      </c>
      <c r="G1158">
        <v>25938</v>
      </c>
      <c r="H1158">
        <v>1090</v>
      </c>
      <c r="I1158" t="str">
        <f t="shared" si="166"/>
        <v>1</v>
      </c>
      <c r="J1158" t="str">
        <f t="shared" si="167"/>
        <v>sp.a</v>
      </c>
      <c r="K1158">
        <v>659</v>
      </c>
      <c r="L1158">
        <v>2105</v>
      </c>
      <c r="M1158">
        <v>2764</v>
      </c>
      <c r="N1158">
        <v>2073</v>
      </c>
      <c r="O1158">
        <v>3</v>
      </c>
      <c r="P1158" t="str">
        <f>("16")</f>
        <v>16</v>
      </c>
      <c r="Q1158" t="str">
        <f>("OMAR Farhan")</f>
        <v>OMAR Farhan</v>
      </c>
      <c r="R1158">
        <v>132</v>
      </c>
      <c r="S1158" t="s">
        <v>44</v>
      </c>
      <c r="T1158">
        <v>0</v>
      </c>
      <c r="V1158">
        <v>5</v>
      </c>
      <c r="W1158">
        <v>132</v>
      </c>
      <c r="X1158">
        <v>0</v>
      </c>
    </row>
    <row r="1159" spans="1:24" x14ac:dyDescent="0.35">
      <c r="A1159" t="s">
        <v>8</v>
      </c>
      <c r="B1159" t="s">
        <v>9</v>
      </c>
      <c r="C1159" t="str">
        <f t="shared" si="164"/>
        <v>11282</v>
      </c>
      <c r="D1159" t="s">
        <v>17</v>
      </c>
      <c r="E1159" t="str">
        <f t="shared" si="165"/>
        <v>25</v>
      </c>
      <c r="F1159">
        <v>29016</v>
      </c>
      <c r="G1159">
        <v>25938</v>
      </c>
      <c r="H1159">
        <v>1090</v>
      </c>
      <c r="I1159" t="str">
        <f t="shared" si="166"/>
        <v>1</v>
      </c>
      <c r="J1159" t="str">
        <f t="shared" si="167"/>
        <v>sp.a</v>
      </c>
      <c r="K1159">
        <v>659</v>
      </c>
      <c r="L1159">
        <v>2105</v>
      </c>
      <c r="M1159">
        <v>2764</v>
      </c>
      <c r="N1159">
        <v>2073</v>
      </c>
      <c r="O1159">
        <v>3</v>
      </c>
      <c r="P1159" t="str">
        <f>("17")</f>
        <v>17</v>
      </c>
      <c r="Q1159" t="str">
        <f>("VAN NOTEN Sven")</f>
        <v>VAN NOTEN Sven</v>
      </c>
      <c r="R1159">
        <v>68</v>
      </c>
      <c r="S1159" t="s">
        <v>44</v>
      </c>
      <c r="T1159">
        <v>0</v>
      </c>
      <c r="V1159">
        <v>14</v>
      </c>
      <c r="W1159">
        <v>68</v>
      </c>
      <c r="X1159">
        <v>0</v>
      </c>
    </row>
    <row r="1160" spans="1:24" x14ac:dyDescent="0.35">
      <c r="A1160" t="s">
        <v>8</v>
      </c>
      <c r="B1160" t="s">
        <v>9</v>
      </c>
      <c r="C1160" t="str">
        <f t="shared" si="164"/>
        <v>11282</v>
      </c>
      <c r="D1160" t="s">
        <v>17</v>
      </c>
      <c r="E1160" t="str">
        <f t="shared" si="165"/>
        <v>25</v>
      </c>
      <c r="F1160">
        <v>29016</v>
      </c>
      <c r="G1160">
        <v>25938</v>
      </c>
      <c r="H1160">
        <v>1090</v>
      </c>
      <c r="I1160" t="str">
        <f t="shared" si="166"/>
        <v>1</v>
      </c>
      <c r="J1160" t="str">
        <f t="shared" si="167"/>
        <v>sp.a</v>
      </c>
      <c r="K1160">
        <v>659</v>
      </c>
      <c r="L1160">
        <v>2105</v>
      </c>
      <c r="M1160">
        <v>2764</v>
      </c>
      <c r="N1160">
        <v>2073</v>
      </c>
      <c r="O1160">
        <v>3</v>
      </c>
      <c r="P1160" t="str">
        <f>("18")</f>
        <v>18</v>
      </c>
      <c r="Q1160" t="str">
        <f>("JARVIS Sandra")</f>
        <v>JARVIS Sandra</v>
      </c>
      <c r="R1160">
        <v>46</v>
      </c>
      <c r="S1160" t="s">
        <v>44</v>
      </c>
      <c r="T1160">
        <v>0</v>
      </c>
      <c r="V1160">
        <v>21</v>
      </c>
      <c r="W1160">
        <v>46</v>
      </c>
      <c r="X1160">
        <v>0</v>
      </c>
    </row>
    <row r="1161" spans="1:24" x14ac:dyDescent="0.35">
      <c r="A1161" t="s">
        <v>8</v>
      </c>
      <c r="B1161" t="s">
        <v>9</v>
      </c>
      <c r="C1161" t="str">
        <f t="shared" si="164"/>
        <v>11282</v>
      </c>
      <c r="D1161" t="s">
        <v>17</v>
      </c>
      <c r="E1161" t="str">
        <f t="shared" si="165"/>
        <v>25</v>
      </c>
      <c r="F1161">
        <v>29016</v>
      </c>
      <c r="G1161">
        <v>25938</v>
      </c>
      <c r="H1161">
        <v>1090</v>
      </c>
      <c r="I1161" t="str">
        <f t="shared" si="166"/>
        <v>1</v>
      </c>
      <c r="J1161" t="str">
        <f t="shared" si="167"/>
        <v>sp.a</v>
      </c>
      <c r="K1161">
        <v>659</v>
      </c>
      <c r="L1161">
        <v>2105</v>
      </c>
      <c r="M1161">
        <v>2764</v>
      </c>
      <c r="N1161">
        <v>2073</v>
      </c>
      <c r="O1161">
        <v>3</v>
      </c>
      <c r="P1161" t="str">
        <f>("19")</f>
        <v>19</v>
      </c>
      <c r="Q1161" t="str">
        <f>("SLOOTMANS Anne Mie")</f>
        <v>SLOOTMANS Anne Mie</v>
      </c>
      <c r="R1161">
        <v>42</v>
      </c>
      <c r="S1161" t="s">
        <v>44</v>
      </c>
      <c r="T1161">
        <v>0</v>
      </c>
      <c r="V1161">
        <v>22</v>
      </c>
      <c r="W1161">
        <v>42</v>
      </c>
      <c r="X1161">
        <v>0</v>
      </c>
    </row>
    <row r="1162" spans="1:24" x14ac:dyDescent="0.35">
      <c r="A1162" t="s">
        <v>8</v>
      </c>
      <c r="B1162" t="s">
        <v>9</v>
      </c>
      <c r="C1162" t="str">
        <f t="shared" si="164"/>
        <v>11282</v>
      </c>
      <c r="D1162" t="s">
        <v>17</v>
      </c>
      <c r="E1162" t="str">
        <f t="shared" si="165"/>
        <v>25</v>
      </c>
      <c r="F1162">
        <v>29016</v>
      </c>
      <c r="G1162">
        <v>25938</v>
      </c>
      <c r="H1162">
        <v>1090</v>
      </c>
      <c r="I1162" t="str">
        <f t="shared" si="166"/>
        <v>1</v>
      </c>
      <c r="J1162" t="str">
        <f t="shared" si="167"/>
        <v>sp.a</v>
      </c>
      <c r="K1162">
        <v>659</v>
      </c>
      <c r="L1162">
        <v>2105</v>
      </c>
      <c r="M1162">
        <v>2764</v>
      </c>
      <c r="N1162">
        <v>2073</v>
      </c>
      <c r="O1162">
        <v>3</v>
      </c>
      <c r="P1162" t="str">
        <f>("20")</f>
        <v>20</v>
      </c>
      <c r="Q1162" t="str">
        <f>("ARNOUTS Brigitte")</f>
        <v>ARNOUTS Brigitte</v>
      </c>
      <c r="R1162">
        <v>54</v>
      </c>
      <c r="S1162" t="s">
        <v>44</v>
      </c>
      <c r="T1162">
        <v>0</v>
      </c>
      <c r="V1162">
        <v>18</v>
      </c>
      <c r="W1162">
        <v>54</v>
      </c>
      <c r="X1162">
        <v>0</v>
      </c>
    </row>
    <row r="1163" spans="1:24" x14ac:dyDescent="0.35">
      <c r="A1163" t="s">
        <v>8</v>
      </c>
      <c r="B1163" t="s">
        <v>9</v>
      </c>
      <c r="C1163" t="str">
        <f t="shared" si="164"/>
        <v>11282</v>
      </c>
      <c r="D1163" t="s">
        <v>17</v>
      </c>
      <c r="E1163" t="str">
        <f t="shared" si="165"/>
        <v>25</v>
      </c>
      <c r="F1163">
        <v>29016</v>
      </c>
      <c r="G1163">
        <v>25938</v>
      </c>
      <c r="H1163">
        <v>1090</v>
      </c>
      <c r="I1163" t="str">
        <f t="shared" si="166"/>
        <v>1</v>
      </c>
      <c r="J1163" t="str">
        <f t="shared" si="167"/>
        <v>sp.a</v>
      </c>
      <c r="K1163">
        <v>659</v>
      </c>
      <c r="L1163">
        <v>2105</v>
      </c>
      <c r="M1163">
        <v>2764</v>
      </c>
      <c r="N1163">
        <v>2073</v>
      </c>
      <c r="O1163">
        <v>3</v>
      </c>
      <c r="P1163" t="str">
        <f>("21")</f>
        <v>21</v>
      </c>
      <c r="Q1163" t="str">
        <f>("VAN BOXELAER Marc")</f>
        <v>VAN BOXELAER Marc</v>
      </c>
      <c r="R1163">
        <v>49</v>
      </c>
      <c r="S1163" t="s">
        <v>44</v>
      </c>
      <c r="T1163">
        <v>0</v>
      </c>
      <c r="V1163">
        <v>19</v>
      </c>
      <c r="W1163">
        <v>49</v>
      </c>
      <c r="X1163">
        <v>0</v>
      </c>
    </row>
    <row r="1164" spans="1:24" x14ac:dyDescent="0.35">
      <c r="A1164" t="s">
        <v>8</v>
      </c>
      <c r="B1164" t="s">
        <v>9</v>
      </c>
      <c r="C1164" t="str">
        <f t="shared" si="164"/>
        <v>11282</v>
      </c>
      <c r="D1164" t="s">
        <v>17</v>
      </c>
      <c r="E1164" t="str">
        <f t="shared" si="165"/>
        <v>25</v>
      </c>
      <c r="F1164">
        <v>29016</v>
      </c>
      <c r="G1164">
        <v>25938</v>
      </c>
      <c r="H1164">
        <v>1090</v>
      </c>
      <c r="I1164" t="str">
        <f t="shared" si="166"/>
        <v>1</v>
      </c>
      <c r="J1164" t="str">
        <f t="shared" si="167"/>
        <v>sp.a</v>
      </c>
      <c r="K1164">
        <v>659</v>
      </c>
      <c r="L1164">
        <v>2105</v>
      </c>
      <c r="M1164">
        <v>2764</v>
      </c>
      <c r="N1164">
        <v>2073</v>
      </c>
      <c r="O1164">
        <v>3</v>
      </c>
      <c r="P1164" t="str">
        <f>("22")</f>
        <v>22</v>
      </c>
      <c r="Q1164" t="str">
        <f>("DE RIDDER Anna")</f>
        <v>DE RIDDER Anna</v>
      </c>
      <c r="R1164">
        <v>69</v>
      </c>
      <c r="S1164" t="s">
        <v>44</v>
      </c>
      <c r="T1164">
        <v>0</v>
      </c>
      <c r="V1164">
        <v>13</v>
      </c>
      <c r="W1164">
        <v>69</v>
      </c>
      <c r="X1164">
        <v>0</v>
      </c>
    </row>
    <row r="1165" spans="1:24" x14ac:dyDescent="0.35">
      <c r="A1165" t="s">
        <v>8</v>
      </c>
      <c r="B1165" t="s">
        <v>9</v>
      </c>
      <c r="C1165" t="str">
        <f t="shared" si="164"/>
        <v>11282</v>
      </c>
      <c r="D1165" t="s">
        <v>17</v>
      </c>
      <c r="E1165" t="str">
        <f t="shared" si="165"/>
        <v>25</v>
      </c>
      <c r="F1165">
        <v>29016</v>
      </c>
      <c r="G1165">
        <v>25938</v>
      </c>
      <c r="H1165">
        <v>1090</v>
      </c>
      <c r="I1165" t="str">
        <f t="shared" si="166"/>
        <v>1</v>
      </c>
      <c r="J1165" t="str">
        <f t="shared" si="167"/>
        <v>sp.a</v>
      </c>
      <c r="K1165">
        <v>659</v>
      </c>
      <c r="L1165">
        <v>2105</v>
      </c>
      <c r="M1165">
        <v>2764</v>
      </c>
      <c r="N1165">
        <v>2073</v>
      </c>
      <c r="O1165">
        <v>3</v>
      </c>
      <c r="P1165" t="str">
        <f>("23")</f>
        <v>23</v>
      </c>
      <c r="Q1165" t="str">
        <f>("AHMAD SAQIB Basharat")</f>
        <v>AHMAD SAQIB Basharat</v>
      </c>
      <c r="R1165">
        <v>108</v>
      </c>
      <c r="S1165" t="s">
        <v>44</v>
      </c>
      <c r="T1165">
        <v>0</v>
      </c>
      <c r="V1165">
        <v>7</v>
      </c>
      <c r="W1165">
        <v>108</v>
      </c>
      <c r="X1165">
        <v>0</v>
      </c>
    </row>
    <row r="1166" spans="1:24" x14ac:dyDescent="0.35">
      <c r="A1166" t="s">
        <v>8</v>
      </c>
      <c r="B1166" t="s">
        <v>9</v>
      </c>
      <c r="C1166" t="str">
        <f t="shared" si="164"/>
        <v>11282</v>
      </c>
      <c r="D1166" t="s">
        <v>17</v>
      </c>
      <c r="E1166" t="str">
        <f t="shared" si="165"/>
        <v>25</v>
      </c>
      <c r="F1166">
        <v>29016</v>
      </c>
      <c r="G1166">
        <v>25938</v>
      </c>
      <c r="H1166">
        <v>1090</v>
      </c>
      <c r="I1166" t="str">
        <f t="shared" si="166"/>
        <v>1</v>
      </c>
      <c r="J1166" t="str">
        <f t="shared" si="167"/>
        <v>sp.a</v>
      </c>
      <c r="K1166">
        <v>659</v>
      </c>
      <c r="L1166">
        <v>2105</v>
      </c>
      <c r="M1166">
        <v>2764</v>
      </c>
      <c r="N1166">
        <v>2073</v>
      </c>
      <c r="O1166">
        <v>3</v>
      </c>
      <c r="P1166" t="str">
        <f>("24")</f>
        <v>24</v>
      </c>
      <c r="Q1166" t="str">
        <f>("AKBAS Fatma")</f>
        <v>AKBAS Fatma</v>
      </c>
      <c r="R1166">
        <v>272</v>
      </c>
      <c r="S1166">
        <v>272</v>
      </c>
      <c r="T1166">
        <v>0</v>
      </c>
      <c r="U1166">
        <v>2</v>
      </c>
    </row>
    <row r="1167" spans="1:24" x14ac:dyDescent="0.35">
      <c r="A1167" t="s">
        <v>8</v>
      </c>
      <c r="B1167" t="s">
        <v>9</v>
      </c>
      <c r="C1167" t="str">
        <f t="shared" si="164"/>
        <v>11282</v>
      </c>
      <c r="D1167" t="s">
        <v>17</v>
      </c>
      <c r="E1167" t="str">
        <f t="shared" si="165"/>
        <v>25</v>
      </c>
      <c r="F1167">
        <v>29016</v>
      </c>
      <c r="G1167">
        <v>25938</v>
      </c>
      <c r="H1167">
        <v>1090</v>
      </c>
      <c r="I1167" t="str">
        <f t="shared" si="166"/>
        <v>1</v>
      </c>
      <c r="J1167" t="str">
        <f t="shared" si="167"/>
        <v>sp.a</v>
      </c>
      <c r="K1167">
        <v>659</v>
      </c>
      <c r="L1167">
        <v>2105</v>
      </c>
      <c r="M1167">
        <v>2764</v>
      </c>
      <c r="N1167">
        <v>2073</v>
      </c>
      <c r="O1167">
        <v>3</v>
      </c>
      <c r="P1167" t="str">
        <f>("25")</f>
        <v>25</v>
      </c>
      <c r="Q1167" t="str">
        <f>("VAN GOOL Greet")</f>
        <v>VAN GOOL Greet</v>
      </c>
      <c r="R1167">
        <v>147</v>
      </c>
      <c r="S1167" t="s">
        <v>44</v>
      </c>
      <c r="T1167">
        <v>0</v>
      </c>
      <c r="V1167">
        <v>4</v>
      </c>
      <c r="W1167">
        <v>147</v>
      </c>
      <c r="X1167">
        <v>0</v>
      </c>
    </row>
    <row r="1168" spans="1:24" x14ac:dyDescent="0.35">
      <c r="A1168" t="s">
        <v>8</v>
      </c>
      <c r="B1168" t="s">
        <v>9</v>
      </c>
      <c r="C1168" t="str">
        <f t="shared" si="164"/>
        <v>11282</v>
      </c>
      <c r="D1168" t="s">
        <v>17</v>
      </c>
      <c r="E1168" t="str">
        <f t="shared" si="165"/>
        <v>25</v>
      </c>
      <c r="F1168">
        <v>29016</v>
      </c>
      <c r="G1168">
        <v>25938</v>
      </c>
      <c r="H1168">
        <v>1090</v>
      </c>
      <c r="I1168" t="str">
        <f t="shared" ref="I1168:I1192" si="168">("2")</f>
        <v>2</v>
      </c>
      <c r="J1168" t="str">
        <f t="shared" ref="J1168:J1192" si="169">("N-VA")</f>
        <v>N-VA</v>
      </c>
      <c r="K1168">
        <v>2993</v>
      </c>
      <c r="L1168">
        <v>6403</v>
      </c>
      <c r="M1168">
        <v>9396</v>
      </c>
      <c r="N1168">
        <v>8613</v>
      </c>
      <c r="O1168">
        <v>11</v>
      </c>
      <c r="P1168" t="str">
        <f>("1")</f>
        <v>1</v>
      </c>
      <c r="Q1168" t="str">
        <f>("BUNGENEERS Luc")</f>
        <v>BUNGENEERS Luc</v>
      </c>
      <c r="R1168">
        <v>3709</v>
      </c>
      <c r="S1168">
        <v>8613</v>
      </c>
      <c r="T1168">
        <v>6071</v>
      </c>
      <c r="U1168">
        <v>1</v>
      </c>
    </row>
    <row r="1169" spans="1:24" x14ac:dyDescent="0.35">
      <c r="A1169" t="s">
        <v>8</v>
      </c>
      <c r="B1169" t="s">
        <v>9</v>
      </c>
      <c r="C1169" t="str">
        <f t="shared" si="164"/>
        <v>11282</v>
      </c>
      <c r="D1169" t="s">
        <v>17</v>
      </c>
      <c r="E1169" t="str">
        <f t="shared" si="165"/>
        <v>25</v>
      </c>
      <c r="F1169">
        <v>29016</v>
      </c>
      <c r="G1169">
        <v>25938</v>
      </c>
      <c r="H1169">
        <v>1090</v>
      </c>
      <c r="I1169" t="str">
        <f t="shared" si="168"/>
        <v>2</v>
      </c>
      <c r="J1169" t="str">
        <f t="shared" si="169"/>
        <v>N-VA</v>
      </c>
      <c r="K1169">
        <v>2993</v>
      </c>
      <c r="L1169">
        <v>6403</v>
      </c>
      <c r="M1169">
        <v>9396</v>
      </c>
      <c r="N1169">
        <v>8613</v>
      </c>
      <c r="O1169">
        <v>11</v>
      </c>
      <c r="P1169" t="str">
        <f>("2")</f>
        <v>2</v>
      </c>
      <c r="Q1169" t="str">
        <f>("SIMONS Wendy")</f>
        <v>SIMONS Wendy</v>
      </c>
      <c r="R1169">
        <v>1069</v>
      </c>
      <c r="S1169">
        <v>7140</v>
      </c>
      <c r="T1169">
        <v>0</v>
      </c>
      <c r="U1169">
        <v>2</v>
      </c>
    </row>
    <row r="1170" spans="1:24" x14ac:dyDescent="0.35">
      <c r="A1170" t="s">
        <v>8</v>
      </c>
      <c r="B1170" t="s">
        <v>9</v>
      </c>
      <c r="C1170" t="str">
        <f t="shared" si="164"/>
        <v>11282</v>
      </c>
      <c r="D1170" t="s">
        <v>17</v>
      </c>
      <c r="E1170" t="str">
        <f t="shared" si="165"/>
        <v>25</v>
      </c>
      <c r="F1170">
        <v>29016</v>
      </c>
      <c r="G1170">
        <v>25938</v>
      </c>
      <c r="H1170">
        <v>1090</v>
      </c>
      <c r="I1170" t="str">
        <f t="shared" si="168"/>
        <v>2</v>
      </c>
      <c r="J1170" t="str">
        <f t="shared" si="169"/>
        <v>N-VA</v>
      </c>
      <c r="K1170">
        <v>2993</v>
      </c>
      <c r="L1170">
        <v>6403</v>
      </c>
      <c r="M1170">
        <v>9396</v>
      </c>
      <c r="N1170">
        <v>8613</v>
      </c>
      <c r="O1170">
        <v>11</v>
      </c>
      <c r="P1170" t="str">
        <f>("3")</f>
        <v>3</v>
      </c>
      <c r="Q1170" t="str">
        <f>("VAN DEN BEMPT Patrick")</f>
        <v>VAN DEN BEMPT Patrick</v>
      </c>
      <c r="R1170">
        <v>434</v>
      </c>
      <c r="S1170">
        <v>434</v>
      </c>
      <c r="T1170">
        <v>0</v>
      </c>
      <c r="U1170">
        <v>3</v>
      </c>
    </row>
    <row r="1171" spans="1:24" x14ac:dyDescent="0.35">
      <c r="A1171" t="s">
        <v>8</v>
      </c>
      <c r="B1171" t="s">
        <v>9</v>
      </c>
      <c r="C1171" t="str">
        <f t="shared" si="164"/>
        <v>11282</v>
      </c>
      <c r="D1171" t="s">
        <v>17</v>
      </c>
      <c r="E1171" t="str">
        <f t="shared" si="165"/>
        <v>25</v>
      </c>
      <c r="F1171">
        <v>29016</v>
      </c>
      <c r="G1171">
        <v>25938</v>
      </c>
      <c r="H1171">
        <v>1090</v>
      </c>
      <c r="I1171" t="str">
        <f t="shared" si="168"/>
        <v>2</v>
      </c>
      <c r="J1171" t="str">
        <f t="shared" si="169"/>
        <v>N-VA</v>
      </c>
      <c r="K1171">
        <v>2993</v>
      </c>
      <c r="L1171">
        <v>6403</v>
      </c>
      <c r="M1171">
        <v>9396</v>
      </c>
      <c r="N1171">
        <v>8613</v>
      </c>
      <c r="O1171">
        <v>11</v>
      </c>
      <c r="P1171" t="str">
        <f>("4")</f>
        <v>4</v>
      </c>
      <c r="Q1171" t="str">
        <f>("SOMERS Lia")</f>
        <v>SOMERS Lia</v>
      </c>
      <c r="R1171">
        <v>397</v>
      </c>
      <c r="S1171">
        <v>397</v>
      </c>
      <c r="T1171">
        <v>0</v>
      </c>
      <c r="U1171">
        <v>4</v>
      </c>
    </row>
    <row r="1172" spans="1:24" x14ac:dyDescent="0.35">
      <c r="A1172" t="s">
        <v>8</v>
      </c>
      <c r="B1172" t="s">
        <v>9</v>
      </c>
      <c r="C1172" t="str">
        <f t="shared" si="164"/>
        <v>11282</v>
      </c>
      <c r="D1172" t="s">
        <v>17</v>
      </c>
      <c r="E1172" t="str">
        <f t="shared" si="165"/>
        <v>25</v>
      </c>
      <c r="F1172">
        <v>29016</v>
      </c>
      <c r="G1172">
        <v>25938</v>
      </c>
      <c r="H1172">
        <v>1090</v>
      </c>
      <c r="I1172" t="str">
        <f t="shared" si="168"/>
        <v>2</v>
      </c>
      <c r="J1172" t="str">
        <f t="shared" si="169"/>
        <v>N-VA</v>
      </c>
      <c r="K1172">
        <v>2993</v>
      </c>
      <c r="L1172">
        <v>6403</v>
      </c>
      <c r="M1172">
        <v>9396</v>
      </c>
      <c r="N1172">
        <v>8613</v>
      </c>
      <c r="O1172">
        <v>11</v>
      </c>
      <c r="P1172" t="str">
        <f>("5")</f>
        <v>5</v>
      </c>
      <c r="Q1172" t="str">
        <f>("SLEECKX Luc")</f>
        <v>SLEECKX Luc</v>
      </c>
      <c r="R1172">
        <v>316</v>
      </c>
      <c r="S1172">
        <v>316</v>
      </c>
      <c r="T1172">
        <v>0</v>
      </c>
      <c r="U1172">
        <v>5</v>
      </c>
    </row>
    <row r="1173" spans="1:24" x14ac:dyDescent="0.35">
      <c r="A1173" t="s">
        <v>8</v>
      </c>
      <c r="B1173" t="s">
        <v>9</v>
      </c>
      <c r="C1173" t="str">
        <f t="shared" si="164"/>
        <v>11282</v>
      </c>
      <c r="D1173" t="s">
        <v>17</v>
      </c>
      <c r="E1173" t="str">
        <f t="shared" si="165"/>
        <v>25</v>
      </c>
      <c r="F1173">
        <v>29016</v>
      </c>
      <c r="G1173">
        <v>25938</v>
      </c>
      <c r="H1173">
        <v>1090</v>
      </c>
      <c r="I1173" t="str">
        <f t="shared" si="168"/>
        <v>2</v>
      </c>
      <c r="J1173" t="str">
        <f t="shared" si="169"/>
        <v>N-VA</v>
      </c>
      <c r="K1173">
        <v>2993</v>
      </c>
      <c r="L1173">
        <v>6403</v>
      </c>
      <c r="M1173">
        <v>9396</v>
      </c>
      <c r="N1173">
        <v>8613</v>
      </c>
      <c r="O1173">
        <v>11</v>
      </c>
      <c r="P1173" t="str">
        <f>("6")</f>
        <v>6</v>
      </c>
      <c r="Q1173" t="str">
        <f>("DUMON Jan")</f>
        <v>DUMON Jan</v>
      </c>
      <c r="R1173">
        <v>293</v>
      </c>
      <c r="S1173">
        <v>293</v>
      </c>
      <c r="T1173">
        <v>0</v>
      </c>
      <c r="U1173">
        <v>6</v>
      </c>
    </row>
    <row r="1174" spans="1:24" x14ac:dyDescent="0.35">
      <c r="A1174" t="s">
        <v>8</v>
      </c>
      <c r="B1174" t="s">
        <v>9</v>
      </c>
      <c r="C1174" t="str">
        <f t="shared" si="164"/>
        <v>11282</v>
      </c>
      <c r="D1174" t="s">
        <v>17</v>
      </c>
      <c r="E1174" t="str">
        <f t="shared" si="165"/>
        <v>25</v>
      </c>
      <c r="F1174">
        <v>29016</v>
      </c>
      <c r="G1174">
        <v>25938</v>
      </c>
      <c r="H1174">
        <v>1090</v>
      </c>
      <c r="I1174" t="str">
        <f t="shared" si="168"/>
        <v>2</v>
      </c>
      <c r="J1174" t="str">
        <f t="shared" si="169"/>
        <v>N-VA</v>
      </c>
      <c r="K1174">
        <v>2993</v>
      </c>
      <c r="L1174">
        <v>6403</v>
      </c>
      <c r="M1174">
        <v>9396</v>
      </c>
      <c r="N1174">
        <v>8613</v>
      </c>
      <c r="O1174">
        <v>11</v>
      </c>
      <c r="P1174" t="str">
        <f>("7")</f>
        <v>7</v>
      </c>
      <c r="Q1174" t="str">
        <f>("LAMIGAN-KALINGART Imelda")</f>
        <v>LAMIGAN-KALINGART Imelda</v>
      </c>
      <c r="R1174">
        <v>292</v>
      </c>
      <c r="S1174">
        <v>292</v>
      </c>
      <c r="T1174">
        <v>0</v>
      </c>
      <c r="U1174">
        <v>7</v>
      </c>
    </row>
    <row r="1175" spans="1:24" x14ac:dyDescent="0.35">
      <c r="A1175" t="s">
        <v>8</v>
      </c>
      <c r="B1175" t="s">
        <v>9</v>
      </c>
      <c r="C1175" t="str">
        <f t="shared" ref="C1175:C1206" si="170">("11282")</f>
        <v>11282</v>
      </c>
      <c r="D1175" t="s">
        <v>17</v>
      </c>
      <c r="E1175" t="str">
        <f t="shared" si="165"/>
        <v>25</v>
      </c>
      <c r="F1175">
        <v>29016</v>
      </c>
      <c r="G1175">
        <v>25938</v>
      </c>
      <c r="H1175">
        <v>1090</v>
      </c>
      <c r="I1175" t="str">
        <f t="shared" si="168"/>
        <v>2</v>
      </c>
      <c r="J1175" t="str">
        <f t="shared" si="169"/>
        <v>N-VA</v>
      </c>
      <c r="K1175">
        <v>2993</v>
      </c>
      <c r="L1175">
        <v>6403</v>
      </c>
      <c r="M1175">
        <v>9396</v>
      </c>
      <c r="N1175">
        <v>8613</v>
      </c>
      <c r="O1175">
        <v>11</v>
      </c>
      <c r="P1175" t="str">
        <f>("8")</f>
        <v>8</v>
      </c>
      <c r="Q1175" t="str">
        <f>("FRENSCH Jari")</f>
        <v>FRENSCH Jari</v>
      </c>
      <c r="R1175">
        <v>219</v>
      </c>
      <c r="S1175" t="s">
        <v>44</v>
      </c>
      <c r="T1175">
        <v>0</v>
      </c>
      <c r="V1175">
        <v>1</v>
      </c>
      <c r="W1175">
        <v>8613</v>
      </c>
      <c r="X1175">
        <v>2581</v>
      </c>
    </row>
    <row r="1176" spans="1:24" x14ac:dyDescent="0.35">
      <c r="A1176" t="s">
        <v>8</v>
      </c>
      <c r="B1176" t="s">
        <v>9</v>
      </c>
      <c r="C1176" t="str">
        <f t="shared" si="170"/>
        <v>11282</v>
      </c>
      <c r="D1176" t="s">
        <v>17</v>
      </c>
      <c r="E1176" t="str">
        <f t="shared" si="165"/>
        <v>25</v>
      </c>
      <c r="F1176">
        <v>29016</v>
      </c>
      <c r="G1176">
        <v>25938</v>
      </c>
      <c r="H1176">
        <v>1090</v>
      </c>
      <c r="I1176" t="str">
        <f t="shared" si="168"/>
        <v>2</v>
      </c>
      <c r="J1176" t="str">
        <f t="shared" si="169"/>
        <v>N-VA</v>
      </c>
      <c r="K1176">
        <v>2993</v>
      </c>
      <c r="L1176">
        <v>6403</v>
      </c>
      <c r="M1176">
        <v>9396</v>
      </c>
      <c r="N1176">
        <v>8613</v>
      </c>
      <c r="O1176">
        <v>11</v>
      </c>
      <c r="P1176" t="str">
        <f>("9")</f>
        <v>9</v>
      </c>
      <c r="Q1176" t="str">
        <f>("NIELSEN Carla")</f>
        <v>NIELSEN Carla</v>
      </c>
      <c r="R1176">
        <v>232</v>
      </c>
      <c r="S1176" t="s">
        <v>44</v>
      </c>
      <c r="T1176">
        <v>0</v>
      </c>
      <c r="V1176">
        <v>2</v>
      </c>
      <c r="W1176">
        <v>2813</v>
      </c>
      <c r="X1176">
        <v>0</v>
      </c>
    </row>
    <row r="1177" spans="1:24" x14ac:dyDescent="0.35">
      <c r="A1177" t="s">
        <v>8</v>
      </c>
      <c r="B1177" t="s">
        <v>9</v>
      </c>
      <c r="C1177" t="str">
        <f t="shared" si="170"/>
        <v>11282</v>
      </c>
      <c r="D1177" t="s">
        <v>17</v>
      </c>
      <c r="E1177" t="str">
        <f t="shared" si="165"/>
        <v>25</v>
      </c>
      <c r="F1177">
        <v>29016</v>
      </c>
      <c r="G1177">
        <v>25938</v>
      </c>
      <c r="H1177">
        <v>1090</v>
      </c>
      <c r="I1177" t="str">
        <f t="shared" si="168"/>
        <v>2</v>
      </c>
      <c r="J1177" t="str">
        <f t="shared" si="169"/>
        <v>N-VA</v>
      </c>
      <c r="K1177">
        <v>2993</v>
      </c>
      <c r="L1177">
        <v>6403</v>
      </c>
      <c r="M1177">
        <v>9396</v>
      </c>
      <c r="N1177">
        <v>8613</v>
      </c>
      <c r="O1177">
        <v>11</v>
      </c>
      <c r="P1177" t="str">
        <f>("10")</f>
        <v>10</v>
      </c>
      <c r="Q1177" t="str">
        <f>("VERHOEVEN Iris")</f>
        <v>VERHOEVEN Iris</v>
      </c>
      <c r="R1177">
        <v>263</v>
      </c>
      <c r="S1177">
        <v>263</v>
      </c>
      <c r="T1177">
        <v>0</v>
      </c>
      <c r="U1177">
        <v>10</v>
      </c>
    </row>
    <row r="1178" spans="1:24" x14ac:dyDescent="0.35">
      <c r="A1178" t="s">
        <v>8</v>
      </c>
      <c r="B1178" t="s">
        <v>9</v>
      </c>
      <c r="C1178" t="str">
        <f t="shared" si="170"/>
        <v>11282</v>
      </c>
      <c r="D1178" t="s">
        <v>17</v>
      </c>
      <c r="E1178" t="str">
        <f t="shared" si="165"/>
        <v>25</v>
      </c>
      <c r="F1178">
        <v>29016</v>
      </c>
      <c r="G1178">
        <v>25938</v>
      </c>
      <c r="H1178">
        <v>1090</v>
      </c>
      <c r="I1178" t="str">
        <f t="shared" si="168"/>
        <v>2</v>
      </c>
      <c r="J1178" t="str">
        <f t="shared" si="169"/>
        <v>N-VA</v>
      </c>
      <c r="K1178">
        <v>2993</v>
      </c>
      <c r="L1178">
        <v>6403</v>
      </c>
      <c r="M1178">
        <v>9396</v>
      </c>
      <c r="N1178">
        <v>8613</v>
      </c>
      <c r="O1178">
        <v>11</v>
      </c>
      <c r="P1178" t="str">
        <f>("11")</f>
        <v>11</v>
      </c>
      <c r="Q1178" t="str">
        <f>("COSTROP Curt")</f>
        <v>COSTROP Curt</v>
      </c>
      <c r="R1178">
        <v>240</v>
      </c>
      <c r="S1178" t="s">
        <v>44</v>
      </c>
      <c r="T1178">
        <v>0</v>
      </c>
      <c r="V1178">
        <v>3</v>
      </c>
      <c r="W1178">
        <v>240</v>
      </c>
      <c r="X1178">
        <v>0</v>
      </c>
    </row>
    <row r="1179" spans="1:24" x14ac:dyDescent="0.35">
      <c r="A1179" t="s">
        <v>8</v>
      </c>
      <c r="B1179" t="s">
        <v>9</v>
      </c>
      <c r="C1179" t="str">
        <f t="shared" si="170"/>
        <v>11282</v>
      </c>
      <c r="D1179" t="s">
        <v>17</v>
      </c>
      <c r="E1179" t="str">
        <f t="shared" si="165"/>
        <v>25</v>
      </c>
      <c r="F1179">
        <v>29016</v>
      </c>
      <c r="G1179">
        <v>25938</v>
      </c>
      <c r="H1179">
        <v>1090</v>
      </c>
      <c r="I1179" t="str">
        <f t="shared" si="168"/>
        <v>2</v>
      </c>
      <c r="J1179" t="str">
        <f t="shared" si="169"/>
        <v>N-VA</v>
      </c>
      <c r="K1179">
        <v>2993</v>
      </c>
      <c r="L1179">
        <v>6403</v>
      </c>
      <c r="M1179">
        <v>9396</v>
      </c>
      <c r="N1179">
        <v>8613</v>
      </c>
      <c r="O1179">
        <v>11</v>
      </c>
      <c r="P1179" t="str">
        <f>("12")</f>
        <v>12</v>
      </c>
      <c r="Q1179" t="str">
        <f>("BUILAERT Johan")</f>
        <v>BUILAERT Johan</v>
      </c>
      <c r="R1179">
        <v>235</v>
      </c>
      <c r="S1179" t="s">
        <v>44</v>
      </c>
      <c r="T1179">
        <v>0</v>
      </c>
      <c r="V1179">
        <v>4</v>
      </c>
      <c r="W1179">
        <v>235</v>
      </c>
      <c r="X1179">
        <v>0</v>
      </c>
    </row>
    <row r="1180" spans="1:24" x14ac:dyDescent="0.35">
      <c r="A1180" t="s">
        <v>8</v>
      </c>
      <c r="B1180" t="s">
        <v>9</v>
      </c>
      <c r="C1180" t="str">
        <f t="shared" si="170"/>
        <v>11282</v>
      </c>
      <c r="D1180" t="s">
        <v>17</v>
      </c>
      <c r="E1180" t="str">
        <f t="shared" si="165"/>
        <v>25</v>
      </c>
      <c r="F1180">
        <v>29016</v>
      </c>
      <c r="G1180">
        <v>25938</v>
      </c>
      <c r="H1180">
        <v>1090</v>
      </c>
      <c r="I1180" t="str">
        <f t="shared" si="168"/>
        <v>2</v>
      </c>
      <c r="J1180" t="str">
        <f t="shared" si="169"/>
        <v>N-VA</v>
      </c>
      <c r="K1180">
        <v>2993</v>
      </c>
      <c r="L1180">
        <v>6403</v>
      </c>
      <c r="M1180">
        <v>9396</v>
      </c>
      <c r="N1180">
        <v>8613</v>
      </c>
      <c r="O1180">
        <v>11</v>
      </c>
      <c r="P1180" t="str">
        <f>("13")</f>
        <v>13</v>
      </c>
      <c r="Q1180" t="str">
        <f>("DOGGE David")</f>
        <v>DOGGE David</v>
      </c>
      <c r="R1180">
        <v>271</v>
      </c>
      <c r="S1180">
        <v>271</v>
      </c>
      <c r="T1180">
        <v>0</v>
      </c>
      <c r="U1180">
        <v>8</v>
      </c>
    </row>
    <row r="1181" spans="1:24" x14ac:dyDescent="0.35">
      <c r="A1181" t="s">
        <v>8</v>
      </c>
      <c r="B1181" t="s">
        <v>9</v>
      </c>
      <c r="C1181" t="str">
        <f t="shared" si="170"/>
        <v>11282</v>
      </c>
      <c r="D1181" t="s">
        <v>17</v>
      </c>
      <c r="E1181" t="str">
        <f t="shared" si="165"/>
        <v>25</v>
      </c>
      <c r="F1181">
        <v>29016</v>
      </c>
      <c r="G1181">
        <v>25938</v>
      </c>
      <c r="H1181">
        <v>1090</v>
      </c>
      <c r="I1181" t="str">
        <f t="shared" si="168"/>
        <v>2</v>
      </c>
      <c r="J1181" t="str">
        <f t="shared" si="169"/>
        <v>N-VA</v>
      </c>
      <c r="K1181">
        <v>2993</v>
      </c>
      <c r="L1181">
        <v>6403</v>
      </c>
      <c r="M1181">
        <v>9396</v>
      </c>
      <c r="N1181">
        <v>8613</v>
      </c>
      <c r="O1181">
        <v>11</v>
      </c>
      <c r="P1181" t="str">
        <f>("14")</f>
        <v>14</v>
      </c>
      <c r="Q1181" t="str">
        <f>("VAN DEN NEUCKER Gie")</f>
        <v>VAN DEN NEUCKER Gie</v>
      </c>
      <c r="R1181">
        <v>208</v>
      </c>
      <c r="S1181" t="s">
        <v>44</v>
      </c>
      <c r="T1181">
        <v>0</v>
      </c>
      <c r="V1181">
        <v>7</v>
      </c>
      <c r="W1181">
        <v>208</v>
      </c>
      <c r="X1181">
        <v>0</v>
      </c>
    </row>
    <row r="1182" spans="1:24" x14ac:dyDescent="0.35">
      <c r="A1182" t="s">
        <v>8</v>
      </c>
      <c r="B1182" t="s">
        <v>9</v>
      </c>
      <c r="C1182" t="str">
        <f t="shared" si="170"/>
        <v>11282</v>
      </c>
      <c r="D1182" t="s">
        <v>17</v>
      </c>
      <c r="E1182" t="str">
        <f t="shared" si="165"/>
        <v>25</v>
      </c>
      <c r="F1182">
        <v>29016</v>
      </c>
      <c r="G1182">
        <v>25938</v>
      </c>
      <c r="H1182">
        <v>1090</v>
      </c>
      <c r="I1182" t="str">
        <f t="shared" si="168"/>
        <v>2</v>
      </c>
      <c r="J1182" t="str">
        <f t="shared" si="169"/>
        <v>N-VA</v>
      </c>
      <c r="K1182">
        <v>2993</v>
      </c>
      <c r="L1182">
        <v>6403</v>
      </c>
      <c r="M1182">
        <v>9396</v>
      </c>
      <c r="N1182">
        <v>8613</v>
      </c>
      <c r="O1182">
        <v>11</v>
      </c>
      <c r="P1182" t="str">
        <f>("15")</f>
        <v>15</v>
      </c>
      <c r="Q1182" t="str">
        <f>("NEWSOME Sheryl")</f>
        <v>NEWSOME Sheryl</v>
      </c>
      <c r="R1182">
        <v>160</v>
      </c>
      <c r="S1182" t="s">
        <v>44</v>
      </c>
      <c r="T1182">
        <v>0</v>
      </c>
      <c r="V1182">
        <v>12</v>
      </c>
      <c r="W1182">
        <v>160</v>
      </c>
      <c r="X1182">
        <v>0</v>
      </c>
    </row>
    <row r="1183" spans="1:24" x14ac:dyDescent="0.35">
      <c r="A1183" t="s">
        <v>8</v>
      </c>
      <c r="B1183" t="s">
        <v>9</v>
      </c>
      <c r="C1183" t="str">
        <f t="shared" si="170"/>
        <v>11282</v>
      </c>
      <c r="D1183" t="s">
        <v>17</v>
      </c>
      <c r="E1183" t="str">
        <f t="shared" si="165"/>
        <v>25</v>
      </c>
      <c r="F1183">
        <v>29016</v>
      </c>
      <c r="G1183">
        <v>25938</v>
      </c>
      <c r="H1183">
        <v>1090</v>
      </c>
      <c r="I1183" t="str">
        <f t="shared" si="168"/>
        <v>2</v>
      </c>
      <c r="J1183" t="str">
        <f t="shared" si="169"/>
        <v>N-VA</v>
      </c>
      <c r="K1183">
        <v>2993</v>
      </c>
      <c r="L1183">
        <v>6403</v>
      </c>
      <c r="M1183">
        <v>9396</v>
      </c>
      <c r="N1183">
        <v>8613</v>
      </c>
      <c r="O1183">
        <v>11</v>
      </c>
      <c r="P1183" t="str">
        <f>("16")</f>
        <v>16</v>
      </c>
      <c r="Q1183" t="str">
        <f>("SUYKERBUYK Annick")</f>
        <v>SUYKERBUYK Annick</v>
      </c>
      <c r="R1183">
        <v>208</v>
      </c>
      <c r="S1183" t="s">
        <v>44</v>
      </c>
      <c r="T1183">
        <v>0</v>
      </c>
      <c r="V1183">
        <v>8</v>
      </c>
      <c r="W1183">
        <v>208</v>
      </c>
      <c r="X1183">
        <v>0</v>
      </c>
    </row>
    <row r="1184" spans="1:24" x14ac:dyDescent="0.35">
      <c r="A1184" t="s">
        <v>8</v>
      </c>
      <c r="B1184" t="s">
        <v>9</v>
      </c>
      <c r="C1184" t="str">
        <f t="shared" si="170"/>
        <v>11282</v>
      </c>
      <c r="D1184" t="s">
        <v>17</v>
      </c>
      <c r="E1184" t="str">
        <f t="shared" si="165"/>
        <v>25</v>
      </c>
      <c r="F1184">
        <v>29016</v>
      </c>
      <c r="G1184">
        <v>25938</v>
      </c>
      <c r="H1184">
        <v>1090</v>
      </c>
      <c r="I1184" t="str">
        <f t="shared" si="168"/>
        <v>2</v>
      </c>
      <c r="J1184" t="str">
        <f t="shared" si="169"/>
        <v>N-VA</v>
      </c>
      <c r="K1184">
        <v>2993</v>
      </c>
      <c r="L1184">
        <v>6403</v>
      </c>
      <c r="M1184">
        <v>9396</v>
      </c>
      <c r="N1184">
        <v>8613</v>
      </c>
      <c r="O1184">
        <v>11</v>
      </c>
      <c r="P1184" t="str">
        <f>("17")</f>
        <v>17</v>
      </c>
      <c r="Q1184" t="str">
        <f>("HOREMANS Kelly")</f>
        <v>HOREMANS Kelly</v>
      </c>
      <c r="R1184">
        <v>203</v>
      </c>
      <c r="S1184" t="s">
        <v>44</v>
      </c>
      <c r="T1184">
        <v>0</v>
      </c>
      <c r="V1184">
        <v>10</v>
      </c>
      <c r="W1184">
        <v>203</v>
      </c>
      <c r="X1184">
        <v>0</v>
      </c>
    </row>
    <row r="1185" spans="1:24" x14ac:dyDescent="0.35">
      <c r="A1185" t="s">
        <v>8</v>
      </c>
      <c r="B1185" t="s">
        <v>9</v>
      </c>
      <c r="C1185" t="str">
        <f t="shared" si="170"/>
        <v>11282</v>
      </c>
      <c r="D1185" t="s">
        <v>17</v>
      </c>
      <c r="E1185" t="str">
        <f t="shared" si="165"/>
        <v>25</v>
      </c>
      <c r="F1185">
        <v>29016</v>
      </c>
      <c r="G1185">
        <v>25938</v>
      </c>
      <c r="H1185">
        <v>1090</v>
      </c>
      <c r="I1185" t="str">
        <f t="shared" si="168"/>
        <v>2</v>
      </c>
      <c r="J1185" t="str">
        <f t="shared" si="169"/>
        <v>N-VA</v>
      </c>
      <c r="K1185">
        <v>2993</v>
      </c>
      <c r="L1185">
        <v>6403</v>
      </c>
      <c r="M1185">
        <v>9396</v>
      </c>
      <c r="N1185">
        <v>8613</v>
      </c>
      <c r="O1185">
        <v>11</v>
      </c>
      <c r="P1185" t="str">
        <f>("18")</f>
        <v>18</v>
      </c>
      <c r="Q1185" t="str">
        <f>("GORRÉ Yoni")</f>
        <v>GORRÉ Yoni</v>
      </c>
      <c r="R1185">
        <v>127</v>
      </c>
      <c r="S1185" t="s">
        <v>44</v>
      </c>
      <c r="T1185">
        <v>0</v>
      </c>
      <c r="V1185">
        <v>14</v>
      </c>
      <c r="W1185">
        <v>127</v>
      </c>
      <c r="X1185">
        <v>0</v>
      </c>
    </row>
    <row r="1186" spans="1:24" x14ac:dyDescent="0.35">
      <c r="A1186" t="s">
        <v>8</v>
      </c>
      <c r="B1186" t="s">
        <v>9</v>
      </c>
      <c r="C1186" t="str">
        <f t="shared" si="170"/>
        <v>11282</v>
      </c>
      <c r="D1186" t="s">
        <v>17</v>
      </c>
      <c r="E1186" t="str">
        <f t="shared" si="165"/>
        <v>25</v>
      </c>
      <c r="F1186">
        <v>29016</v>
      </c>
      <c r="G1186">
        <v>25938</v>
      </c>
      <c r="H1186">
        <v>1090</v>
      </c>
      <c r="I1186" t="str">
        <f t="shared" si="168"/>
        <v>2</v>
      </c>
      <c r="J1186" t="str">
        <f t="shared" si="169"/>
        <v>N-VA</v>
      </c>
      <c r="K1186">
        <v>2993</v>
      </c>
      <c r="L1186">
        <v>6403</v>
      </c>
      <c r="M1186">
        <v>9396</v>
      </c>
      <c r="N1186">
        <v>8613</v>
      </c>
      <c r="O1186">
        <v>11</v>
      </c>
      <c r="P1186" t="str">
        <f>("19")</f>
        <v>19</v>
      </c>
      <c r="Q1186" t="str">
        <f>("VAN DEN BOGAERT Eva")</f>
        <v>VAN DEN BOGAERT Eva</v>
      </c>
      <c r="R1186">
        <v>170</v>
      </c>
      <c r="S1186" t="s">
        <v>44</v>
      </c>
      <c r="T1186">
        <v>0</v>
      </c>
      <c r="V1186">
        <v>11</v>
      </c>
      <c r="W1186">
        <v>170</v>
      </c>
      <c r="X1186">
        <v>0</v>
      </c>
    </row>
    <row r="1187" spans="1:24" x14ac:dyDescent="0.35">
      <c r="A1187" t="s">
        <v>8</v>
      </c>
      <c r="B1187" t="s">
        <v>9</v>
      </c>
      <c r="C1187" t="str">
        <f t="shared" si="170"/>
        <v>11282</v>
      </c>
      <c r="D1187" t="s">
        <v>17</v>
      </c>
      <c r="E1187" t="str">
        <f t="shared" si="165"/>
        <v>25</v>
      </c>
      <c r="F1187">
        <v>29016</v>
      </c>
      <c r="G1187">
        <v>25938</v>
      </c>
      <c r="H1187">
        <v>1090</v>
      </c>
      <c r="I1187" t="str">
        <f t="shared" si="168"/>
        <v>2</v>
      </c>
      <c r="J1187" t="str">
        <f t="shared" si="169"/>
        <v>N-VA</v>
      </c>
      <c r="K1187">
        <v>2993</v>
      </c>
      <c r="L1187">
        <v>6403</v>
      </c>
      <c r="M1187">
        <v>9396</v>
      </c>
      <c r="N1187">
        <v>8613</v>
      </c>
      <c r="O1187">
        <v>11</v>
      </c>
      <c r="P1187" t="str">
        <f>("20")</f>
        <v>20</v>
      </c>
      <c r="Q1187" t="str">
        <f>("SNYKERS Marie-Rose")</f>
        <v>SNYKERS Marie-Rose</v>
      </c>
      <c r="R1187">
        <v>134</v>
      </c>
      <c r="S1187" t="s">
        <v>44</v>
      </c>
      <c r="T1187">
        <v>0</v>
      </c>
      <c r="V1187">
        <v>13</v>
      </c>
      <c r="W1187">
        <v>134</v>
      </c>
      <c r="X1187">
        <v>0</v>
      </c>
    </row>
    <row r="1188" spans="1:24" x14ac:dyDescent="0.35">
      <c r="A1188" t="s">
        <v>8</v>
      </c>
      <c r="B1188" t="s">
        <v>9</v>
      </c>
      <c r="C1188" t="str">
        <f t="shared" si="170"/>
        <v>11282</v>
      </c>
      <c r="D1188" t="s">
        <v>17</v>
      </c>
      <c r="E1188" t="str">
        <f t="shared" si="165"/>
        <v>25</v>
      </c>
      <c r="F1188">
        <v>29016</v>
      </c>
      <c r="G1188">
        <v>25938</v>
      </c>
      <c r="H1188">
        <v>1090</v>
      </c>
      <c r="I1188" t="str">
        <f t="shared" si="168"/>
        <v>2</v>
      </c>
      <c r="J1188" t="str">
        <f t="shared" si="169"/>
        <v>N-VA</v>
      </c>
      <c r="K1188">
        <v>2993</v>
      </c>
      <c r="L1188">
        <v>6403</v>
      </c>
      <c r="M1188">
        <v>9396</v>
      </c>
      <c r="N1188">
        <v>8613</v>
      </c>
      <c r="O1188">
        <v>11</v>
      </c>
      <c r="P1188" t="str">
        <f>("21")</f>
        <v>21</v>
      </c>
      <c r="Q1188" t="str">
        <f>("WELLENS Peter")</f>
        <v>WELLENS Peter</v>
      </c>
      <c r="R1188">
        <v>227</v>
      </c>
      <c r="S1188" t="s">
        <v>44</v>
      </c>
      <c r="T1188">
        <v>0</v>
      </c>
      <c r="V1188">
        <v>5</v>
      </c>
      <c r="W1188">
        <v>227</v>
      </c>
      <c r="X1188">
        <v>0</v>
      </c>
    </row>
    <row r="1189" spans="1:24" x14ac:dyDescent="0.35">
      <c r="A1189" t="s">
        <v>8</v>
      </c>
      <c r="B1189" t="s">
        <v>9</v>
      </c>
      <c r="C1189" t="str">
        <f t="shared" si="170"/>
        <v>11282</v>
      </c>
      <c r="D1189" t="s">
        <v>17</v>
      </c>
      <c r="E1189" t="str">
        <f t="shared" si="165"/>
        <v>25</v>
      </c>
      <c r="F1189">
        <v>29016</v>
      </c>
      <c r="G1189">
        <v>25938</v>
      </c>
      <c r="H1189">
        <v>1090</v>
      </c>
      <c r="I1189" t="str">
        <f t="shared" si="168"/>
        <v>2</v>
      </c>
      <c r="J1189" t="str">
        <f t="shared" si="169"/>
        <v>N-VA</v>
      </c>
      <c r="K1189">
        <v>2993</v>
      </c>
      <c r="L1189">
        <v>6403</v>
      </c>
      <c r="M1189">
        <v>9396</v>
      </c>
      <c r="N1189">
        <v>8613</v>
      </c>
      <c r="O1189">
        <v>11</v>
      </c>
      <c r="P1189" t="str">
        <f>("22")</f>
        <v>22</v>
      </c>
      <c r="Q1189" t="str">
        <f>("VAN BAREN Nathalie")</f>
        <v>VAN BAREN Nathalie</v>
      </c>
      <c r="R1189">
        <v>222</v>
      </c>
      <c r="S1189" t="s">
        <v>44</v>
      </c>
      <c r="T1189">
        <v>0</v>
      </c>
      <c r="V1189">
        <v>6</v>
      </c>
      <c r="W1189">
        <v>222</v>
      </c>
      <c r="X1189">
        <v>0</v>
      </c>
    </row>
    <row r="1190" spans="1:24" x14ac:dyDescent="0.35">
      <c r="A1190" t="s">
        <v>8</v>
      </c>
      <c r="B1190" t="s">
        <v>9</v>
      </c>
      <c r="C1190" t="str">
        <f t="shared" si="170"/>
        <v>11282</v>
      </c>
      <c r="D1190" t="s">
        <v>17</v>
      </c>
      <c r="E1190" t="str">
        <f t="shared" si="165"/>
        <v>25</v>
      </c>
      <c r="F1190">
        <v>29016</v>
      </c>
      <c r="G1190">
        <v>25938</v>
      </c>
      <c r="H1190">
        <v>1090</v>
      </c>
      <c r="I1190" t="str">
        <f t="shared" si="168"/>
        <v>2</v>
      </c>
      <c r="J1190" t="str">
        <f t="shared" si="169"/>
        <v>N-VA</v>
      </c>
      <c r="K1190">
        <v>2993</v>
      </c>
      <c r="L1190">
        <v>6403</v>
      </c>
      <c r="M1190">
        <v>9396</v>
      </c>
      <c r="N1190">
        <v>8613</v>
      </c>
      <c r="O1190">
        <v>11</v>
      </c>
      <c r="P1190" t="str">
        <f>("23")</f>
        <v>23</v>
      </c>
      <c r="Q1190" t="str">
        <f>("JOCHEMS Wim")</f>
        <v>JOCHEMS Wim</v>
      </c>
      <c r="R1190">
        <v>250</v>
      </c>
      <c r="S1190">
        <v>250</v>
      </c>
      <c r="T1190">
        <v>0</v>
      </c>
      <c r="U1190">
        <v>11</v>
      </c>
    </row>
    <row r="1191" spans="1:24" x14ac:dyDescent="0.35">
      <c r="A1191" t="s">
        <v>8</v>
      </c>
      <c r="B1191" t="s">
        <v>9</v>
      </c>
      <c r="C1191" t="str">
        <f t="shared" si="170"/>
        <v>11282</v>
      </c>
      <c r="D1191" t="s">
        <v>17</v>
      </c>
      <c r="E1191" t="str">
        <f t="shared" si="165"/>
        <v>25</v>
      </c>
      <c r="F1191">
        <v>29016</v>
      </c>
      <c r="G1191">
        <v>25938</v>
      </c>
      <c r="H1191">
        <v>1090</v>
      </c>
      <c r="I1191" t="str">
        <f t="shared" si="168"/>
        <v>2</v>
      </c>
      <c r="J1191" t="str">
        <f t="shared" si="169"/>
        <v>N-VA</v>
      </c>
      <c r="K1191">
        <v>2993</v>
      </c>
      <c r="L1191">
        <v>6403</v>
      </c>
      <c r="M1191">
        <v>9396</v>
      </c>
      <c r="N1191">
        <v>8613</v>
      </c>
      <c r="O1191">
        <v>11</v>
      </c>
      <c r="P1191" t="str">
        <f>("24")</f>
        <v>24</v>
      </c>
      <c r="Q1191" t="str">
        <f>("HENDRICKX Edwin")</f>
        <v>HENDRICKX Edwin</v>
      </c>
      <c r="R1191">
        <v>208</v>
      </c>
      <c r="S1191" t="s">
        <v>44</v>
      </c>
      <c r="T1191">
        <v>0</v>
      </c>
      <c r="V1191">
        <v>9</v>
      </c>
      <c r="W1191">
        <v>208</v>
      </c>
      <c r="X1191">
        <v>0</v>
      </c>
    </row>
    <row r="1192" spans="1:24" x14ac:dyDescent="0.35">
      <c r="A1192" t="s">
        <v>8</v>
      </c>
      <c r="B1192" t="s">
        <v>9</v>
      </c>
      <c r="C1192" t="str">
        <f t="shared" si="170"/>
        <v>11282</v>
      </c>
      <c r="D1192" t="s">
        <v>17</v>
      </c>
      <c r="E1192" t="str">
        <f t="shared" si="165"/>
        <v>25</v>
      </c>
      <c r="F1192">
        <v>29016</v>
      </c>
      <c r="G1192">
        <v>25938</v>
      </c>
      <c r="H1192">
        <v>1090</v>
      </c>
      <c r="I1192" t="str">
        <f t="shared" si="168"/>
        <v>2</v>
      </c>
      <c r="J1192" t="str">
        <f t="shared" si="169"/>
        <v>N-VA</v>
      </c>
      <c r="K1192">
        <v>2993</v>
      </c>
      <c r="L1192">
        <v>6403</v>
      </c>
      <c r="M1192">
        <v>9396</v>
      </c>
      <c r="N1192">
        <v>8613</v>
      </c>
      <c r="O1192">
        <v>11</v>
      </c>
      <c r="P1192" t="str">
        <f>("25")</f>
        <v>25</v>
      </c>
      <c r="Q1192" t="str">
        <f>("GIELEN Herman")</f>
        <v>GIELEN Herman</v>
      </c>
      <c r="R1192">
        <v>268</v>
      </c>
      <c r="S1192">
        <v>268</v>
      </c>
      <c r="T1192">
        <v>0</v>
      </c>
      <c r="U1192">
        <v>9</v>
      </c>
    </row>
    <row r="1193" spans="1:24" x14ac:dyDescent="0.35">
      <c r="A1193" t="s">
        <v>8</v>
      </c>
      <c r="B1193" t="s">
        <v>9</v>
      </c>
      <c r="C1193" t="str">
        <f t="shared" si="170"/>
        <v>11282</v>
      </c>
      <c r="D1193" t="s">
        <v>17</v>
      </c>
      <c r="E1193" t="str">
        <f t="shared" si="165"/>
        <v>25</v>
      </c>
      <c r="F1193">
        <v>29016</v>
      </c>
      <c r="G1193">
        <v>25938</v>
      </c>
      <c r="H1193">
        <v>1090</v>
      </c>
      <c r="I1193" t="str">
        <f t="shared" ref="I1193:I1217" si="171">("3")</f>
        <v>3</v>
      </c>
      <c r="J1193" t="str">
        <f t="shared" ref="J1193:J1217" si="172">("CD&amp;V")</f>
        <v>CD&amp;V</v>
      </c>
      <c r="K1193">
        <v>377</v>
      </c>
      <c r="L1193">
        <v>1658</v>
      </c>
      <c r="M1193">
        <v>2035</v>
      </c>
      <c r="N1193">
        <v>1357</v>
      </c>
      <c r="O1193">
        <v>2</v>
      </c>
      <c r="P1193" t="str">
        <f>("1")</f>
        <v>1</v>
      </c>
      <c r="Q1193" t="str">
        <f>("DE MEYER Sonja")</f>
        <v>DE MEYER Sonja</v>
      </c>
      <c r="R1193">
        <v>597</v>
      </c>
      <c r="S1193">
        <v>849</v>
      </c>
      <c r="T1193">
        <v>0</v>
      </c>
      <c r="U1193">
        <v>1</v>
      </c>
    </row>
    <row r="1194" spans="1:24" x14ac:dyDescent="0.35">
      <c r="A1194" t="s">
        <v>8</v>
      </c>
      <c r="B1194" t="s">
        <v>9</v>
      </c>
      <c r="C1194" t="str">
        <f t="shared" si="170"/>
        <v>11282</v>
      </c>
      <c r="D1194" t="s">
        <v>17</v>
      </c>
      <c r="E1194" t="str">
        <f t="shared" si="165"/>
        <v>25</v>
      </c>
      <c r="F1194">
        <v>29016</v>
      </c>
      <c r="G1194">
        <v>25938</v>
      </c>
      <c r="H1194">
        <v>1090</v>
      </c>
      <c r="I1194" t="str">
        <f t="shared" si="171"/>
        <v>3</v>
      </c>
      <c r="J1194" t="str">
        <f t="shared" si="172"/>
        <v>CD&amp;V</v>
      </c>
      <c r="K1194">
        <v>377</v>
      </c>
      <c r="L1194">
        <v>1658</v>
      </c>
      <c r="M1194">
        <v>2035</v>
      </c>
      <c r="N1194">
        <v>1357</v>
      </c>
      <c r="O1194">
        <v>2</v>
      </c>
      <c r="P1194" t="str">
        <f>("2")</f>
        <v>2</v>
      </c>
      <c r="Q1194" t="str">
        <f>("DE COCK Pieter")</f>
        <v>DE COCK Pieter</v>
      </c>
      <c r="R1194">
        <v>316</v>
      </c>
      <c r="S1194" t="s">
        <v>44</v>
      </c>
      <c r="T1194">
        <v>0</v>
      </c>
      <c r="V1194">
        <v>1</v>
      </c>
      <c r="W1194">
        <v>568</v>
      </c>
      <c r="X1194">
        <v>0</v>
      </c>
    </row>
    <row r="1195" spans="1:24" x14ac:dyDescent="0.35">
      <c r="A1195" t="s">
        <v>8</v>
      </c>
      <c r="B1195" t="s">
        <v>9</v>
      </c>
      <c r="C1195" t="str">
        <f t="shared" si="170"/>
        <v>11282</v>
      </c>
      <c r="D1195" t="s">
        <v>17</v>
      </c>
      <c r="E1195" t="str">
        <f t="shared" si="165"/>
        <v>25</v>
      </c>
      <c r="F1195">
        <v>29016</v>
      </c>
      <c r="G1195">
        <v>25938</v>
      </c>
      <c r="H1195">
        <v>1090</v>
      </c>
      <c r="I1195" t="str">
        <f t="shared" si="171"/>
        <v>3</v>
      </c>
      <c r="J1195" t="str">
        <f t="shared" si="172"/>
        <v>CD&amp;V</v>
      </c>
      <c r="K1195">
        <v>377</v>
      </c>
      <c r="L1195">
        <v>1658</v>
      </c>
      <c r="M1195">
        <v>2035</v>
      </c>
      <c r="N1195">
        <v>1357</v>
      </c>
      <c r="O1195">
        <v>2</v>
      </c>
      <c r="P1195" t="str">
        <f>("3")</f>
        <v>3</v>
      </c>
      <c r="Q1195" t="str">
        <f>("GOGOKHIA Ekaterine")</f>
        <v>GOGOKHIA Ekaterine</v>
      </c>
      <c r="R1195">
        <v>68</v>
      </c>
      <c r="S1195" t="s">
        <v>44</v>
      </c>
      <c r="T1195">
        <v>0</v>
      </c>
      <c r="V1195">
        <v>10</v>
      </c>
      <c r="W1195">
        <v>68</v>
      </c>
      <c r="X1195">
        <v>0</v>
      </c>
    </row>
    <row r="1196" spans="1:24" x14ac:dyDescent="0.35">
      <c r="A1196" t="s">
        <v>8</v>
      </c>
      <c r="B1196" t="s">
        <v>9</v>
      </c>
      <c r="C1196" t="str">
        <f t="shared" si="170"/>
        <v>11282</v>
      </c>
      <c r="D1196" t="s">
        <v>17</v>
      </c>
      <c r="E1196" t="str">
        <f t="shared" si="165"/>
        <v>25</v>
      </c>
      <c r="F1196">
        <v>29016</v>
      </c>
      <c r="G1196">
        <v>25938</v>
      </c>
      <c r="H1196">
        <v>1090</v>
      </c>
      <c r="I1196" t="str">
        <f t="shared" si="171"/>
        <v>3</v>
      </c>
      <c r="J1196" t="str">
        <f t="shared" si="172"/>
        <v>CD&amp;V</v>
      </c>
      <c r="K1196">
        <v>377</v>
      </c>
      <c r="L1196">
        <v>1658</v>
      </c>
      <c r="M1196">
        <v>2035</v>
      </c>
      <c r="N1196">
        <v>1357</v>
      </c>
      <c r="O1196">
        <v>2</v>
      </c>
      <c r="P1196" t="str">
        <f>("4")</f>
        <v>4</v>
      </c>
      <c r="Q1196" t="str">
        <f>("VOETEN Sam")</f>
        <v>VOETEN Sam</v>
      </c>
      <c r="R1196">
        <v>435</v>
      </c>
      <c r="S1196">
        <v>435</v>
      </c>
      <c r="T1196">
        <v>0</v>
      </c>
      <c r="U1196">
        <v>2</v>
      </c>
    </row>
    <row r="1197" spans="1:24" x14ac:dyDescent="0.35">
      <c r="A1197" t="s">
        <v>8</v>
      </c>
      <c r="B1197" t="s">
        <v>9</v>
      </c>
      <c r="C1197" t="str">
        <f t="shared" si="170"/>
        <v>11282</v>
      </c>
      <c r="D1197" t="s">
        <v>17</v>
      </c>
      <c r="E1197" t="str">
        <f t="shared" si="165"/>
        <v>25</v>
      </c>
      <c r="F1197">
        <v>29016</v>
      </c>
      <c r="G1197">
        <v>25938</v>
      </c>
      <c r="H1197">
        <v>1090</v>
      </c>
      <c r="I1197" t="str">
        <f t="shared" si="171"/>
        <v>3</v>
      </c>
      <c r="J1197" t="str">
        <f t="shared" si="172"/>
        <v>CD&amp;V</v>
      </c>
      <c r="K1197">
        <v>377</v>
      </c>
      <c r="L1197">
        <v>1658</v>
      </c>
      <c r="M1197">
        <v>2035</v>
      </c>
      <c r="N1197">
        <v>1357</v>
      </c>
      <c r="O1197">
        <v>2</v>
      </c>
      <c r="P1197" t="str">
        <f>("5")</f>
        <v>5</v>
      </c>
      <c r="Q1197" t="str">
        <f>("STUER Rachelle")</f>
        <v>STUER Rachelle</v>
      </c>
      <c r="R1197">
        <v>79</v>
      </c>
      <c r="S1197" t="s">
        <v>44</v>
      </c>
      <c r="T1197">
        <v>0</v>
      </c>
      <c r="V1197">
        <v>9</v>
      </c>
      <c r="W1197">
        <v>79</v>
      </c>
      <c r="X1197">
        <v>0</v>
      </c>
    </row>
    <row r="1198" spans="1:24" x14ac:dyDescent="0.35">
      <c r="A1198" t="s">
        <v>8</v>
      </c>
      <c r="B1198" t="s">
        <v>9</v>
      </c>
      <c r="C1198" t="str">
        <f t="shared" si="170"/>
        <v>11282</v>
      </c>
      <c r="D1198" t="s">
        <v>17</v>
      </c>
      <c r="E1198" t="str">
        <f t="shared" si="165"/>
        <v>25</v>
      </c>
      <c r="F1198">
        <v>29016</v>
      </c>
      <c r="G1198">
        <v>25938</v>
      </c>
      <c r="H1198">
        <v>1090</v>
      </c>
      <c r="I1198" t="str">
        <f t="shared" si="171"/>
        <v>3</v>
      </c>
      <c r="J1198" t="str">
        <f t="shared" si="172"/>
        <v>CD&amp;V</v>
      </c>
      <c r="K1198">
        <v>377</v>
      </c>
      <c r="L1198">
        <v>1658</v>
      </c>
      <c r="M1198">
        <v>2035</v>
      </c>
      <c r="N1198">
        <v>1357</v>
      </c>
      <c r="O1198">
        <v>2</v>
      </c>
      <c r="P1198" t="str">
        <f>("6")</f>
        <v>6</v>
      </c>
      <c r="Q1198" t="str">
        <f>("DELANOY Jasper")</f>
        <v>DELANOY Jasper</v>
      </c>
      <c r="R1198">
        <v>121</v>
      </c>
      <c r="S1198" t="s">
        <v>44</v>
      </c>
      <c r="T1198">
        <v>0</v>
      </c>
      <c r="V1198">
        <v>4</v>
      </c>
      <c r="W1198">
        <v>121</v>
      </c>
      <c r="X1198">
        <v>0</v>
      </c>
    </row>
    <row r="1199" spans="1:24" x14ac:dyDescent="0.35">
      <c r="A1199" t="s">
        <v>8</v>
      </c>
      <c r="B1199" t="s">
        <v>9</v>
      </c>
      <c r="C1199" t="str">
        <f t="shared" si="170"/>
        <v>11282</v>
      </c>
      <c r="D1199" t="s">
        <v>17</v>
      </c>
      <c r="E1199" t="str">
        <f t="shared" si="165"/>
        <v>25</v>
      </c>
      <c r="F1199">
        <v>29016</v>
      </c>
      <c r="G1199">
        <v>25938</v>
      </c>
      <c r="H1199">
        <v>1090</v>
      </c>
      <c r="I1199" t="str">
        <f t="shared" si="171"/>
        <v>3</v>
      </c>
      <c r="J1199" t="str">
        <f t="shared" si="172"/>
        <v>CD&amp;V</v>
      </c>
      <c r="K1199">
        <v>377</v>
      </c>
      <c r="L1199">
        <v>1658</v>
      </c>
      <c r="M1199">
        <v>2035</v>
      </c>
      <c r="N1199">
        <v>1357</v>
      </c>
      <c r="O1199">
        <v>2</v>
      </c>
      <c r="P1199" t="str">
        <f>("7")</f>
        <v>7</v>
      </c>
      <c r="Q1199" t="str">
        <f>("VAN DE PEER Bernadette")</f>
        <v>VAN DE PEER Bernadette</v>
      </c>
      <c r="R1199">
        <v>66</v>
      </c>
      <c r="S1199" t="s">
        <v>44</v>
      </c>
      <c r="T1199">
        <v>0</v>
      </c>
      <c r="V1199">
        <v>11</v>
      </c>
      <c r="W1199">
        <v>66</v>
      </c>
      <c r="X1199">
        <v>0</v>
      </c>
    </row>
    <row r="1200" spans="1:24" x14ac:dyDescent="0.35">
      <c r="A1200" t="s">
        <v>8</v>
      </c>
      <c r="B1200" t="s">
        <v>9</v>
      </c>
      <c r="C1200" t="str">
        <f t="shared" si="170"/>
        <v>11282</v>
      </c>
      <c r="D1200" t="s">
        <v>17</v>
      </c>
      <c r="E1200" t="str">
        <f t="shared" si="165"/>
        <v>25</v>
      </c>
      <c r="F1200">
        <v>29016</v>
      </c>
      <c r="G1200">
        <v>25938</v>
      </c>
      <c r="H1200">
        <v>1090</v>
      </c>
      <c r="I1200" t="str">
        <f t="shared" si="171"/>
        <v>3</v>
      </c>
      <c r="J1200" t="str">
        <f t="shared" si="172"/>
        <v>CD&amp;V</v>
      </c>
      <c r="K1200">
        <v>377</v>
      </c>
      <c r="L1200">
        <v>1658</v>
      </c>
      <c r="M1200">
        <v>2035</v>
      </c>
      <c r="N1200">
        <v>1357</v>
      </c>
      <c r="O1200">
        <v>2</v>
      </c>
      <c r="P1200" t="str">
        <f>("8")</f>
        <v>8</v>
      </c>
      <c r="Q1200" t="str">
        <f>("CHERRADI Malika")</f>
        <v>CHERRADI Malika</v>
      </c>
      <c r="R1200">
        <v>121</v>
      </c>
      <c r="S1200" t="s">
        <v>44</v>
      </c>
      <c r="T1200">
        <v>0</v>
      </c>
      <c r="V1200">
        <v>5</v>
      </c>
      <c r="W1200">
        <v>121</v>
      </c>
      <c r="X1200">
        <v>0</v>
      </c>
    </row>
    <row r="1201" spans="1:24" x14ac:dyDescent="0.35">
      <c r="A1201" t="s">
        <v>8</v>
      </c>
      <c r="B1201" t="s">
        <v>9</v>
      </c>
      <c r="C1201" t="str">
        <f t="shared" si="170"/>
        <v>11282</v>
      </c>
      <c r="D1201" t="s">
        <v>17</v>
      </c>
      <c r="E1201" t="str">
        <f t="shared" si="165"/>
        <v>25</v>
      </c>
      <c r="F1201">
        <v>29016</v>
      </c>
      <c r="G1201">
        <v>25938</v>
      </c>
      <c r="H1201">
        <v>1090</v>
      </c>
      <c r="I1201" t="str">
        <f t="shared" si="171"/>
        <v>3</v>
      </c>
      <c r="J1201" t="str">
        <f t="shared" si="172"/>
        <v>CD&amp;V</v>
      </c>
      <c r="K1201">
        <v>377</v>
      </c>
      <c r="L1201">
        <v>1658</v>
      </c>
      <c r="M1201">
        <v>2035</v>
      </c>
      <c r="N1201">
        <v>1357</v>
      </c>
      <c r="O1201">
        <v>2</v>
      </c>
      <c r="P1201" t="str">
        <f>("9")</f>
        <v>9</v>
      </c>
      <c r="Q1201" t="str">
        <f>("LAURENSSE Hilde")</f>
        <v>LAURENSSE Hilde</v>
      </c>
      <c r="R1201">
        <v>48</v>
      </c>
      <c r="S1201" t="s">
        <v>44</v>
      </c>
      <c r="T1201">
        <v>0</v>
      </c>
      <c r="V1201">
        <v>15</v>
      </c>
      <c r="W1201">
        <v>48</v>
      </c>
      <c r="X1201">
        <v>0</v>
      </c>
    </row>
    <row r="1202" spans="1:24" x14ac:dyDescent="0.35">
      <c r="A1202" t="s">
        <v>8</v>
      </c>
      <c r="B1202" t="s">
        <v>9</v>
      </c>
      <c r="C1202" t="str">
        <f t="shared" si="170"/>
        <v>11282</v>
      </c>
      <c r="D1202" t="s">
        <v>17</v>
      </c>
      <c r="E1202" t="str">
        <f t="shared" si="165"/>
        <v>25</v>
      </c>
      <c r="F1202">
        <v>29016</v>
      </c>
      <c r="G1202">
        <v>25938</v>
      </c>
      <c r="H1202">
        <v>1090</v>
      </c>
      <c r="I1202" t="str">
        <f t="shared" si="171"/>
        <v>3</v>
      </c>
      <c r="J1202" t="str">
        <f t="shared" si="172"/>
        <v>CD&amp;V</v>
      </c>
      <c r="K1202">
        <v>377</v>
      </c>
      <c r="L1202">
        <v>1658</v>
      </c>
      <c r="M1202">
        <v>2035</v>
      </c>
      <c r="N1202">
        <v>1357</v>
      </c>
      <c r="O1202">
        <v>2</v>
      </c>
      <c r="P1202" t="str">
        <f>("10")</f>
        <v>10</v>
      </c>
      <c r="Q1202" t="str">
        <f>("JANSSENS Wietse")</f>
        <v>JANSSENS Wietse</v>
      </c>
      <c r="R1202">
        <v>62</v>
      </c>
      <c r="S1202" t="s">
        <v>44</v>
      </c>
      <c r="T1202">
        <v>0</v>
      </c>
      <c r="V1202">
        <v>12</v>
      </c>
      <c r="W1202">
        <v>62</v>
      </c>
      <c r="X1202">
        <v>0</v>
      </c>
    </row>
    <row r="1203" spans="1:24" x14ac:dyDescent="0.35">
      <c r="A1203" t="s">
        <v>8</v>
      </c>
      <c r="B1203" t="s">
        <v>9</v>
      </c>
      <c r="C1203" t="str">
        <f t="shared" si="170"/>
        <v>11282</v>
      </c>
      <c r="D1203" t="s">
        <v>17</v>
      </c>
      <c r="E1203" t="str">
        <f t="shared" si="165"/>
        <v>25</v>
      </c>
      <c r="F1203">
        <v>29016</v>
      </c>
      <c r="G1203">
        <v>25938</v>
      </c>
      <c r="H1203">
        <v>1090</v>
      </c>
      <c r="I1203" t="str">
        <f t="shared" si="171"/>
        <v>3</v>
      </c>
      <c r="J1203" t="str">
        <f t="shared" si="172"/>
        <v>CD&amp;V</v>
      </c>
      <c r="K1203">
        <v>377</v>
      </c>
      <c r="L1203">
        <v>1658</v>
      </c>
      <c r="M1203">
        <v>2035</v>
      </c>
      <c r="N1203">
        <v>1357</v>
      </c>
      <c r="O1203">
        <v>2</v>
      </c>
      <c r="P1203" t="str">
        <f>("11")</f>
        <v>11</v>
      </c>
      <c r="Q1203" t="str">
        <f>("WOLF Marc")</f>
        <v>WOLF Marc</v>
      </c>
      <c r="R1203">
        <v>42</v>
      </c>
      <c r="S1203" t="s">
        <v>44</v>
      </c>
      <c r="T1203">
        <v>0</v>
      </c>
      <c r="V1203">
        <v>18</v>
      </c>
      <c r="W1203">
        <v>42</v>
      </c>
      <c r="X1203">
        <v>0</v>
      </c>
    </row>
    <row r="1204" spans="1:24" x14ac:dyDescent="0.35">
      <c r="A1204" t="s">
        <v>8</v>
      </c>
      <c r="B1204" t="s">
        <v>9</v>
      </c>
      <c r="C1204" t="str">
        <f t="shared" si="170"/>
        <v>11282</v>
      </c>
      <c r="D1204" t="s">
        <v>17</v>
      </c>
      <c r="E1204" t="str">
        <f t="shared" si="165"/>
        <v>25</v>
      </c>
      <c r="F1204">
        <v>29016</v>
      </c>
      <c r="G1204">
        <v>25938</v>
      </c>
      <c r="H1204">
        <v>1090</v>
      </c>
      <c r="I1204" t="str">
        <f t="shared" si="171"/>
        <v>3</v>
      </c>
      <c r="J1204" t="str">
        <f t="shared" si="172"/>
        <v>CD&amp;V</v>
      </c>
      <c r="K1204">
        <v>377</v>
      </c>
      <c r="L1204">
        <v>1658</v>
      </c>
      <c r="M1204">
        <v>2035</v>
      </c>
      <c r="N1204">
        <v>1357</v>
      </c>
      <c r="O1204">
        <v>2</v>
      </c>
      <c r="P1204" t="str">
        <f>("12")</f>
        <v>12</v>
      </c>
      <c r="Q1204" t="str">
        <f>("BEGESI Faton")</f>
        <v>BEGESI Faton</v>
      </c>
      <c r="R1204">
        <v>22</v>
      </c>
      <c r="S1204" t="s">
        <v>44</v>
      </c>
      <c r="T1204">
        <v>0</v>
      </c>
      <c r="V1204">
        <v>23</v>
      </c>
      <c r="W1204">
        <v>22</v>
      </c>
      <c r="X1204">
        <v>0</v>
      </c>
    </row>
    <row r="1205" spans="1:24" x14ac:dyDescent="0.35">
      <c r="A1205" t="s">
        <v>8</v>
      </c>
      <c r="B1205" t="s">
        <v>9</v>
      </c>
      <c r="C1205" t="str">
        <f t="shared" si="170"/>
        <v>11282</v>
      </c>
      <c r="D1205" t="s">
        <v>17</v>
      </c>
      <c r="E1205" t="str">
        <f t="shared" si="165"/>
        <v>25</v>
      </c>
      <c r="F1205">
        <v>29016</v>
      </c>
      <c r="G1205">
        <v>25938</v>
      </c>
      <c r="H1205">
        <v>1090</v>
      </c>
      <c r="I1205" t="str">
        <f t="shared" si="171"/>
        <v>3</v>
      </c>
      <c r="J1205" t="str">
        <f t="shared" si="172"/>
        <v>CD&amp;V</v>
      </c>
      <c r="K1205">
        <v>377</v>
      </c>
      <c r="L1205">
        <v>1658</v>
      </c>
      <c r="M1205">
        <v>2035</v>
      </c>
      <c r="N1205">
        <v>1357</v>
      </c>
      <c r="O1205">
        <v>2</v>
      </c>
      <c r="P1205" t="str">
        <f>("13")</f>
        <v>13</v>
      </c>
      <c r="Q1205" t="str">
        <f>("AVRUMUTOAE Avdia")</f>
        <v>AVRUMUTOAE Avdia</v>
      </c>
      <c r="R1205">
        <v>24</v>
      </c>
      <c r="S1205" t="s">
        <v>44</v>
      </c>
      <c r="T1205">
        <v>0</v>
      </c>
      <c r="V1205">
        <v>22</v>
      </c>
      <c r="W1205">
        <v>24</v>
      </c>
      <c r="X1205">
        <v>0</v>
      </c>
    </row>
    <row r="1206" spans="1:24" x14ac:dyDescent="0.35">
      <c r="A1206" t="s">
        <v>8</v>
      </c>
      <c r="B1206" t="s">
        <v>9</v>
      </c>
      <c r="C1206" t="str">
        <f t="shared" si="170"/>
        <v>11282</v>
      </c>
      <c r="D1206" t="s">
        <v>17</v>
      </c>
      <c r="E1206" t="str">
        <f t="shared" si="165"/>
        <v>25</v>
      </c>
      <c r="F1206">
        <v>29016</v>
      </c>
      <c r="G1206">
        <v>25938</v>
      </c>
      <c r="H1206">
        <v>1090</v>
      </c>
      <c r="I1206" t="str">
        <f t="shared" si="171"/>
        <v>3</v>
      </c>
      <c r="J1206" t="str">
        <f t="shared" si="172"/>
        <v>CD&amp;V</v>
      </c>
      <c r="K1206">
        <v>377</v>
      </c>
      <c r="L1206">
        <v>1658</v>
      </c>
      <c r="M1206">
        <v>2035</v>
      </c>
      <c r="N1206">
        <v>1357</v>
      </c>
      <c r="O1206">
        <v>2</v>
      </c>
      <c r="P1206" t="str">
        <f>("14")</f>
        <v>14</v>
      </c>
      <c r="Q1206" t="str">
        <f>("PLATTEAU Peter")</f>
        <v>PLATTEAU Peter</v>
      </c>
      <c r="R1206">
        <v>150</v>
      </c>
      <c r="S1206" t="s">
        <v>44</v>
      </c>
      <c r="T1206">
        <v>0</v>
      </c>
      <c r="V1206">
        <v>3</v>
      </c>
      <c r="W1206">
        <v>150</v>
      </c>
      <c r="X1206">
        <v>0</v>
      </c>
    </row>
    <row r="1207" spans="1:24" x14ac:dyDescent="0.35">
      <c r="A1207" t="s">
        <v>8</v>
      </c>
      <c r="B1207" t="s">
        <v>9</v>
      </c>
      <c r="C1207" t="str">
        <f t="shared" ref="C1207:C1238" si="173">("11282")</f>
        <v>11282</v>
      </c>
      <c r="D1207" t="s">
        <v>17</v>
      </c>
      <c r="E1207" t="str">
        <f t="shared" ref="E1207:E1270" si="174">("25")</f>
        <v>25</v>
      </c>
      <c r="F1207">
        <v>29016</v>
      </c>
      <c r="G1207">
        <v>25938</v>
      </c>
      <c r="H1207">
        <v>1090</v>
      </c>
      <c r="I1207" t="str">
        <f t="shared" si="171"/>
        <v>3</v>
      </c>
      <c r="J1207" t="str">
        <f t="shared" si="172"/>
        <v>CD&amp;V</v>
      </c>
      <c r="K1207">
        <v>377</v>
      </c>
      <c r="L1207">
        <v>1658</v>
      </c>
      <c r="M1207">
        <v>2035</v>
      </c>
      <c r="N1207">
        <v>1357</v>
      </c>
      <c r="O1207">
        <v>2</v>
      </c>
      <c r="P1207" t="str">
        <f>("15")</f>
        <v>15</v>
      </c>
      <c r="Q1207" t="str">
        <f>("VERHULST Inne")</f>
        <v>VERHULST Inne</v>
      </c>
      <c r="R1207">
        <v>46</v>
      </c>
      <c r="S1207" t="s">
        <v>44</v>
      </c>
      <c r="T1207">
        <v>0</v>
      </c>
      <c r="V1207">
        <v>16</v>
      </c>
      <c r="W1207">
        <v>46</v>
      </c>
      <c r="X1207">
        <v>0</v>
      </c>
    </row>
    <row r="1208" spans="1:24" x14ac:dyDescent="0.35">
      <c r="A1208" t="s">
        <v>8</v>
      </c>
      <c r="B1208" t="s">
        <v>9</v>
      </c>
      <c r="C1208" t="str">
        <f t="shared" si="173"/>
        <v>11282</v>
      </c>
      <c r="D1208" t="s">
        <v>17</v>
      </c>
      <c r="E1208" t="str">
        <f t="shared" si="174"/>
        <v>25</v>
      </c>
      <c r="F1208">
        <v>29016</v>
      </c>
      <c r="G1208">
        <v>25938</v>
      </c>
      <c r="H1208">
        <v>1090</v>
      </c>
      <c r="I1208" t="str">
        <f t="shared" si="171"/>
        <v>3</v>
      </c>
      <c r="J1208" t="str">
        <f t="shared" si="172"/>
        <v>CD&amp;V</v>
      </c>
      <c r="K1208">
        <v>377</v>
      </c>
      <c r="L1208">
        <v>1658</v>
      </c>
      <c r="M1208">
        <v>2035</v>
      </c>
      <c r="N1208">
        <v>1357</v>
      </c>
      <c r="O1208">
        <v>2</v>
      </c>
      <c r="P1208" t="str">
        <f>("16")</f>
        <v>16</v>
      </c>
      <c r="Q1208" t="str">
        <f>("JACOBS Vera")</f>
        <v>JACOBS Vera</v>
      </c>
      <c r="R1208">
        <v>82</v>
      </c>
      <c r="S1208" t="s">
        <v>44</v>
      </c>
      <c r="T1208">
        <v>0</v>
      </c>
      <c r="V1208">
        <v>7</v>
      </c>
      <c r="W1208">
        <v>82</v>
      </c>
      <c r="X1208">
        <v>0</v>
      </c>
    </row>
    <row r="1209" spans="1:24" x14ac:dyDescent="0.35">
      <c r="A1209" t="s">
        <v>8</v>
      </c>
      <c r="B1209" t="s">
        <v>9</v>
      </c>
      <c r="C1209" t="str">
        <f t="shared" si="173"/>
        <v>11282</v>
      </c>
      <c r="D1209" t="s">
        <v>17</v>
      </c>
      <c r="E1209" t="str">
        <f t="shared" si="174"/>
        <v>25</v>
      </c>
      <c r="F1209">
        <v>29016</v>
      </c>
      <c r="G1209">
        <v>25938</v>
      </c>
      <c r="H1209">
        <v>1090</v>
      </c>
      <c r="I1209" t="str">
        <f t="shared" si="171"/>
        <v>3</v>
      </c>
      <c r="J1209" t="str">
        <f t="shared" si="172"/>
        <v>CD&amp;V</v>
      </c>
      <c r="K1209">
        <v>377</v>
      </c>
      <c r="L1209">
        <v>1658</v>
      </c>
      <c r="M1209">
        <v>2035</v>
      </c>
      <c r="N1209">
        <v>1357</v>
      </c>
      <c r="O1209">
        <v>2</v>
      </c>
      <c r="P1209" t="str">
        <f>("17")</f>
        <v>17</v>
      </c>
      <c r="Q1209" t="str">
        <f>("VAN LOOVEREN Willy")</f>
        <v>VAN LOOVEREN Willy</v>
      </c>
      <c r="R1209">
        <v>39</v>
      </c>
      <c r="S1209" t="s">
        <v>44</v>
      </c>
      <c r="T1209">
        <v>0</v>
      </c>
      <c r="V1209">
        <v>19</v>
      </c>
      <c r="W1209">
        <v>39</v>
      </c>
      <c r="X1209">
        <v>0</v>
      </c>
    </row>
    <row r="1210" spans="1:24" x14ac:dyDescent="0.35">
      <c r="A1210" t="s">
        <v>8</v>
      </c>
      <c r="B1210" t="s">
        <v>9</v>
      </c>
      <c r="C1210" t="str">
        <f t="shared" si="173"/>
        <v>11282</v>
      </c>
      <c r="D1210" t="s">
        <v>17</v>
      </c>
      <c r="E1210" t="str">
        <f t="shared" si="174"/>
        <v>25</v>
      </c>
      <c r="F1210">
        <v>29016</v>
      </c>
      <c r="G1210">
        <v>25938</v>
      </c>
      <c r="H1210">
        <v>1090</v>
      </c>
      <c r="I1210" t="str">
        <f t="shared" si="171"/>
        <v>3</v>
      </c>
      <c r="J1210" t="str">
        <f t="shared" si="172"/>
        <v>CD&amp;V</v>
      </c>
      <c r="K1210">
        <v>377</v>
      </c>
      <c r="L1210">
        <v>1658</v>
      </c>
      <c r="M1210">
        <v>2035</v>
      </c>
      <c r="N1210">
        <v>1357</v>
      </c>
      <c r="O1210">
        <v>2</v>
      </c>
      <c r="P1210" t="str">
        <f>("18")</f>
        <v>18</v>
      </c>
      <c r="Q1210" t="str">
        <f>("MANNAERTS Eveline")</f>
        <v>MANNAERTS Eveline</v>
      </c>
      <c r="R1210">
        <v>35</v>
      </c>
      <c r="S1210" t="s">
        <v>44</v>
      </c>
      <c r="T1210">
        <v>0</v>
      </c>
      <c r="V1210">
        <v>21</v>
      </c>
      <c r="W1210">
        <v>35</v>
      </c>
      <c r="X1210">
        <v>0</v>
      </c>
    </row>
    <row r="1211" spans="1:24" x14ac:dyDescent="0.35">
      <c r="A1211" t="s">
        <v>8</v>
      </c>
      <c r="B1211" t="s">
        <v>9</v>
      </c>
      <c r="C1211" t="str">
        <f t="shared" si="173"/>
        <v>11282</v>
      </c>
      <c r="D1211" t="s">
        <v>17</v>
      </c>
      <c r="E1211" t="str">
        <f t="shared" si="174"/>
        <v>25</v>
      </c>
      <c r="F1211">
        <v>29016</v>
      </c>
      <c r="G1211">
        <v>25938</v>
      </c>
      <c r="H1211">
        <v>1090</v>
      </c>
      <c r="I1211" t="str">
        <f t="shared" si="171"/>
        <v>3</v>
      </c>
      <c r="J1211" t="str">
        <f t="shared" si="172"/>
        <v>CD&amp;V</v>
      </c>
      <c r="K1211">
        <v>377</v>
      </c>
      <c r="L1211">
        <v>1658</v>
      </c>
      <c r="M1211">
        <v>2035</v>
      </c>
      <c r="N1211">
        <v>1357</v>
      </c>
      <c r="O1211">
        <v>2</v>
      </c>
      <c r="P1211" t="str">
        <f>("19")</f>
        <v>19</v>
      </c>
      <c r="Q1211" t="str">
        <f>("TACK Daniël")</f>
        <v>TACK Daniël</v>
      </c>
      <c r="R1211">
        <v>44</v>
      </c>
      <c r="S1211" t="s">
        <v>44</v>
      </c>
      <c r="T1211">
        <v>0</v>
      </c>
      <c r="V1211">
        <v>17</v>
      </c>
      <c r="W1211">
        <v>44</v>
      </c>
      <c r="X1211">
        <v>0</v>
      </c>
    </row>
    <row r="1212" spans="1:24" x14ac:dyDescent="0.35">
      <c r="A1212" t="s">
        <v>8</v>
      </c>
      <c r="B1212" t="s">
        <v>9</v>
      </c>
      <c r="C1212" t="str">
        <f t="shared" si="173"/>
        <v>11282</v>
      </c>
      <c r="D1212" t="s">
        <v>17</v>
      </c>
      <c r="E1212" t="str">
        <f t="shared" si="174"/>
        <v>25</v>
      </c>
      <c r="F1212">
        <v>29016</v>
      </c>
      <c r="G1212">
        <v>25938</v>
      </c>
      <c r="H1212">
        <v>1090</v>
      </c>
      <c r="I1212" t="str">
        <f t="shared" si="171"/>
        <v>3</v>
      </c>
      <c r="J1212" t="str">
        <f t="shared" si="172"/>
        <v>CD&amp;V</v>
      </c>
      <c r="K1212">
        <v>377</v>
      </c>
      <c r="L1212">
        <v>1658</v>
      </c>
      <c r="M1212">
        <v>2035</v>
      </c>
      <c r="N1212">
        <v>1357</v>
      </c>
      <c r="O1212">
        <v>2</v>
      </c>
      <c r="P1212" t="str">
        <f>("20")</f>
        <v>20</v>
      </c>
      <c r="Q1212" t="str">
        <f>("WYCKMANS Maria")</f>
        <v>WYCKMANS Maria</v>
      </c>
      <c r="R1212">
        <v>38</v>
      </c>
      <c r="S1212" t="s">
        <v>44</v>
      </c>
      <c r="T1212">
        <v>0</v>
      </c>
      <c r="V1212">
        <v>20</v>
      </c>
      <c r="W1212">
        <v>38</v>
      </c>
      <c r="X1212">
        <v>0</v>
      </c>
    </row>
    <row r="1213" spans="1:24" x14ac:dyDescent="0.35">
      <c r="A1213" t="s">
        <v>8</v>
      </c>
      <c r="B1213" t="s">
        <v>9</v>
      </c>
      <c r="C1213" t="str">
        <f t="shared" si="173"/>
        <v>11282</v>
      </c>
      <c r="D1213" t="s">
        <v>17</v>
      </c>
      <c r="E1213" t="str">
        <f t="shared" si="174"/>
        <v>25</v>
      </c>
      <c r="F1213">
        <v>29016</v>
      </c>
      <c r="G1213">
        <v>25938</v>
      </c>
      <c r="H1213">
        <v>1090</v>
      </c>
      <c r="I1213" t="str">
        <f t="shared" si="171"/>
        <v>3</v>
      </c>
      <c r="J1213" t="str">
        <f t="shared" si="172"/>
        <v>CD&amp;V</v>
      </c>
      <c r="K1213">
        <v>377</v>
      </c>
      <c r="L1213">
        <v>1658</v>
      </c>
      <c r="M1213">
        <v>2035</v>
      </c>
      <c r="N1213">
        <v>1357</v>
      </c>
      <c r="O1213">
        <v>2</v>
      </c>
      <c r="P1213" t="str">
        <f>("21")</f>
        <v>21</v>
      </c>
      <c r="Q1213" t="str">
        <f>("VEN Thomas")</f>
        <v>VEN Thomas</v>
      </c>
      <c r="R1213">
        <v>60</v>
      </c>
      <c r="S1213" t="s">
        <v>44</v>
      </c>
      <c r="T1213">
        <v>0</v>
      </c>
      <c r="V1213">
        <v>13</v>
      </c>
      <c r="W1213">
        <v>60</v>
      </c>
      <c r="X1213">
        <v>0</v>
      </c>
    </row>
    <row r="1214" spans="1:24" x14ac:dyDescent="0.35">
      <c r="A1214" t="s">
        <v>8</v>
      </c>
      <c r="B1214" t="s">
        <v>9</v>
      </c>
      <c r="C1214" t="str">
        <f t="shared" si="173"/>
        <v>11282</v>
      </c>
      <c r="D1214" t="s">
        <v>17</v>
      </c>
      <c r="E1214" t="str">
        <f t="shared" si="174"/>
        <v>25</v>
      </c>
      <c r="F1214">
        <v>29016</v>
      </c>
      <c r="G1214">
        <v>25938</v>
      </c>
      <c r="H1214">
        <v>1090</v>
      </c>
      <c r="I1214" t="str">
        <f t="shared" si="171"/>
        <v>3</v>
      </c>
      <c r="J1214" t="str">
        <f t="shared" si="172"/>
        <v>CD&amp;V</v>
      </c>
      <c r="K1214">
        <v>377</v>
      </c>
      <c r="L1214">
        <v>1658</v>
      </c>
      <c r="M1214">
        <v>2035</v>
      </c>
      <c r="N1214">
        <v>1357</v>
      </c>
      <c r="O1214">
        <v>2</v>
      </c>
      <c r="P1214" t="str">
        <f>("22")</f>
        <v>22</v>
      </c>
      <c r="Q1214" t="str">
        <f>("TIJSMANS-WELLENS Clara")</f>
        <v>TIJSMANS-WELLENS Clara</v>
      </c>
      <c r="R1214">
        <v>99</v>
      </c>
      <c r="S1214" t="s">
        <v>44</v>
      </c>
      <c r="T1214">
        <v>0</v>
      </c>
      <c r="V1214">
        <v>6</v>
      </c>
      <c r="W1214">
        <v>99</v>
      </c>
      <c r="X1214">
        <v>0</v>
      </c>
    </row>
    <row r="1215" spans="1:24" x14ac:dyDescent="0.35">
      <c r="A1215" t="s">
        <v>8</v>
      </c>
      <c r="B1215" t="s">
        <v>9</v>
      </c>
      <c r="C1215" t="str">
        <f t="shared" si="173"/>
        <v>11282</v>
      </c>
      <c r="D1215" t="s">
        <v>17</v>
      </c>
      <c r="E1215" t="str">
        <f t="shared" si="174"/>
        <v>25</v>
      </c>
      <c r="F1215">
        <v>29016</v>
      </c>
      <c r="G1215">
        <v>25938</v>
      </c>
      <c r="H1215">
        <v>1090</v>
      </c>
      <c r="I1215" t="str">
        <f t="shared" si="171"/>
        <v>3</v>
      </c>
      <c r="J1215" t="str">
        <f t="shared" si="172"/>
        <v>CD&amp;V</v>
      </c>
      <c r="K1215">
        <v>377</v>
      </c>
      <c r="L1215">
        <v>1658</v>
      </c>
      <c r="M1215">
        <v>2035</v>
      </c>
      <c r="N1215">
        <v>1357</v>
      </c>
      <c r="O1215">
        <v>2</v>
      </c>
      <c r="P1215" t="str">
        <f>("23")</f>
        <v>23</v>
      </c>
      <c r="Q1215" t="str">
        <f>("WOUTERS Raf")</f>
        <v>WOUTERS Raf</v>
      </c>
      <c r="R1215">
        <v>56</v>
      </c>
      <c r="S1215" t="s">
        <v>44</v>
      </c>
      <c r="T1215">
        <v>0</v>
      </c>
      <c r="V1215">
        <v>14</v>
      </c>
      <c r="W1215">
        <v>56</v>
      </c>
      <c r="X1215">
        <v>0</v>
      </c>
    </row>
    <row r="1216" spans="1:24" x14ac:dyDescent="0.35">
      <c r="A1216" t="s">
        <v>8</v>
      </c>
      <c r="B1216" t="s">
        <v>9</v>
      </c>
      <c r="C1216" t="str">
        <f t="shared" si="173"/>
        <v>11282</v>
      </c>
      <c r="D1216" t="s">
        <v>17</v>
      </c>
      <c r="E1216" t="str">
        <f t="shared" si="174"/>
        <v>25</v>
      </c>
      <c r="F1216">
        <v>29016</v>
      </c>
      <c r="G1216">
        <v>25938</v>
      </c>
      <c r="H1216">
        <v>1090</v>
      </c>
      <c r="I1216" t="str">
        <f t="shared" si="171"/>
        <v>3</v>
      </c>
      <c r="J1216" t="str">
        <f t="shared" si="172"/>
        <v>CD&amp;V</v>
      </c>
      <c r="K1216">
        <v>377</v>
      </c>
      <c r="L1216">
        <v>1658</v>
      </c>
      <c r="M1216">
        <v>2035</v>
      </c>
      <c r="N1216">
        <v>1357</v>
      </c>
      <c r="O1216">
        <v>2</v>
      </c>
      <c r="P1216" t="str">
        <f>("24")</f>
        <v>24</v>
      </c>
      <c r="Q1216" t="str">
        <f>("DAMS Annemie")</f>
        <v>DAMS Annemie</v>
      </c>
      <c r="R1216">
        <v>80</v>
      </c>
      <c r="S1216" t="s">
        <v>44</v>
      </c>
      <c r="T1216">
        <v>0</v>
      </c>
      <c r="V1216">
        <v>8</v>
      </c>
      <c r="W1216">
        <v>80</v>
      </c>
      <c r="X1216">
        <v>0</v>
      </c>
    </row>
    <row r="1217" spans="1:24" x14ac:dyDescent="0.35">
      <c r="A1217" t="s">
        <v>8</v>
      </c>
      <c r="B1217" t="s">
        <v>9</v>
      </c>
      <c r="C1217" t="str">
        <f t="shared" si="173"/>
        <v>11282</v>
      </c>
      <c r="D1217" t="s">
        <v>17</v>
      </c>
      <c r="E1217" t="str">
        <f t="shared" si="174"/>
        <v>25</v>
      </c>
      <c r="F1217">
        <v>29016</v>
      </c>
      <c r="G1217">
        <v>25938</v>
      </c>
      <c r="H1217">
        <v>1090</v>
      </c>
      <c r="I1217" t="str">
        <f t="shared" si="171"/>
        <v>3</v>
      </c>
      <c r="J1217" t="str">
        <f t="shared" si="172"/>
        <v>CD&amp;V</v>
      </c>
      <c r="K1217">
        <v>377</v>
      </c>
      <c r="L1217">
        <v>1658</v>
      </c>
      <c r="M1217">
        <v>2035</v>
      </c>
      <c r="N1217">
        <v>1357</v>
      </c>
      <c r="O1217">
        <v>2</v>
      </c>
      <c r="P1217" t="str">
        <f>("25")</f>
        <v>25</v>
      </c>
      <c r="Q1217" t="str">
        <f>("DE COCK Koen")</f>
        <v>DE COCK Koen</v>
      </c>
      <c r="R1217">
        <v>191</v>
      </c>
      <c r="S1217" t="s">
        <v>44</v>
      </c>
      <c r="T1217">
        <v>0</v>
      </c>
      <c r="V1217">
        <v>2</v>
      </c>
      <c r="W1217">
        <v>191</v>
      </c>
      <c r="X1217">
        <v>0</v>
      </c>
    </row>
    <row r="1218" spans="1:24" x14ac:dyDescent="0.35">
      <c r="A1218" t="s">
        <v>8</v>
      </c>
      <c r="B1218" t="s">
        <v>9</v>
      </c>
      <c r="C1218" t="str">
        <f t="shared" si="173"/>
        <v>11282</v>
      </c>
      <c r="D1218" t="s">
        <v>17</v>
      </c>
      <c r="E1218" t="str">
        <f t="shared" si="174"/>
        <v>25</v>
      </c>
      <c r="F1218">
        <v>29016</v>
      </c>
      <c r="G1218">
        <v>25938</v>
      </c>
      <c r="H1218">
        <v>1090</v>
      </c>
      <c r="I1218" t="str">
        <f t="shared" ref="I1218:I1242" si="175">("4")</f>
        <v>4</v>
      </c>
      <c r="J1218" t="str">
        <f t="shared" ref="J1218:J1242" si="176">("Groen")</f>
        <v>Groen</v>
      </c>
      <c r="K1218">
        <v>955</v>
      </c>
      <c r="L1218">
        <v>2243</v>
      </c>
      <c r="M1218">
        <v>3198</v>
      </c>
      <c r="N1218">
        <v>2399</v>
      </c>
      <c r="O1218">
        <v>3</v>
      </c>
      <c r="P1218" t="str">
        <f>("1")</f>
        <v>1</v>
      </c>
      <c r="Q1218" t="str">
        <f>("STAES Karin")</f>
        <v>STAES Karin</v>
      </c>
      <c r="R1218">
        <v>1168</v>
      </c>
      <c r="S1218">
        <v>2123</v>
      </c>
      <c r="T1218">
        <v>0</v>
      </c>
      <c r="U1218">
        <v>1</v>
      </c>
    </row>
    <row r="1219" spans="1:24" x14ac:dyDescent="0.35">
      <c r="A1219" t="s">
        <v>8</v>
      </c>
      <c r="B1219" t="s">
        <v>9</v>
      </c>
      <c r="C1219" t="str">
        <f t="shared" si="173"/>
        <v>11282</v>
      </c>
      <c r="D1219" t="s">
        <v>17</v>
      </c>
      <c r="E1219" t="str">
        <f t="shared" si="174"/>
        <v>25</v>
      </c>
      <c r="F1219">
        <v>29016</v>
      </c>
      <c r="G1219">
        <v>25938</v>
      </c>
      <c r="H1219">
        <v>1090</v>
      </c>
      <c r="I1219" t="str">
        <f t="shared" si="175"/>
        <v>4</v>
      </c>
      <c r="J1219" t="str">
        <f t="shared" si="176"/>
        <v>Groen</v>
      </c>
      <c r="K1219">
        <v>955</v>
      </c>
      <c r="L1219">
        <v>2243</v>
      </c>
      <c r="M1219">
        <v>3198</v>
      </c>
      <c r="N1219">
        <v>2399</v>
      </c>
      <c r="O1219">
        <v>3</v>
      </c>
      <c r="P1219" t="str">
        <f>("2")</f>
        <v>2</v>
      </c>
      <c r="Q1219" t="str">
        <f>("ROTTIERS Sander")</f>
        <v>ROTTIERS Sander</v>
      </c>
      <c r="R1219">
        <v>206</v>
      </c>
      <c r="S1219" t="s">
        <v>44</v>
      </c>
      <c r="T1219">
        <v>0</v>
      </c>
      <c r="V1219">
        <v>1</v>
      </c>
      <c r="W1219">
        <v>1161</v>
      </c>
      <c r="X1219">
        <v>0</v>
      </c>
    </row>
    <row r="1220" spans="1:24" x14ac:dyDescent="0.35">
      <c r="A1220" t="s">
        <v>8</v>
      </c>
      <c r="B1220" t="s">
        <v>9</v>
      </c>
      <c r="C1220" t="str">
        <f t="shared" si="173"/>
        <v>11282</v>
      </c>
      <c r="D1220" t="s">
        <v>17</v>
      </c>
      <c r="E1220" t="str">
        <f t="shared" si="174"/>
        <v>25</v>
      </c>
      <c r="F1220">
        <v>29016</v>
      </c>
      <c r="G1220">
        <v>25938</v>
      </c>
      <c r="H1220">
        <v>1090</v>
      </c>
      <c r="I1220" t="str">
        <f t="shared" si="175"/>
        <v>4</v>
      </c>
      <c r="J1220" t="str">
        <f t="shared" si="176"/>
        <v>Groen</v>
      </c>
      <c r="K1220">
        <v>955</v>
      </c>
      <c r="L1220">
        <v>2243</v>
      </c>
      <c r="M1220">
        <v>3198</v>
      </c>
      <c r="N1220">
        <v>2399</v>
      </c>
      <c r="O1220">
        <v>3</v>
      </c>
      <c r="P1220" t="str">
        <f>("3")</f>
        <v>3</v>
      </c>
      <c r="Q1220" t="str">
        <f>("DE PAUW Zita")</f>
        <v>DE PAUW Zita</v>
      </c>
      <c r="R1220">
        <v>195</v>
      </c>
      <c r="S1220" t="s">
        <v>44</v>
      </c>
      <c r="T1220">
        <v>0</v>
      </c>
      <c r="V1220">
        <v>3</v>
      </c>
      <c r="W1220">
        <v>195</v>
      </c>
      <c r="X1220">
        <v>0</v>
      </c>
    </row>
    <row r="1221" spans="1:24" x14ac:dyDescent="0.35">
      <c r="A1221" t="s">
        <v>8</v>
      </c>
      <c r="B1221" t="s">
        <v>9</v>
      </c>
      <c r="C1221" t="str">
        <f t="shared" si="173"/>
        <v>11282</v>
      </c>
      <c r="D1221" t="s">
        <v>17</v>
      </c>
      <c r="E1221" t="str">
        <f t="shared" si="174"/>
        <v>25</v>
      </c>
      <c r="F1221">
        <v>29016</v>
      </c>
      <c r="G1221">
        <v>25938</v>
      </c>
      <c r="H1221">
        <v>1090</v>
      </c>
      <c r="I1221" t="str">
        <f t="shared" si="175"/>
        <v>4</v>
      </c>
      <c r="J1221" t="str">
        <f t="shared" si="176"/>
        <v>Groen</v>
      </c>
      <c r="K1221">
        <v>955</v>
      </c>
      <c r="L1221">
        <v>2243</v>
      </c>
      <c r="M1221">
        <v>3198</v>
      </c>
      <c r="N1221">
        <v>2399</v>
      </c>
      <c r="O1221">
        <v>3</v>
      </c>
      <c r="P1221" t="str">
        <f>("4")</f>
        <v>4</v>
      </c>
      <c r="Q1221" t="str">
        <f>("GASHI Arben")</f>
        <v>GASHI Arben</v>
      </c>
      <c r="R1221">
        <v>293</v>
      </c>
      <c r="S1221">
        <v>293</v>
      </c>
      <c r="T1221">
        <v>0</v>
      </c>
      <c r="U1221">
        <v>2</v>
      </c>
    </row>
    <row r="1222" spans="1:24" x14ac:dyDescent="0.35">
      <c r="A1222" t="s">
        <v>8</v>
      </c>
      <c r="B1222" t="s">
        <v>9</v>
      </c>
      <c r="C1222" t="str">
        <f t="shared" si="173"/>
        <v>11282</v>
      </c>
      <c r="D1222" t="s">
        <v>17</v>
      </c>
      <c r="E1222" t="str">
        <f t="shared" si="174"/>
        <v>25</v>
      </c>
      <c r="F1222">
        <v>29016</v>
      </c>
      <c r="G1222">
        <v>25938</v>
      </c>
      <c r="H1222">
        <v>1090</v>
      </c>
      <c r="I1222" t="str">
        <f t="shared" si="175"/>
        <v>4</v>
      </c>
      <c r="J1222" t="str">
        <f t="shared" si="176"/>
        <v>Groen</v>
      </c>
      <c r="K1222">
        <v>955</v>
      </c>
      <c r="L1222">
        <v>2243</v>
      </c>
      <c r="M1222">
        <v>3198</v>
      </c>
      <c r="N1222">
        <v>2399</v>
      </c>
      <c r="O1222">
        <v>3</v>
      </c>
      <c r="P1222" t="str">
        <f>("5")</f>
        <v>5</v>
      </c>
      <c r="Q1222" t="str">
        <f>("BIERQUE Kaat")</f>
        <v>BIERQUE Kaat</v>
      </c>
      <c r="R1222">
        <v>148</v>
      </c>
      <c r="S1222" t="s">
        <v>44</v>
      </c>
      <c r="T1222">
        <v>0</v>
      </c>
      <c r="V1222">
        <v>4</v>
      </c>
      <c r="W1222">
        <v>148</v>
      </c>
      <c r="X1222">
        <v>0</v>
      </c>
    </row>
    <row r="1223" spans="1:24" x14ac:dyDescent="0.35">
      <c r="A1223" t="s">
        <v>8</v>
      </c>
      <c r="B1223" t="s">
        <v>9</v>
      </c>
      <c r="C1223" t="str">
        <f t="shared" si="173"/>
        <v>11282</v>
      </c>
      <c r="D1223" t="s">
        <v>17</v>
      </c>
      <c r="E1223" t="str">
        <f t="shared" si="174"/>
        <v>25</v>
      </c>
      <c r="F1223">
        <v>29016</v>
      </c>
      <c r="G1223">
        <v>25938</v>
      </c>
      <c r="H1223">
        <v>1090</v>
      </c>
      <c r="I1223" t="str">
        <f t="shared" si="175"/>
        <v>4</v>
      </c>
      <c r="J1223" t="str">
        <f t="shared" si="176"/>
        <v>Groen</v>
      </c>
      <c r="K1223">
        <v>955</v>
      </c>
      <c r="L1223">
        <v>2243</v>
      </c>
      <c r="M1223">
        <v>3198</v>
      </c>
      <c r="N1223">
        <v>2399</v>
      </c>
      <c r="O1223">
        <v>3</v>
      </c>
      <c r="P1223" t="str">
        <f>("6")</f>
        <v>6</v>
      </c>
      <c r="Q1223" t="str">
        <f>("APPIAH Egbert")</f>
        <v>APPIAH Egbert</v>
      </c>
      <c r="R1223">
        <v>138</v>
      </c>
      <c r="S1223" t="s">
        <v>44</v>
      </c>
      <c r="T1223">
        <v>0</v>
      </c>
      <c r="V1223">
        <v>7</v>
      </c>
      <c r="W1223">
        <v>138</v>
      </c>
      <c r="X1223">
        <v>0</v>
      </c>
    </row>
    <row r="1224" spans="1:24" x14ac:dyDescent="0.35">
      <c r="A1224" t="s">
        <v>8</v>
      </c>
      <c r="B1224" t="s">
        <v>9</v>
      </c>
      <c r="C1224" t="str">
        <f t="shared" si="173"/>
        <v>11282</v>
      </c>
      <c r="D1224" t="s">
        <v>17</v>
      </c>
      <c r="E1224" t="str">
        <f t="shared" si="174"/>
        <v>25</v>
      </c>
      <c r="F1224">
        <v>29016</v>
      </c>
      <c r="G1224">
        <v>25938</v>
      </c>
      <c r="H1224">
        <v>1090</v>
      </c>
      <c r="I1224" t="str">
        <f t="shared" si="175"/>
        <v>4</v>
      </c>
      <c r="J1224" t="str">
        <f t="shared" si="176"/>
        <v>Groen</v>
      </c>
      <c r="K1224">
        <v>955</v>
      </c>
      <c r="L1224">
        <v>2243</v>
      </c>
      <c r="M1224">
        <v>3198</v>
      </c>
      <c r="N1224">
        <v>2399</v>
      </c>
      <c r="O1224">
        <v>3</v>
      </c>
      <c r="P1224" t="str">
        <f>("7")</f>
        <v>7</v>
      </c>
      <c r="Q1224" t="str">
        <f>("VERVOORT Ria")</f>
        <v>VERVOORT Ria</v>
      </c>
      <c r="R1224">
        <v>113</v>
      </c>
      <c r="S1224" t="s">
        <v>44</v>
      </c>
      <c r="T1224">
        <v>0</v>
      </c>
      <c r="V1224">
        <v>8</v>
      </c>
      <c r="W1224">
        <v>113</v>
      </c>
      <c r="X1224">
        <v>0</v>
      </c>
    </row>
    <row r="1225" spans="1:24" x14ac:dyDescent="0.35">
      <c r="A1225" t="s">
        <v>8</v>
      </c>
      <c r="B1225" t="s">
        <v>9</v>
      </c>
      <c r="C1225" t="str">
        <f t="shared" si="173"/>
        <v>11282</v>
      </c>
      <c r="D1225" t="s">
        <v>17</v>
      </c>
      <c r="E1225" t="str">
        <f t="shared" si="174"/>
        <v>25</v>
      </c>
      <c r="F1225">
        <v>29016</v>
      </c>
      <c r="G1225">
        <v>25938</v>
      </c>
      <c r="H1225">
        <v>1090</v>
      </c>
      <c r="I1225" t="str">
        <f t="shared" si="175"/>
        <v>4</v>
      </c>
      <c r="J1225" t="str">
        <f t="shared" si="176"/>
        <v>Groen</v>
      </c>
      <c r="K1225">
        <v>955</v>
      </c>
      <c r="L1225">
        <v>2243</v>
      </c>
      <c r="M1225">
        <v>3198</v>
      </c>
      <c r="N1225">
        <v>2399</v>
      </c>
      <c r="O1225">
        <v>3</v>
      </c>
      <c r="P1225" t="str">
        <f>("8")</f>
        <v>8</v>
      </c>
      <c r="Q1225" t="str">
        <f>("RIGAUMONT Serge")</f>
        <v>RIGAUMONT Serge</v>
      </c>
      <c r="R1225">
        <v>97</v>
      </c>
      <c r="S1225" t="s">
        <v>44</v>
      </c>
      <c r="T1225">
        <v>0</v>
      </c>
      <c r="V1225">
        <v>11</v>
      </c>
      <c r="W1225">
        <v>97</v>
      </c>
      <c r="X1225">
        <v>0</v>
      </c>
    </row>
    <row r="1226" spans="1:24" x14ac:dyDescent="0.35">
      <c r="A1226" t="s">
        <v>8</v>
      </c>
      <c r="B1226" t="s">
        <v>9</v>
      </c>
      <c r="C1226" t="str">
        <f t="shared" si="173"/>
        <v>11282</v>
      </c>
      <c r="D1226" t="s">
        <v>17</v>
      </c>
      <c r="E1226" t="str">
        <f t="shared" si="174"/>
        <v>25</v>
      </c>
      <c r="F1226">
        <v>29016</v>
      </c>
      <c r="G1226">
        <v>25938</v>
      </c>
      <c r="H1226">
        <v>1090</v>
      </c>
      <c r="I1226" t="str">
        <f t="shared" si="175"/>
        <v>4</v>
      </c>
      <c r="J1226" t="str">
        <f t="shared" si="176"/>
        <v>Groen</v>
      </c>
      <c r="K1226">
        <v>955</v>
      </c>
      <c r="L1226">
        <v>2243</v>
      </c>
      <c r="M1226">
        <v>3198</v>
      </c>
      <c r="N1226">
        <v>2399</v>
      </c>
      <c r="O1226">
        <v>3</v>
      </c>
      <c r="P1226" t="str">
        <f>("9")</f>
        <v>9</v>
      </c>
      <c r="Q1226" t="str">
        <f>("DELANOEIJE Witse")</f>
        <v>DELANOEIJE Witse</v>
      </c>
      <c r="R1226">
        <v>141</v>
      </c>
      <c r="S1226" t="s">
        <v>44</v>
      </c>
      <c r="T1226">
        <v>0</v>
      </c>
      <c r="V1226">
        <v>5</v>
      </c>
      <c r="W1226">
        <v>141</v>
      </c>
      <c r="X1226">
        <v>0</v>
      </c>
    </row>
    <row r="1227" spans="1:24" x14ac:dyDescent="0.35">
      <c r="A1227" t="s">
        <v>8</v>
      </c>
      <c r="B1227" t="s">
        <v>9</v>
      </c>
      <c r="C1227" t="str">
        <f t="shared" si="173"/>
        <v>11282</v>
      </c>
      <c r="D1227" t="s">
        <v>17</v>
      </c>
      <c r="E1227" t="str">
        <f t="shared" si="174"/>
        <v>25</v>
      </c>
      <c r="F1227">
        <v>29016</v>
      </c>
      <c r="G1227">
        <v>25938</v>
      </c>
      <c r="H1227">
        <v>1090</v>
      </c>
      <c r="I1227" t="str">
        <f t="shared" si="175"/>
        <v>4</v>
      </c>
      <c r="J1227" t="str">
        <f t="shared" si="176"/>
        <v>Groen</v>
      </c>
      <c r="K1227">
        <v>955</v>
      </c>
      <c r="L1227">
        <v>2243</v>
      </c>
      <c r="M1227">
        <v>3198</v>
      </c>
      <c r="N1227">
        <v>2399</v>
      </c>
      <c r="O1227">
        <v>3</v>
      </c>
      <c r="P1227" t="str">
        <f>("10")</f>
        <v>10</v>
      </c>
      <c r="Q1227" t="str">
        <f>("AROUA Fadima")</f>
        <v>AROUA Fadima</v>
      </c>
      <c r="R1227">
        <v>261</v>
      </c>
      <c r="S1227">
        <v>261</v>
      </c>
      <c r="T1227">
        <v>0</v>
      </c>
      <c r="U1227">
        <v>3</v>
      </c>
    </row>
    <row r="1228" spans="1:24" x14ac:dyDescent="0.35">
      <c r="A1228" t="s">
        <v>8</v>
      </c>
      <c r="B1228" t="s">
        <v>9</v>
      </c>
      <c r="C1228" t="str">
        <f t="shared" si="173"/>
        <v>11282</v>
      </c>
      <c r="D1228" t="s">
        <v>17</v>
      </c>
      <c r="E1228" t="str">
        <f t="shared" si="174"/>
        <v>25</v>
      </c>
      <c r="F1228">
        <v>29016</v>
      </c>
      <c r="G1228">
        <v>25938</v>
      </c>
      <c r="H1228">
        <v>1090</v>
      </c>
      <c r="I1228" t="str">
        <f t="shared" si="175"/>
        <v>4</v>
      </c>
      <c r="J1228" t="str">
        <f t="shared" si="176"/>
        <v>Groen</v>
      </c>
      <c r="K1228">
        <v>955</v>
      </c>
      <c r="L1228">
        <v>2243</v>
      </c>
      <c r="M1228">
        <v>3198</v>
      </c>
      <c r="N1228">
        <v>2399</v>
      </c>
      <c r="O1228">
        <v>3</v>
      </c>
      <c r="P1228" t="str">
        <f>("11")</f>
        <v>11</v>
      </c>
      <c r="Q1228" t="str">
        <f>("TE BOEKHORST Bram")</f>
        <v>TE BOEKHORST Bram</v>
      </c>
      <c r="R1228">
        <v>58</v>
      </c>
      <c r="S1228" t="s">
        <v>44</v>
      </c>
      <c r="T1228">
        <v>0</v>
      </c>
      <c r="V1228">
        <v>20</v>
      </c>
      <c r="W1228">
        <v>58</v>
      </c>
      <c r="X1228">
        <v>0</v>
      </c>
    </row>
    <row r="1229" spans="1:24" x14ac:dyDescent="0.35">
      <c r="A1229" t="s">
        <v>8</v>
      </c>
      <c r="B1229" t="s">
        <v>9</v>
      </c>
      <c r="C1229" t="str">
        <f t="shared" si="173"/>
        <v>11282</v>
      </c>
      <c r="D1229" t="s">
        <v>17</v>
      </c>
      <c r="E1229" t="str">
        <f t="shared" si="174"/>
        <v>25</v>
      </c>
      <c r="F1229">
        <v>29016</v>
      </c>
      <c r="G1229">
        <v>25938</v>
      </c>
      <c r="H1229">
        <v>1090</v>
      </c>
      <c r="I1229" t="str">
        <f t="shared" si="175"/>
        <v>4</v>
      </c>
      <c r="J1229" t="str">
        <f t="shared" si="176"/>
        <v>Groen</v>
      </c>
      <c r="K1229">
        <v>955</v>
      </c>
      <c r="L1229">
        <v>2243</v>
      </c>
      <c r="M1229">
        <v>3198</v>
      </c>
      <c r="N1229">
        <v>2399</v>
      </c>
      <c r="O1229">
        <v>3</v>
      </c>
      <c r="P1229" t="str">
        <f>("12")</f>
        <v>12</v>
      </c>
      <c r="Q1229" t="str">
        <f>("VANGHEEL Ilse")</f>
        <v>VANGHEEL Ilse</v>
      </c>
      <c r="R1229">
        <v>94</v>
      </c>
      <c r="S1229" t="s">
        <v>44</v>
      </c>
      <c r="T1229">
        <v>0</v>
      </c>
      <c r="V1229">
        <v>12</v>
      </c>
      <c r="W1229">
        <v>94</v>
      </c>
      <c r="X1229">
        <v>0</v>
      </c>
    </row>
    <row r="1230" spans="1:24" x14ac:dyDescent="0.35">
      <c r="A1230" t="s">
        <v>8</v>
      </c>
      <c r="B1230" t="s">
        <v>9</v>
      </c>
      <c r="C1230" t="str">
        <f t="shared" si="173"/>
        <v>11282</v>
      </c>
      <c r="D1230" t="s">
        <v>17</v>
      </c>
      <c r="E1230" t="str">
        <f t="shared" si="174"/>
        <v>25</v>
      </c>
      <c r="F1230">
        <v>29016</v>
      </c>
      <c r="G1230">
        <v>25938</v>
      </c>
      <c r="H1230">
        <v>1090</v>
      </c>
      <c r="I1230" t="str">
        <f t="shared" si="175"/>
        <v>4</v>
      </c>
      <c r="J1230" t="str">
        <f t="shared" si="176"/>
        <v>Groen</v>
      </c>
      <c r="K1230">
        <v>955</v>
      </c>
      <c r="L1230">
        <v>2243</v>
      </c>
      <c r="M1230">
        <v>3198</v>
      </c>
      <c r="N1230">
        <v>2399</v>
      </c>
      <c r="O1230">
        <v>3</v>
      </c>
      <c r="P1230" t="str">
        <f>("13")</f>
        <v>13</v>
      </c>
      <c r="Q1230" t="str">
        <f>("DE PRETER Freddy")</f>
        <v>DE PRETER Freddy</v>
      </c>
      <c r="R1230">
        <v>89</v>
      </c>
      <c r="S1230" t="s">
        <v>44</v>
      </c>
      <c r="T1230">
        <v>0</v>
      </c>
      <c r="V1230">
        <v>13</v>
      </c>
      <c r="W1230">
        <v>89</v>
      </c>
      <c r="X1230">
        <v>0</v>
      </c>
    </row>
    <row r="1231" spans="1:24" x14ac:dyDescent="0.35">
      <c r="A1231" t="s">
        <v>8</v>
      </c>
      <c r="B1231" t="s">
        <v>9</v>
      </c>
      <c r="C1231" t="str">
        <f t="shared" si="173"/>
        <v>11282</v>
      </c>
      <c r="D1231" t="s">
        <v>17</v>
      </c>
      <c r="E1231" t="str">
        <f t="shared" si="174"/>
        <v>25</v>
      </c>
      <c r="F1231">
        <v>29016</v>
      </c>
      <c r="G1231">
        <v>25938</v>
      </c>
      <c r="H1231">
        <v>1090</v>
      </c>
      <c r="I1231" t="str">
        <f t="shared" si="175"/>
        <v>4</v>
      </c>
      <c r="J1231" t="str">
        <f t="shared" si="176"/>
        <v>Groen</v>
      </c>
      <c r="K1231">
        <v>955</v>
      </c>
      <c r="L1231">
        <v>2243</v>
      </c>
      <c r="M1231">
        <v>3198</v>
      </c>
      <c r="N1231">
        <v>2399</v>
      </c>
      <c r="O1231">
        <v>3</v>
      </c>
      <c r="P1231" t="str">
        <f>("14")</f>
        <v>14</v>
      </c>
      <c r="Q1231" t="str">
        <f>("VEKEMANS Tim")</f>
        <v>VEKEMANS Tim</v>
      </c>
      <c r="R1231">
        <v>111</v>
      </c>
      <c r="S1231" t="s">
        <v>44</v>
      </c>
      <c r="T1231">
        <v>0</v>
      </c>
      <c r="V1231">
        <v>9</v>
      </c>
      <c r="W1231">
        <v>111</v>
      </c>
      <c r="X1231">
        <v>0</v>
      </c>
    </row>
    <row r="1232" spans="1:24" x14ac:dyDescent="0.35">
      <c r="A1232" t="s">
        <v>8</v>
      </c>
      <c r="B1232" t="s">
        <v>9</v>
      </c>
      <c r="C1232" t="str">
        <f t="shared" si="173"/>
        <v>11282</v>
      </c>
      <c r="D1232" t="s">
        <v>17</v>
      </c>
      <c r="E1232" t="str">
        <f t="shared" si="174"/>
        <v>25</v>
      </c>
      <c r="F1232">
        <v>29016</v>
      </c>
      <c r="G1232">
        <v>25938</v>
      </c>
      <c r="H1232">
        <v>1090</v>
      </c>
      <c r="I1232" t="str">
        <f t="shared" si="175"/>
        <v>4</v>
      </c>
      <c r="J1232" t="str">
        <f t="shared" si="176"/>
        <v>Groen</v>
      </c>
      <c r="K1232">
        <v>955</v>
      </c>
      <c r="L1232">
        <v>2243</v>
      </c>
      <c r="M1232">
        <v>3198</v>
      </c>
      <c r="N1232">
        <v>2399</v>
      </c>
      <c r="O1232">
        <v>3</v>
      </c>
      <c r="P1232" t="str">
        <f>("15")</f>
        <v>15</v>
      </c>
      <c r="Q1232" t="str">
        <f>("SMET Gerlinde")</f>
        <v>SMET Gerlinde</v>
      </c>
      <c r="R1232">
        <v>74</v>
      </c>
      <c r="S1232" t="s">
        <v>44</v>
      </c>
      <c r="T1232">
        <v>0</v>
      </c>
      <c r="V1232">
        <v>16</v>
      </c>
      <c r="W1232">
        <v>74</v>
      </c>
      <c r="X1232">
        <v>0</v>
      </c>
    </row>
    <row r="1233" spans="1:24" x14ac:dyDescent="0.35">
      <c r="A1233" t="s">
        <v>8</v>
      </c>
      <c r="B1233" t="s">
        <v>9</v>
      </c>
      <c r="C1233" t="str">
        <f t="shared" si="173"/>
        <v>11282</v>
      </c>
      <c r="D1233" t="s">
        <v>17</v>
      </c>
      <c r="E1233" t="str">
        <f t="shared" si="174"/>
        <v>25</v>
      </c>
      <c r="F1233">
        <v>29016</v>
      </c>
      <c r="G1233">
        <v>25938</v>
      </c>
      <c r="H1233">
        <v>1090</v>
      </c>
      <c r="I1233" t="str">
        <f t="shared" si="175"/>
        <v>4</v>
      </c>
      <c r="J1233" t="str">
        <f t="shared" si="176"/>
        <v>Groen</v>
      </c>
      <c r="K1233">
        <v>955</v>
      </c>
      <c r="L1233">
        <v>2243</v>
      </c>
      <c r="M1233">
        <v>3198</v>
      </c>
      <c r="N1233">
        <v>2399</v>
      </c>
      <c r="O1233">
        <v>3</v>
      </c>
      <c r="P1233" t="str">
        <f>("16")</f>
        <v>16</v>
      </c>
      <c r="Q1233" t="str">
        <f>("ANNYS Peter")</f>
        <v>ANNYS Peter</v>
      </c>
      <c r="R1233">
        <v>50</v>
      </c>
      <c r="S1233" t="s">
        <v>44</v>
      </c>
      <c r="T1233">
        <v>0</v>
      </c>
      <c r="V1233">
        <v>22</v>
      </c>
      <c r="W1233">
        <v>50</v>
      </c>
      <c r="X1233">
        <v>0</v>
      </c>
    </row>
    <row r="1234" spans="1:24" x14ac:dyDescent="0.35">
      <c r="A1234" t="s">
        <v>8</v>
      </c>
      <c r="B1234" t="s">
        <v>9</v>
      </c>
      <c r="C1234" t="str">
        <f t="shared" si="173"/>
        <v>11282</v>
      </c>
      <c r="D1234" t="s">
        <v>17</v>
      </c>
      <c r="E1234" t="str">
        <f t="shared" si="174"/>
        <v>25</v>
      </c>
      <c r="F1234">
        <v>29016</v>
      </c>
      <c r="G1234">
        <v>25938</v>
      </c>
      <c r="H1234">
        <v>1090</v>
      </c>
      <c r="I1234" t="str">
        <f t="shared" si="175"/>
        <v>4</v>
      </c>
      <c r="J1234" t="str">
        <f t="shared" si="176"/>
        <v>Groen</v>
      </c>
      <c r="K1234">
        <v>955</v>
      </c>
      <c r="L1234">
        <v>2243</v>
      </c>
      <c r="M1234">
        <v>3198</v>
      </c>
      <c r="N1234">
        <v>2399</v>
      </c>
      <c r="O1234">
        <v>3</v>
      </c>
      <c r="P1234" t="str">
        <f>("17")</f>
        <v>17</v>
      </c>
      <c r="Q1234" t="str">
        <f>("SMET Nicole")</f>
        <v>SMET Nicole</v>
      </c>
      <c r="R1234">
        <v>67</v>
      </c>
      <c r="S1234" t="s">
        <v>44</v>
      </c>
      <c r="T1234">
        <v>0</v>
      </c>
      <c r="V1234">
        <v>18</v>
      </c>
      <c r="W1234">
        <v>67</v>
      </c>
      <c r="X1234">
        <v>0</v>
      </c>
    </row>
    <row r="1235" spans="1:24" x14ac:dyDescent="0.35">
      <c r="A1235" t="s">
        <v>8</v>
      </c>
      <c r="B1235" t="s">
        <v>9</v>
      </c>
      <c r="C1235" t="str">
        <f t="shared" si="173"/>
        <v>11282</v>
      </c>
      <c r="D1235" t="s">
        <v>17</v>
      </c>
      <c r="E1235" t="str">
        <f t="shared" si="174"/>
        <v>25</v>
      </c>
      <c r="F1235">
        <v>29016</v>
      </c>
      <c r="G1235">
        <v>25938</v>
      </c>
      <c r="H1235">
        <v>1090</v>
      </c>
      <c r="I1235" t="str">
        <f t="shared" si="175"/>
        <v>4</v>
      </c>
      <c r="J1235" t="str">
        <f t="shared" si="176"/>
        <v>Groen</v>
      </c>
      <c r="K1235">
        <v>955</v>
      </c>
      <c r="L1235">
        <v>2243</v>
      </c>
      <c r="M1235">
        <v>3198</v>
      </c>
      <c r="N1235">
        <v>2399</v>
      </c>
      <c r="O1235">
        <v>3</v>
      </c>
      <c r="P1235" t="str">
        <f>("18")</f>
        <v>18</v>
      </c>
      <c r="Q1235" t="str">
        <f>("ROOVERS Elias")</f>
        <v>ROOVERS Elias</v>
      </c>
      <c r="R1235">
        <v>58</v>
      </c>
      <c r="S1235" t="s">
        <v>44</v>
      </c>
      <c r="T1235">
        <v>0</v>
      </c>
      <c r="V1235">
        <v>21</v>
      </c>
      <c r="W1235">
        <v>58</v>
      </c>
      <c r="X1235">
        <v>0</v>
      </c>
    </row>
    <row r="1236" spans="1:24" x14ac:dyDescent="0.35">
      <c r="A1236" t="s">
        <v>8</v>
      </c>
      <c r="B1236" t="s">
        <v>9</v>
      </c>
      <c r="C1236" t="str">
        <f t="shared" si="173"/>
        <v>11282</v>
      </c>
      <c r="D1236" t="s">
        <v>17</v>
      </c>
      <c r="E1236" t="str">
        <f t="shared" si="174"/>
        <v>25</v>
      </c>
      <c r="F1236">
        <v>29016</v>
      </c>
      <c r="G1236">
        <v>25938</v>
      </c>
      <c r="H1236">
        <v>1090</v>
      </c>
      <c r="I1236" t="str">
        <f t="shared" si="175"/>
        <v>4</v>
      </c>
      <c r="J1236" t="str">
        <f t="shared" si="176"/>
        <v>Groen</v>
      </c>
      <c r="K1236">
        <v>955</v>
      </c>
      <c r="L1236">
        <v>2243</v>
      </c>
      <c r="M1236">
        <v>3198</v>
      </c>
      <c r="N1236">
        <v>2399</v>
      </c>
      <c r="O1236">
        <v>3</v>
      </c>
      <c r="P1236" t="str">
        <f>("19")</f>
        <v>19</v>
      </c>
      <c r="Q1236" t="str">
        <f>("HIMPE Frieda")</f>
        <v>HIMPE Frieda</v>
      </c>
      <c r="R1236">
        <v>63</v>
      </c>
      <c r="S1236" t="s">
        <v>44</v>
      </c>
      <c r="T1236">
        <v>0</v>
      </c>
      <c r="V1236">
        <v>19</v>
      </c>
      <c r="W1236">
        <v>63</v>
      </c>
      <c r="X1236">
        <v>0</v>
      </c>
    </row>
    <row r="1237" spans="1:24" x14ac:dyDescent="0.35">
      <c r="A1237" t="s">
        <v>8</v>
      </c>
      <c r="B1237" t="s">
        <v>9</v>
      </c>
      <c r="C1237" t="str">
        <f t="shared" si="173"/>
        <v>11282</v>
      </c>
      <c r="D1237" t="s">
        <v>17</v>
      </c>
      <c r="E1237" t="str">
        <f t="shared" si="174"/>
        <v>25</v>
      </c>
      <c r="F1237">
        <v>29016</v>
      </c>
      <c r="G1237">
        <v>25938</v>
      </c>
      <c r="H1237">
        <v>1090</v>
      </c>
      <c r="I1237" t="str">
        <f t="shared" si="175"/>
        <v>4</v>
      </c>
      <c r="J1237" t="str">
        <f t="shared" si="176"/>
        <v>Groen</v>
      </c>
      <c r="K1237">
        <v>955</v>
      </c>
      <c r="L1237">
        <v>2243</v>
      </c>
      <c r="M1237">
        <v>3198</v>
      </c>
      <c r="N1237">
        <v>2399</v>
      </c>
      <c r="O1237">
        <v>3</v>
      </c>
      <c r="P1237" t="str">
        <f>("20")</f>
        <v>20</v>
      </c>
      <c r="Q1237" t="str">
        <f>("VAN GIEL Herlinde")</f>
        <v>VAN GIEL Herlinde</v>
      </c>
      <c r="R1237">
        <v>79</v>
      </c>
      <c r="S1237" t="s">
        <v>44</v>
      </c>
      <c r="T1237">
        <v>0</v>
      </c>
      <c r="V1237">
        <v>15</v>
      </c>
      <c r="W1237">
        <v>79</v>
      </c>
      <c r="X1237">
        <v>0</v>
      </c>
    </row>
    <row r="1238" spans="1:24" x14ac:dyDescent="0.35">
      <c r="A1238" t="s">
        <v>8</v>
      </c>
      <c r="B1238" t="s">
        <v>9</v>
      </c>
      <c r="C1238" t="str">
        <f t="shared" si="173"/>
        <v>11282</v>
      </c>
      <c r="D1238" t="s">
        <v>17</v>
      </c>
      <c r="E1238" t="str">
        <f t="shared" si="174"/>
        <v>25</v>
      </c>
      <c r="F1238">
        <v>29016</v>
      </c>
      <c r="G1238">
        <v>25938</v>
      </c>
      <c r="H1238">
        <v>1090</v>
      </c>
      <c r="I1238" t="str">
        <f t="shared" si="175"/>
        <v>4</v>
      </c>
      <c r="J1238" t="str">
        <f t="shared" si="176"/>
        <v>Groen</v>
      </c>
      <c r="K1238">
        <v>955</v>
      </c>
      <c r="L1238">
        <v>2243</v>
      </c>
      <c r="M1238">
        <v>3198</v>
      </c>
      <c r="N1238">
        <v>2399</v>
      </c>
      <c r="O1238">
        <v>3</v>
      </c>
      <c r="P1238" t="str">
        <f>("21")</f>
        <v>21</v>
      </c>
      <c r="Q1238" t="str">
        <f>("DE GROOTE Bastiaan")</f>
        <v>DE GROOTE Bastiaan</v>
      </c>
      <c r="R1238">
        <v>84</v>
      </c>
      <c r="S1238" t="s">
        <v>44</v>
      </c>
      <c r="T1238">
        <v>0</v>
      </c>
      <c r="V1238">
        <v>14</v>
      </c>
      <c r="W1238">
        <v>84</v>
      </c>
      <c r="X1238">
        <v>0</v>
      </c>
    </row>
    <row r="1239" spans="1:24" x14ac:dyDescent="0.35">
      <c r="A1239" t="s">
        <v>8</v>
      </c>
      <c r="B1239" t="s">
        <v>9</v>
      </c>
      <c r="C1239" t="str">
        <f t="shared" ref="C1239:C1270" si="177">("11282")</f>
        <v>11282</v>
      </c>
      <c r="D1239" t="s">
        <v>17</v>
      </c>
      <c r="E1239" t="str">
        <f t="shared" si="174"/>
        <v>25</v>
      </c>
      <c r="F1239">
        <v>29016</v>
      </c>
      <c r="G1239">
        <v>25938</v>
      </c>
      <c r="H1239">
        <v>1090</v>
      </c>
      <c r="I1239" t="str">
        <f t="shared" si="175"/>
        <v>4</v>
      </c>
      <c r="J1239" t="str">
        <f t="shared" si="176"/>
        <v>Groen</v>
      </c>
      <c r="K1239">
        <v>955</v>
      </c>
      <c r="L1239">
        <v>2243</v>
      </c>
      <c r="M1239">
        <v>3198</v>
      </c>
      <c r="N1239">
        <v>2399</v>
      </c>
      <c r="O1239">
        <v>3</v>
      </c>
      <c r="P1239" t="str">
        <f>("22")</f>
        <v>22</v>
      </c>
      <c r="Q1239" t="str">
        <f>("VAN DEN BERGH Hanne")</f>
        <v>VAN DEN BERGH Hanne</v>
      </c>
      <c r="R1239">
        <v>103</v>
      </c>
      <c r="S1239" t="s">
        <v>44</v>
      </c>
      <c r="T1239">
        <v>0</v>
      </c>
      <c r="V1239">
        <v>10</v>
      </c>
      <c r="W1239">
        <v>103</v>
      </c>
      <c r="X1239">
        <v>0</v>
      </c>
    </row>
    <row r="1240" spans="1:24" x14ac:dyDescent="0.35">
      <c r="A1240" t="s">
        <v>8</v>
      </c>
      <c r="B1240" t="s">
        <v>9</v>
      </c>
      <c r="C1240" t="str">
        <f t="shared" si="177"/>
        <v>11282</v>
      </c>
      <c r="D1240" t="s">
        <v>17</v>
      </c>
      <c r="E1240" t="str">
        <f t="shared" si="174"/>
        <v>25</v>
      </c>
      <c r="F1240">
        <v>29016</v>
      </c>
      <c r="G1240">
        <v>25938</v>
      </c>
      <c r="H1240">
        <v>1090</v>
      </c>
      <c r="I1240" t="str">
        <f t="shared" si="175"/>
        <v>4</v>
      </c>
      <c r="J1240" t="str">
        <f t="shared" si="176"/>
        <v>Groen</v>
      </c>
      <c r="K1240">
        <v>955</v>
      </c>
      <c r="L1240">
        <v>2243</v>
      </c>
      <c r="M1240">
        <v>3198</v>
      </c>
      <c r="N1240">
        <v>2399</v>
      </c>
      <c r="O1240">
        <v>3</v>
      </c>
      <c r="P1240" t="str">
        <f>("23")</f>
        <v>23</v>
      </c>
      <c r="Q1240" t="str">
        <f>("WILLIAMS Rosanna")</f>
        <v>WILLIAMS Rosanna</v>
      </c>
      <c r="R1240">
        <v>68</v>
      </c>
      <c r="S1240" t="s">
        <v>44</v>
      </c>
      <c r="T1240">
        <v>0</v>
      </c>
      <c r="V1240">
        <v>17</v>
      </c>
      <c r="W1240">
        <v>68</v>
      </c>
      <c r="X1240">
        <v>0</v>
      </c>
    </row>
    <row r="1241" spans="1:24" x14ac:dyDescent="0.35">
      <c r="A1241" t="s">
        <v>8</v>
      </c>
      <c r="B1241" t="s">
        <v>9</v>
      </c>
      <c r="C1241" t="str">
        <f t="shared" si="177"/>
        <v>11282</v>
      </c>
      <c r="D1241" t="s">
        <v>17</v>
      </c>
      <c r="E1241" t="str">
        <f t="shared" si="174"/>
        <v>25</v>
      </c>
      <c r="F1241">
        <v>29016</v>
      </c>
      <c r="G1241">
        <v>25938</v>
      </c>
      <c r="H1241">
        <v>1090</v>
      </c>
      <c r="I1241" t="str">
        <f t="shared" si="175"/>
        <v>4</v>
      </c>
      <c r="J1241" t="str">
        <f t="shared" si="176"/>
        <v>Groen</v>
      </c>
      <c r="K1241">
        <v>955</v>
      </c>
      <c r="L1241">
        <v>2243</v>
      </c>
      <c r="M1241">
        <v>3198</v>
      </c>
      <c r="N1241">
        <v>2399</v>
      </c>
      <c r="O1241">
        <v>3</v>
      </c>
      <c r="P1241" t="str">
        <f>("24")</f>
        <v>24</v>
      </c>
      <c r="Q1241" t="str">
        <f>("GUERTI Mo")</f>
        <v>GUERTI Mo</v>
      </c>
      <c r="R1241">
        <v>141</v>
      </c>
      <c r="S1241" t="s">
        <v>44</v>
      </c>
      <c r="T1241">
        <v>0</v>
      </c>
      <c r="V1241">
        <v>6</v>
      </c>
      <c r="W1241">
        <v>141</v>
      </c>
      <c r="X1241">
        <v>0</v>
      </c>
    </row>
    <row r="1242" spans="1:24" x14ac:dyDescent="0.35">
      <c r="A1242" t="s">
        <v>8</v>
      </c>
      <c r="B1242" t="s">
        <v>9</v>
      </c>
      <c r="C1242" t="str">
        <f t="shared" si="177"/>
        <v>11282</v>
      </c>
      <c r="D1242" t="s">
        <v>17</v>
      </c>
      <c r="E1242" t="str">
        <f t="shared" si="174"/>
        <v>25</v>
      </c>
      <c r="F1242">
        <v>29016</v>
      </c>
      <c r="G1242">
        <v>25938</v>
      </c>
      <c r="H1242">
        <v>1090</v>
      </c>
      <c r="I1242" t="str">
        <f t="shared" si="175"/>
        <v>4</v>
      </c>
      <c r="J1242" t="str">
        <f t="shared" si="176"/>
        <v>Groen</v>
      </c>
      <c r="K1242">
        <v>955</v>
      </c>
      <c r="L1242">
        <v>2243</v>
      </c>
      <c r="M1242">
        <v>3198</v>
      </c>
      <c r="N1242">
        <v>2399</v>
      </c>
      <c r="O1242">
        <v>3</v>
      </c>
      <c r="P1242" t="str">
        <f>("25")</f>
        <v>25</v>
      </c>
      <c r="Q1242" t="str">
        <f>("VERGAUWEN Lut")</f>
        <v>VERGAUWEN Lut</v>
      </c>
      <c r="R1242">
        <v>199</v>
      </c>
      <c r="S1242" t="s">
        <v>44</v>
      </c>
      <c r="T1242">
        <v>0</v>
      </c>
      <c r="V1242">
        <v>2</v>
      </c>
      <c r="W1242">
        <v>199</v>
      </c>
      <c r="X1242">
        <v>0</v>
      </c>
    </row>
    <row r="1243" spans="1:24" x14ac:dyDescent="0.35">
      <c r="A1243" t="s">
        <v>8</v>
      </c>
      <c r="B1243" t="s">
        <v>9</v>
      </c>
      <c r="C1243" t="str">
        <f t="shared" si="177"/>
        <v>11282</v>
      </c>
      <c r="D1243" t="s">
        <v>17</v>
      </c>
      <c r="E1243" t="str">
        <f t="shared" si="174"/>
        <v>25</v>
      </c>
      <c r="F1243">
        <v>29016</v>
      </c>
      <c r="G1243">
        <v>25938</v>
      </c>
      <c r="H1243">
        <v>1090</v>
      </c>
      <c r="I1243" t="str">
        <f t="shared" ref="I1243:I1267" si="178">("5")</f>
        <v>5</v>
      </c>
      <c r="J1243" t="str">
        <f t="shared" ref="J1243:J1267" si="179">("VLAAMS BELANG")</f>
        <v>VLAAMS BELANG</v>
      </c>
      <c r="K1243">
        <v>1347</v>
      </c>
      <c r="L1243">
        <v>2916</v>
      </c>
      <c r="M1243">
        <v>4263</v>
      </c>
      <c r="N1243">
        <v>3411</v>
      </c>
      <c r="O1243">
        <v>4</v>
      </c>
      <c r="P1243" t="str">
        <f>("1")</f>
        <v>1</v>
      </c>
      <c r="Q1243" t="str">
        <f>("PENRIS Jan")</f>
        <v>PENRIS Jan</v>
      </c>
      <c r="R1243">
        <v>1541</v>
      </c>
      <c r="S1243">
        <v>3337</v>
      </c>
      <c r="T1243">
        <v>0</v>
      </c>
      <c r="U1243">
        <v>1</v>
      </c>
    </row>
    <row r="1244" spans="1:24" x14ac:dyDescent="0.35">
      <c r="A1244" t="s">
        <v>8</v>
      </c>
      <c r="B1244" t="s">
        <v>9</v>
      </c>
      <c r="C1244" t="str">
        <f t="shared" si="177"/>
        <v>11282</v>
      </c>
      <c r="D1244" t="s">
        <v>17</v>
      </c>
      <c r="E1244" t="str">
        <f t="shared" si="174"/>
        <v>25</v>
      </c>
      <c r="F1244">
        <v>29016</v>
      </c>
      <c r="G1244">
        <v>25938</v>
      </c>
      <c r="H1244">
        <v>1090</v>
      </c>
      <c r="I1244" t="str">
        <f t="shared" si="178"/>
        <v>5</v>
      </c>
      <c r="J1244" t="str">
        <f t="shared" si="179"/>
        <v>VLAAMS BELANG</v>
      </c>
      <c r="K1244">
        <v>1347</v>
      </c>
      <c r="L1244">
        <v>2916</v>
      </c>
      <c r="M1244">
        <v>4263</v>
      </c>
      <c r="N1244">
        <v>3411</v>
      </c>
      <c r="O1244">
        <v>4</v>
      </c>
      <c r="P1244" t="str">
        <f>("2")</f>
        <v>2</v>
      </c>
      <c r="Q1244" t="str">
        <f>("DEKESEL Tania")</f>
        <v>DEKESEL Tania</v>
      </c>
      <c r="R1244">
        <v>348</v>
      </c>
      <c r="S1244">
        <v>348</v>
      </c>
      <c r="T1244">
        <v>0</v>
      </c>
      <c r="U1244">
        <v>2</v>
      </c>
    </row>
    <row r="1245" spans="1:24" x14ac:dyDescent="0.35">
      <c r="A1245" t="s">
        <v>8</v>
      </c>
      <c r="B1245" t="s">
        <v>9</v>
      </c>
      <c r="C1245" t="str">
        <f t="shared" si="177"/>
        <v>11282</v>
      </c>
      <c r="D1245" t="s">
        <v>17</v>
      </c>
      <c r="E1245" t="str">
        <f t="shared" si="174"/>
        <v>25</v>
      </c>
      <c r="F1245">
        <v>29016</v>
      </c>
      <c r="G1245">
        <v>25938</v>
      </c>
      <c r="H1245">
        <v>1090</v>
      </c>
      <c r="I1245" t="str">
        <f t="shared" si="178"/>
        <v>5</v>
      </c>
      <c r="J1245" t="str">
        <f t="shared" si="179"/>
        <v>VLAAMS BELANG</v>
      </c>
      <c r="K1245">
        <v>1347</v>
      </c>
      <c r="L1245">
        <v>2916</v>
      </c>
      <c r="M1245">
        <v>4263</v>
      </c>
      <c r="N1245">
        <v>3411</v>
      </c>
      <c r="O1245">
        <v>4</v>
      </c>
      <c r="P1245" t="str">
        <f>("3")</f>
        <v>3</v>
      </c>
      <c r="Q1245" t="str">
        <f>("ELST Michel")</f>
        <v>ELST Michel</v>
      </c>
      <c r="R1245">
        <v>210</v>
      </c>
      <c r="S1245">
        <v>210</v>
      </c>
      <c r="T1245">
        <v>0</v>
      </c>
      <c r="U1245">
        <v>3</v>
      </c>
    </row>
    <row r="1246" spans="1:24" x14ac:dyDescent="0.35">
      <c r="A1246" t="s">
        <v>8</v>
      </c>
      <c r="B1246" t="s">
        <v>9</v>
      </c>
      <c r="C1246" t="str">
        <f t="shared" si="177"/>
        <v>11282</v>
      </c>
      <c r="D1246" t="s">
        <v>17</v>
      </c>
      <c r="E1246" t="str">
        <f t="shared" si="174"/>
        <v>25</v>
      </c>
      <c r="F1246">
        <v>29016</v>
      </c>
      <c r="G1246">
        <v>25938</v>
      </c>
      <c r="H1246">
        <v>1090</v>
      </c>
      <c r="I1246" t="str">
        <f t="shared" si="178"/>
        <v>5</v>
      </c>
      <c r="J1246" t="str">
        <f t="shared" si="179"/>
        <v>VLAAMS BELANG</v>
      </c>
      <c r="K1246">
        <v>1347</v>
      </c>
      <c r="L1246">
        <v>2916</v>
      </c>
      <c r="M1246">
        <v>4263</v>
      </c>
      <c r="N1246">
        <v>3411</v>
      </c>
      <c r="O1246">
        <v>4</v>
      </c>
      <c r="P1246" t="str">
        <f>("4")</f>
        <v>4</v>
      </c>
      <c r="Q1246" t="str">
        <f>("ELST Philippe")</f>
        <v>ELST Philippe</v>
      </c>
      <c r="R1246">
        <v>177</v>
      </c>
      <c r="S1246" t="s">
        <v>44</v>
      </c>
      <c r="T1246">
        <v>0</v>
      </c>
      <c r="V1246">
        <v>1</v>
      </c>
      <c r="W1246">
        <v>1973</v>
      </c>
      <c r="X1246">
        <v>0</v>
      </c>
    </row>
    <row r="1247" spans="1:24" x14ac:dyDescent="0.35">
      <c r="A1247" t="s">
        <v>8</v>
      </c>
      <c r="B1247" t="s">
        <v>9</v>
      </c>
      <c r="C1247" t="str">
        <f t="shared" si="177"/>
        <v>11282</v>
      </c>
      <c r="D1247" t="s">
        <v>17</v>
      </c>
      <c r="E1247" t="str">
        <f t="shared" si="174"/>
        <v>25</v>
      </c>
      <c r="F1247">
        <v>29016</v>
      </c>
      <c r="G1247">
        <v>25938</v>
      </c>
      <c r="H1247">
        <v>1090</v>
      </c>
      <c r="I1247" t="str">
        <f t="shared" si="178"/>
        <v>5</v>
      </c>
      <c r="J1247" t="str">
        <f t="shared" si="179"/>
        <v>VLAAMS BELANG</v>
      </c>
      <c r="K1247">
        <v>1347</v>
      </c>
      <c r="L1247">
        <v>2916</v>
      </c>
      <c r="M1247">
        <v>4263</v>
      </c>
      <c r="N1247">
        <v>3411</v>
      </c>
      <c r="O1247">
        <v>4</v>
      </c>
      <c r="P1247" t="str">
        <f>("5")</f>
        <v>5</v>
      </c>
      <c r="Q1247" t="str">
        <f>("DELVAEN Rita")</f>
        <v>DELVAEN Rita</v>
      </c>
      <c r="R1247">
        <v>117</v>
      </c>
      <c r="S1247" t="s">
        <v>44</v>
      </c>
      <c r="T1247">
        <v>0</v>
      </c>
      <c r="V1247">
        <v>6</v>
      </c>
      <c r="W1247">
        <v>117</v>
      </c>
      <c r="X1247">
        <v>0</v>
      </c>
    </row>
    <row r="1248" spans="1:24" x14ac:dyDescent="0.35">
      <c r="A1248" t="s">
        <v>8</v>
      </c>
      <c r="B1248" t="s">
        <v>9</v>
      </c>
      <c r="C1248" t="str">
        <f t="shared" si="177"/>
        <v>11282</v>
      </c>
      <c r="D1248" t="s">
        <v>17</v>
      </c>
      <c r="E1248" t="str">
        <f t="shared" si="174"/>
        <v>25</v>
      </c>
      <c r="F1248">
        <v>29016</v>
      </c>
      <c r="G1248">
        <v>25938</v>
      </c>
      <c r="H1248">
        <v>1090</v>
      </c>
      <c r="I1248" t="str">
        <f t="shared" si="178"/>
        <v>5</v>
      </c>
      <c r="J1248" t="str">
        <f t="shared" si="179"/>
        <v>VLAAMS BELANG</v>
      </c>
      <c r="K1248">
        <v>1347</v>
      </c>
      <c r="L1248">
        <v>2916</v>
      </c>
      <c r="M1248">
        <v>4263</v>
      </c>
      <c r="N1248">
        <v>3411</v>
      </c>
      <c r="O1248">
        <v>4</v>
      </c>
      <c r="P1248" t="str">
        <f>("6")</f>
        <v>6</v>
      </c>
      <c r="Q1248" t="str">
        <f>("DE KIMPE Jean-Marie")</f>
        <v>DE KIMPE Jean-Marie</v>
      </c>
      <c r="R1248">
        <v>170</v>
      </c>
      <c r="S1248" t="s">
        <v>44</v>
      </c>
      <c r="T1248">
        <v>0</v>
      </c>
      <c r="V1248">
        <v>2</v>
      </c>
      <c r="W1248">
        <v>170</v>
      </c>
      <c r="X1248">
        <v>0</v>
      </c>
    </row>
    <row r="1249" spans="1:24" x14ac:dyDescent="0.35">
      <c r="A1249" t="s">
        <v>8</v>
      </c>
      <c r="B1249" t="s">
        <v>9</v>
      </c>
      <c r="C1249" t="str">
        <f t="shared" si="177"/>
        <v>11282</v>
      </c>
      <c r="D1249" t="s">
        <v>17</v>
      </c>
      <c r="E1249" t="str">
        <f t="shared" si="174"/>
        <v>25</v>
      </c>
      <c r="F1249">
        <v>29016</v>
      </c>
      <c r="G1249">
        <v>25938</v>
      </c>
      <c r="H1249">
        <v>1090</v>
      </c>
      <c r="I1249" t="str">
        <f t="shared" si="178"/>
        <v>5</v>
      </c>
      <c r="J1249" t="str">
        <f t="shared" si="179"/>
        <v>VLAAMS BELANG</v>
      </c>
      <c r="K1249">
        <v>1347</v>
      </c>
      <c r="L1249">
        <v>2916</v>
      </c>
      <c r="M1249">
        <v>4263</v>
      </c>
      <c r="N1249">
        <v>3411</v>
      </c>
      <c r="O1249">
        <v>4</v>
      </c>
      <c r="P1249" t="str">
        <f>("7")</f>
        <v>7</v>
      </c>
      <c r="Q1249" t="str">
        <f>("BALINT Adél")</f>
        <v>BALINT Adél</v>
      </c>
      <c r="R1249">
        <v>62</v>
      </c>
      <c r="S1249" t="s">
        <v>44</v>
      </c>
      <c r="T1249">
        <v>0</v>
      </c>
      <c r="V1249">
        <v>19</v>
      </c>
      <c r="W1249">
        <v>62</v>
      </c>
      <c r="X1249">
        <v>0</v>
      </c>
    </row>
    <row r="1250" spans="1:24" x14ac:dyDescent="0.35">
      <c r="A1250" t="s">
        <v>8</v>
      </c>
      <c r="B1250" t="s">
        <v>9</v>
      </c>
      <c r="C1250" t="str">
        <f t="shared" si="177"/>
        <v>11282</v>
      </c>
      <c r="D1250" t="s">
        <v>17</v>
      </c>
      <c r="E1250" t="str">
        <f t="shared" si="174"/>
        <v>25</v>
      </c>
      <c r="F1250">
        <v>29016</v>
      </c>
      <c r="G1250">
        <v>25938</v>
      </c>
      <c r="H1250">
        <v>1090</v>
      </c>
      <c r="I1250" t="str">
        <f t="shared" si="178"/>
        <v>5</v>
      </c>
      <c r="J1250" t="str">
        <f t="shared" si="179"/>
        <v>VLAAMS BELANG</v>
      </c>
      <c r="K1250">
        <v>1347</v>
      </c>
      <c r="L1250">
        <v>2916</v>
      </c>
      <c r="M1250">
        <v>4263</v>
      </c>
      <c r="N1250">
        <v>3411</v>
      </c>
      <c r="O1250">
        <v>4</v>
      </c>
      <c r="P1250" t="str">
        <f>("8")</f>
        <v>8</v>
      </c>
      <c r="Q1250" t="str">
        <f>("CLAUWAERT Pol")</f>
        <v>CLAUWAERT Pol</v>
      </c>
      <c r="R1250">
        <v>95</v>
      </c>
      <c r="S1250" t="s">
        <v>44</v>
      </c>
      <c r="T1250">
        <v>0</v>
      </c>
      <c r="V1250">
        <v>10</v>
      </c>
      <c r="W1250">
        <v>95</v>
      </c>
      <c r="X1250">
        <v>0</v>
      </c>
    </row>
    <row r="1251" spans="1:24" x14ac:dyDescent="0.35">
      <c r="A1251" t="s">
        <v>8</v>
      </c>
      <c r="B1251" t="s">
        <v>9</v>
      </c>
      <c r="C1251" t="str">
        <f t="shared" si="177"/>
        <v>11282</v>
      </c>
      <c r="D1251" t="s">
        <v>17</v>
      </c>
      <c r="E1251" t="str">
        <f t="shared" si="174"/>
        <v>25</v>
      </c>
      <c r="F1251">
        <v>29016</v>
      </c>
      <c r="G1251">
        <v>25938</v>
      </c>
      <c r="H1251">
        <v>1090</v>
      </c>
      <c r="I1251" t="str">
        <f t="shared" si="178"/>
        <v>5</v>
      </c>
      <c r="J1251" t="str">
        <f t="shared" si="179"/>
        <v>VLAAMS BELANG</v>
      </c>
      <c r="K1251">
        <v>1347</v>
      </c>
      <c r="L1251">
        <v>2916</v>
      </c>
      <c r="M1251">
        <v>4263</v>
      </c>
      <c r="N1251">
        <v>3411</v>
      </c>
      <c r="O1251">
        <v>4</v>
      </c>
      <c r="P1251" t="str">
        <f>("9")</f>
        <v>9</v>
      </c>
      <c r="Q1251" t="str">
        <f>("VAN DERMEERSCH-DOM Gerry")</f>
        <v>VAN DERMEERSCH-DOM Gerry</v>
      </c>
      <c r="R1251">
        <v>105</v>
      </c>
      <c r="S1251" t="s">
        <v>44</v>
      </c>
      <c r="T1251">
        <v>0</v>
      </c>
      <c r="V1251">
        <v>7</v>
      </c>
      <c r="W1251">
        <v>105</v>
      </c>
      <c r="X1251">
        <v>0</v>
      </c>
    </row>
    <row r="1252" spans="1:24" x14ac:dyDescent="0.35">
      <c r="A1252" t="s">
        <v>8</v>
      </c>
      <c r="B1252" t="s">
        <v>9</v>
      </c>
      <c r="C1252" t="str">
        <f t="shared" si="177"/>
        <v>11282</v>
      </c>
      <c r="D1252" t="s">
        <v>17</v>
      </c>
      <c r="E1252" t="str">
        <f t="shared" si="174"/>
        <v>25</v>
      </c>
      <c r="F1252">
        <v>29016</v>
      </c>
      <c r="G1252">
        <v>25938</v>
      </c>
      <c r="H1252">
        <v>1090</v>
      </c>
      <c r="I1252" t="str">
        <f t="shared" si="178"/>
        <v>5</v>
      </c>
      <c r="J1252" t="str">
        <f t="shared" si="179"/>
        <v>VLAAMS BELANG</v>
      </c>
      <c r="K1252">
        <v>1347</v>
      </c>
      <c r="L1252">
        <v>2916</v>
      </c>
      <c r="M1252">
        <v>4263</v>
      </c>
      <c r="N1252">
        <v>3411</v>
      </c>
      <c r="O1252">
        <v>4</v>
      </c>
      <c r="P1252" t="str">
        <f>("10")</f>
        <v>10</v>
      </c>
      <c r="Q1252" t="str">
        <f>("LENAERTS Patrick")</f>
        <v>LENAERTS Patrick</v>
      </c>
      <c r="R1252">
        <v>99</v>
      </c>
      <c r="S1252" t="s">
        <v>44</v>
      </c>
      <c r="T1252">
        <v>0</v>
      </c>
      <c r="V1252">
        <v>8</v>
      </c>
      <c r="W1252">
        <v>99</v>
      </c>
      <c r="X1252">
        <v>0</v>
      </c>
    </row>
    <row r="1253" spans="1:24" x14ac:dyDescent="0.35">
      <c r="A1253" t="s">
        <v>8</v>
      </c>
      <c r="B1253" t="s">
        <v>9</v>
      </c>
      <c r="C1253" t="str">
        <f t="shared" si="177"/>
        <v>11282</v>
      </c>
      <c r="D1253" t="s">
        <v>17</v>
      </c>
      <c r="E1253" t="str">
        <f t="shared" si="174"/>
        <v>25</v>
      </c>
      <c r="F1253">
        <v>29016</v>
      </c>
      <c r="G1253">
        <v>25938</v>
      </c>
      <c r="H1253">
        <v>1090</v>
      </c>
      <c r="I1253" t="str">
        <f t="shared" si="178"/>
        <v>5</v>
      </c>
      <c r="J1253" t="str">
        <f t="shared" si="179"/>
        <v>VLAAMS BELANG</v>
      </c>
      <c r="K1253">
        <v>1347</v>
      </c>
      <c r="L1253">
        <v>2916</v>
      </c>
      <c r="M1253">
        <v>4263</v>
      </c>
      <c r="N1253">
        <v>3411</v>
      </c>
      <c r="O1253">
        <v>4</v>
      </c>
      <c r="P1253" t="str">
        <f>("11")</f>
        <v>11</v>
      </c>
      <c r="Q1253" t="str">
        <f>("OLTHOF Liliane")</f>
        <v>OLTHOF Liliane</v>
      </c>
      <c r="R1253">
        <v>72</v>
      </c>
      <c r="S1253" t="s">
        <v>44</v>
      </c>
      <c r="T1253">
        <v>0</v>
      </c>
      <c r="V1253">
        <v>18</v>
      </c>
      <c r="W1253">
        <v>72</v>
      </c>
      <c r="X1253">
        <v>0</v>
      </c>
    </row>
    <row r="1254" spans="1:24" x14ac:dyDescent="0.35">
      <c r="A1254" t="s">
        <v>8</v>
      </c>
      <c r="B1254" t="s">
        <v>9</v>
      </c>
      <c r="C1254" t="str">
        <f t="shared" si="177"/>
        <v>11282</v>
      </c>
      <c r="D1254" t="s">
        <v>17</v>
      </c>
      <c r="E1254" t="str">
        <f t="shared" si="174"/>
        <v>25</v>
      </c>
      <c r="F1254">
        <v>29016</v>
      </c>
      <c r="G1254">
        <v>25938</v>
      </c>
      <c r="H1254">
        <v>1090</v>
      </c>
      <c r="I1254" t="str">
        <f t="shared" si="178"/>
        <v>5</v>
      </c>
      <c r="J1254" t="str">
        <f t="shared" si="179"/>
        <v>VLAAMS BELANG</v>
      </c>
      <c r="K1254">
        <v>1347</v>
      </c>
      <c r="L1254">
        <v>2916</v>
      </c>
      <c r="M1254">
        <v>4263</v>
      </c>
      <c r="N1254">
        <v>3411</v>
      </c>
      <c r="O1254">
        <v>4</v>
      </c>
      <c r="P1254" t="str">
        <f>("12")</f>
        <v>12</v>
      </c>
      <c r="Q1254" t="str">
        <f>("SCHOETERS Serge")</f>
        <v>SCHOETERS Serge</v>
      </c>
      <c r="R1254">
        <v>86</v>
      </c>
      <c r="S1254" t="s">
        <v>44</v>
      </c>
      <c r="T1254">
        <v>0</v>
      </c>
      <c r="V1254">
        <v>13</v>
      </c>
      <c r="W1254">
        <v>86</v>
      </c>
      <c r="X1254">
        <v>0</v>
      </c>
    </row>
    <row r="1255" spans="1:24" x14ac:dyDescent="0.35">
      <c r="A1255" t="s">
        <v>8</v>
      </c>
      <c r="B1255" t="s">
        <v>9</v>
      </c>
      <c r="C1255" t="str">
        <f t="shared" si="177"/>
        <v>11282</v>
      </c>
      <c r="D1255" t="s">
        <v>17</v>
      </c>
      <c r="E1255" t="str">
        <f t="shared" si="174"/>
        <v>25</v>
      </c>
      <c r="F1255">
        <v>29016</v>
      </c>
      <c r="G1255">
        <v>25938</v>
      </c>
      <c r="H1255">
        <v>1090</v>
      </c>
      <c r="I1255" t="str">
        <f t="shared" si="178"/>
        <v>5</v>
      </c>
      <c r="J1255" t="str">
        <f t="shared" si="179"/>
        <v>VLAAMS BELANG</v>
      </c>
      <c r="K1255">
        <v>1347</v>
      </c>
      <c r="L1255">
        <v>2916</v>
      </c>
      <c r="M1255">
        <v>4263</v>
      </c>
      <c r="N1255">
        <v>3411</v>
      </c>
      <c r="O1255">
        <v>4</v>
      </c>
      <c r="P1255" t="str">
        <f>("13")</f>
        <v>13</v>
      </c>
      <c r="Q1255" t="str">
        <f>("THIENAERT Jean")</f>
        <v>THIENAERT Jean</v>
      </c>
      <c r="R1255">
        <v>141</v>
      </c>
      <c r="S1255" t="s">
        <v>44</v>
      </c>
      <c r="T1255">
        <v>0</v>
      </c>
      <c r="V1255">
        <v>4</v>
      </c>
      <c r="W1255">
        <v>141</v>
      </c>
      <c r="X1255">
        <v>0</v>
      </c>
    </row>
    <row r="1256" spans="1:24" x14ac:dyDescent="0.35">
      <c r="A1256" t="s">
        <v>8</v>
      </c>
      <c r="B1256" t="s">
        <v>9</v>
      </c>
      <c r="C1256" t="str">
        <f t="shared" si="177"/>
        <v>11282</v>
      </c>
      <c r="D1256" t="s">
        <v>17</v>
      </c>
      <c r="E1256" t="str">
        <f t="shared" si="174"/>
        <v>25</v>
      </c>
      <c r="F1256">
        <v>29016</v>
      </c>
      <c r="G1256">
        <v>25938</v>
      </c>
      <c r="H1256">
        <v>1090</v>
      </c>
      <c r="I1256" t="str">
        <f t="shared" si="178"/>
        <v>5</v>
      </c>
      <c r="J1256" t="str">
        <f t="shared" si="179"/>
        <v>VLAAMS BELANG</v>
      </c>
      <c r="K1256">
        <v>1347</v>
      </c>
      <c r="L1256">
        <v>2916</v>
      </c>
      <c r="M1256">
        <v>4263</v>
      </c>
      <c r="N1256">
        <v>3411</v>
      </c>
      <c r="O1256">
        <v>4</v>
      </c>
      <c r="P1256" t="str">
        <f>("14")</f>
        <v>14</v>
      </c>
      <c r="Q1256" t="str">
        <f>("JOACIM Mieke")</f>
        <v>JOACIM Mieke</v>
      </c>
      <c r="R1256">
        <v>122</v>
      </c>
      <c r="S1256" t="s">
        <v>44</v>
      </c>
      <c r="T1256">
        <v>0</v>
      </c>
      <c r="V1256">
        <v>5</v>
      </c>
      <c r="W1256">
        <v>122</v>
      </c>
      <c r="X1256">
        <v>0</v>
      </c>
    </row>
    <row r="1257" spans="1:24" x14ac:dyDescent="0.35">
      <c r="A1257" t="s">
        <v>8</v>
      </c>
      <c r="B1257" t="s">
        <v>9</v>
      </c>
      <c r="C1257" t="str">
        <f t="shared" si="177"/>
        <v>11282</v>
      </c>
      <c r="D1257" t="s">
        <v>17</v>
      </c>
      <c r="E1257" t="str">
        <f t="shared" si="174"/>
        <v>25</v>
      </c>
      <c r="F1257">
        <v>29016</v>
      </c>
      <c r="G1257">
        <v>25938</v>
      </c>
      <c r="H1257">
        <v>1090</v>
      </c>
      <c r="I1257" t="str">
        <f t="shared" si="178"/>
        <v>5</v>
      </c>
      <c r="J1257" t="str">
        <f t="shared" si="179"/>
        <v>VLAAMS BELANG</v>
      </c>
      <c r="K1257">
        <v>1347</v>
      </c>
      <c r="L1257">
        <v>2916</v>
      </c>
      <c r="M1257">
        <v>4263</v>
      </c>
      <c r="N1257">
        <v>3411</v>
      </c>
      <c r="O1257">
        <v>4</v>
      </c>
      <c r="P1257" t="str">
        <f>("15")</f>
        <v>15</v>
      </c>
      <c r="Q1257" t="str">
        <f>("DE BACKER Dave")</f>
        <v>DE BACKER Dave</v>
      </c>
      <c r="R1257">
        <v>205</v>
      </c>
      <c r="S1257">
        <v>205</v>
      </c>
      <c r="T1257">
        <v>0</v>
      </c>
      <c r="U1257">
        <v>4</v>
      </c>
    </row>
    <row r="1258" spans="1:24" x14ac:dyDescent="0.35">
      <c r="A1258" t="s">
        <v>8</v>
      </c>
      <c r="B1258" t="s">
        <v>9</v>
      </c>
      <c r="C1258" t="str">
        <f t="shared" si="177"/>
        <v>11282</v>
      </c>
      <c r="D1258" t="s">
        <v>17</v>
      </c>
      <c r="E1258" t="str">
        <f t="shared" si="174"/>
        <v>25</v>
      </c>
      <c r="F1258">
        <v>29016</v>
      </c>
      <c r="G1258">
        <v>25938</v>
      </c>
      <c r="H1258">
        <v>1090</v>
      </c>
      <c r="I1258" t="str">
        <f t="shared" si="178"/>
        <v>5</v>
      </c>
      <c r="J1258" t="str">
        <f t="shared" si="179"/>
        <v>VLAAMS BELANG</v>
      </c>
      <c r="K1258">
        <v>1347</v>
      </c>
      <c r="L1258">
        <v>2916</v>
      </c>
      <c r="M1258">
        <v>4263</v>
      </c>
      <c r="N1258">
        <v>3411</v>
      </c>
      <c r="O1258">
        <v>4</v>
      </c>
      <c r="P1258" t="str">
        <f>("16")</f>
        <v>16</v>
      </c>
      <c r="Q1258" t="str">
        <f>("LUYCKX Yolanda")</f>
        <v>LUYCKX Yolanda</v>
      </c>
      <c r="R1258">
        <v>83</v>
      </c>
      <c r="S1258" t="s">
        <v>44</v>
      </c>
      <c r="T1258">
        <v>0</v>
      </c>
      <c r="V1258">
        <v>14</v>
      </c>
      <c r="W1258">
        <v>83</v>
      </c>
      <c r="X1258">
        <v>0</v>
      </c>
    </row>
    <row r="1259" spans="1:24" x14ac:dyDescent="0.35">
      <c r="A1259" t="s">
        <v>8</v>
      </c>
      <c r="B1259" t="s">
        <v>9</v>
      </c>
      <c r="C1259" t="str">
        <f t="shared" si="177"/>
        <v>11282</v>
      </c>
      <c r="D1259" t="s">
        <v>17</v>
      </c>
      <c r="E1259" t="str">
        <f t="shared" si="174"/>
        <v>25</v>
      </c>
      <c r="F1259">
        <v>29016</v>
      </c>
      <c r="G1259">
        <v>25938</v>
      </c>
      <c r="H1259">
        <v>1090</v>
      </c>
      <c r="I1259" t="str">
        <f t="shared" si="178"/>
        <v>5</v>
      </c>
      <c r="J1259" t="str">
        <f t="shared" si="179"/>
        <v>VLAAMS BELANG</v>
      </c>
      <c r="K1259">
        <v>1347</v>
      </c>
      <c r="L1259">
        <v>2916</v>
      </c>
      <c r="M1259">
        <v>4263</v>
      </c>
      <c r="N1259">
        <v>3411</v>
      </c>
      <c r="O1259">
        <v>4</v>
      </c>
      <c r="P1259" t="str">
        <f>("17")</f>
        <v>17</v>
      </c>
      <c r="Q1259" t="str">
        <f>("VAN HORENBEECK Ludo")</f>
        <v>VAN HORENBEECK Ludo</v>
      </c>
      <c r="R1259">
        <v>75</v>
      </c>
      <c r="S1259" t="s">
        <v>44</v>
      </c>
      <c r="T1259">
        <v>0</v>
      </c>
      <c r="V1259">
        <v>17</v>
      </c>
      <c r="W1259">
        <v>75</v>
      </c>
      <c r="X1259">
        <v>0</v>
      </c>
    </row>
    <row r="1260" spans="1:24" x14ac:dyDescent="0.35">
      <c r="A1260" t="s">
        <v>8</v>
      </c>
      <c r="B1260" t="s">
        <v>9</v>
      </c>
      <c r="C1260" t="str">
        <f t="shared" si="177"/>
        <v>11282</v>
      </c>
      <c r="D1260" t="s">
        <v>17</v>
      </c>
      <c r="E1260" t="str">
        <f t="shared" si="174"/>
        <v>25</v>
      </c>
      <c r="F1260">
        <v>29016</v>
      </c>
      <c r="G1260">
        <v>25938</v>
      </c>
      <c r="H1260">
        <v>1090</v>
      </c>
      <c r="I1260" t="str">
        <f t="shared" si="178"/>
        <v>5</v>
      </c>
      <c r="J1260" t="str">
        <f t="shared" si="179"/>
        <v>VLAAMS BELANG</v>
      </c>
      <c r="K1260">
        <v>1347</v>
      </c>
      <c r="L1260">
        <v>2916</v>
      </c>
      <c r="M1260">
        <v>4263</v>
      </c>
      <c r="N1260">
        <v>3411</v>
      </c>
      <c r="O1260">
        <v>4</v>
      </c>
      <c r="P1260" t="str">
        <f>("18")</f>
        <v>18</v>
      </c>
      <c r="Q1260" t="str">
        <f>("DE DECKERS Christiane")</f>
        <v>DE DECKERS Christiane</v>
      </c>
      <c r="R1260">
        <v>82</v>
      </c>
      <c r="S1260" t="s">
        <v>44</v>
      </c>
      <c r="T1260">
        <v>0</v>
      </c>
      <c r="V1260">
        <v>15</v>
      </c>
      <c r="W1260">
        <v>82</v>
      </c>
      <c r="X1260">
        <v>0</v>
      </c>
    </row>
    <row r="1261" spans="1:24" x14ac:dyDescent="0.35">
      <c r="A1261" t="s">
        <v>8</v>
      </c>
      <c r="B1261" t="s">
        <v>9</v>
      </c>
      <c r="C1261" t="str">
        <f t="shared" si="177"/>
        <v>11282</v>
      </c>
      <c r="D1261" t="s">
        <v>17</v>
      </c>
      <c r="E1261" t="str">
        <f t="shared" si="174"/>
        <v>25</v>
      </c>
      <c r="F1261">
        <v>29016</v>
      </c>
      <c r="G1261">
        <v>25938</v>
      </c>
      <c r="H1261">
        <v>1090</v>
      </c>
      <c r="I1261" t="str">
        <f t="shared" si="178"/>
        <v>5</v>
      </c>
      <c r="J1261" t="str">
        <f t="shared" si="179"/>
        <v>VLAAMS BELANG</v>
      </c>
      <c r="K1261">
        <v>1347</v>
      </c>
      <c r="L1261">
        <v>2916</v>
      </c>
      <c r="M1261">
        <v>4263</v>
      </c>
      <c r="N1261">
        <v>3411</v>
      </c>
      <c r="O1261">
        <v>4</v>
      </c>
      <c r="P1261" t="str">
        <f>("19")</f>
        <v>19</v>
      </c>
      <c r="Q1261" t="str">
        <f>("SAEN Eric")</f>
        <v>SAEN Eric</v>
      </c>
      <c r="R1261">
        <v>55</v>
      </c>
      <c r="S1261" t="s">
        <v>44</v>
      </c>
      <c r="T1261">
        <v>0</v>
      </c>
      <c r="V1261">
        <v>20</v>
      </c>
      <c r="W1261">
        <v>55</v>
      </c>
      <c r="X1261">
        <v>0</v>
      </c>
    </row>
    <row r="1262" spans="1:24" x14ac:dyDescent="0.35">
      <c r="A1262" t="s">
        <v>8</v>
      </c>
      <c r="B1262" t="s">
        <v>9</v>
      </c>
      <c r="C1262" t="str">
        <f t="shared" si="177"/>
        <v>11282</v>
      </c>
      <c r="D1262" t="s">
        <v>17</v>
      </c>
      <c r="E1262" t="str">
        <f t="shared" si="174"/>
        <v>25</v>
      </c>
      <c r="F1262">
        <v>29016</v>
      </c>
      <c r="G1262">
        <v>25938</v>
      </c>
      <c r="H1262">
        <v>1090</v>
      </c>
      <c r="I1262" t="str">
        <f t="shared" si="178"/>
        <v>5</v>
      </c>
      <c r="J1262" t="str">
        <f t="shared" si="179"/>
        <v>VLAAMS BELANG</v>
      </c>
      <c r="K1262">
        <v>1347</v>
      </c>
      <c r="L1262">
        <v>2916</v>
      </c>
      <c r="M1262">
        <v>4263</v>
      </c>
      <c r="N1262">
        <v>3411</v>
      </c>
      <c r="O1262">
        <v>4</v>
      </c>
      <c r="P1262" t="str">
        <f>("20")</f>
        <v>20</v>
      </c>
      <c r="Q1262" t="str">
        <f>("VAN MEIR Magda")</f>
        <v>VAN MEIR Magda</v>
      </c>
      <c r="R1262">
        <v>81</v>
      </c>
      <c r="S1262" t="s">
        <v>44</v>
      </c>
      <c r="T1262">
        <v>0</v>
      </c>
      <c r="V1262">
        <v>16</v>
      </c>
      <c r="W1262">
        <v>81</v>
      </c>
      <c r="X1262">
        <v>0</v>
      </c>
    </row>
    <row r="1263" spans="1:24" x14ac:dyDescent="0.35">
      <c r="A1263" t="s">
        <v>8</v>
      </c>
      <c r="B1263" t="s">
        <v>9</v>
      </c>
      <c r="C1263" t="str">
        <f t="shared" si="177"/>
        <v>11282</v>
      </c>
      <c r="D1263" t="s">
        <v>17</v>
      </c>
      <c r="E1263" t="str">
        <f t="shared" si="174"/>
        <v>25</v>
      </c>
      <c r="F1263">
        <v>29016</v>
      </c>
      <c r="G1263">
        <v>25938</v>
      </c>
      <c r="H1263">
        <v>1090</v>
      </c>
      <c r="I1263" t="str">
        <f t="shared" si="178"/>
        <v>5</v>
      </c>
      <c r="J1263" t="str">
        <f t="shared" si="179"/>
        <v>VLAAMS BELANG</v>
      </c>
      <c r="K1263">
        <v>1347</v>
      </c>
      <c r="L1263">
        <v>2916</v>
      </c>
      <c r="M1263">
        <v>4263</v>
      </c>
      <c r="N1263">
        <v>3411</v>
      </c>
      <c r="O1263">
        <v>4</v>
      </c>
      <c r="P1263" t="str">
        <f>("21")</f>
        <v>21</v>
      </c>
      <c r="Q1263" t="str">
        <f>("KIRALY Istvan")</f>
        <v>KIRALY Istvan</v>
      </c>
      <c r="R1263">
        <v>51</v>
      </c>
      <c r="S1263" t="s">
        <v>44</v>
      </c>
      <c r="T1263">
        <v>0</v>
      </c>
      <c r="V1263">
        <v>21</v>
      </c>
      <c r="W1263">
        <v>51</v>
      </c>
      <c r="X1263">
        <v>0</v>
      </c>
    </row>
    <row r="1264" spans="1:24" x14ac:dyDescent="0.35">
      <c r="A1264" t="s">
        <v>8</v>
      </c>
      <c r="B1264" t="s">
        <v>9</v>
      </c>
      <c r="C1264" t="str">
        <f t="shared" si="177"/>
        <v>11282</v>
      </c>
      <c r="D1264" t="s">
        <v>17</v>
      </c>
      <c r="E1264" t="str">
        <f t="shared" si="174"/>
        <v>25</v>
      </c>
      <c r="F1264">
        <v>29016</v>
      </c>
      <c r="G1264">
        <v>25938</v>
      </c>
      <c r="H1264">
        <v>1090</v>
      </c>
      <c r="I1264" t="str">
        <f t="shared" si="178"/>
        <v>5</v>
      </c>
      <c r="J1264" t="str">
        <f t="shared" si="179"/>
        <v>VLAAMS BELANG</v>
      </c>
      <c r="K1264">
        <v>1347</v>
      </c>
      <c r="L1264">
        <v>2916</v>
      </c>
      <c r="M1264">
        <v>4263</v>
      </c>
      <c r="N1264">
        <v>3411</v>
      </c>
      <c r="O1264">
        <v>4</v>
      </c>
      <c r="P1264" t="str">
        <f>("22")</f>
        <v>22</v>
      </c>
      <c r="Q1264" t="str">
        <f>("VERREIJT Wendy")</f>
        <v>VERREIJT Wendy</v>
      </c>
      <c r="R1264">
        <v>98</v>
      </c>
      <c r="S1264" t="s">
        <v>44</v>
      </c>
      <c r="T1264">
        <v>0</v>
      </c>
      <c r="V1264">
        <v>9</v>
      </c>
      <c r="W1264">
        <v>98</v>
      </c>
      <c r="X1264">
        <v>0</v>
      </c>
    </row>
    <row r="1265" spans="1:24" x14ac:dyDescent="0.35">
      <c r="A1265" t="s">
        <v>8</v>
      </c>
      <c r="B1265" t="s">
        <v>9</v>
      </c>
      <c r="C1265" t="str">
        <f t="shared" si="177"/>
        <v>11282</v>
      </c>
      <c r="D1265" t="s">
        <v>17</v>
      </c>
      <c r="E1265" t="str">
        <f t="shared" si="174"/>
        <v>25</v>
      </c>
      <c r="F1265">
        <v>29016</v>
      </c>
      <c r="G1265">
        <v>25938</v>
      </c>
      <c r="H1265">
        <v>1090</v>
      </c>
      <c r="I1265" t="str">
        <f t="shared" si="178"/>
        <v>5</v>
      </c>
      <c r="J1265" t="str">
        <f t="shared" si="179"/>
        <v>VLAAMS BELANG</v>
      </c>
      <c r="K1265">
        <v>1347</v>
      </c>
      <c r="L1265">
        <v>2916</v>
      </c>
      <c r="M1265">
        <v>4263</v>
      </c>
      <c r="N1265">
        <v>3411</v>
      </c>
      <c r="O1265">
        <v>4</v>
      </c>
      <c r="P1265" t="str">
        <f>("23")</f>
        <v>23</v>
      </c>
      <c r="Q1265" t="str">
        <f>("VALK Jeanneke")</f>
        <v>VALK Jeanneke</v>
      </c>
      <c r="R1265">
        <v>87</v>
      </c>
      <c r="S1265" t="s">
        <v>44</v>
      </c>
      <c r="T1265">
        <v>0</v>
      </c>
      <c r="V1265">
        <v>12</v>
      </c>
      <c r="W1265">
        <v>87</v>
      </c>
      <c r="X1265">
        <v>0</v>
      </c>
    </row>
    <row r="1266" spans="1:24" x14ac:dyDescent="0.35">
      <c r="A1266" t="s">
        <v>8</v>
      </c>
      <c r="B1266" t="s">
        <v>9</v>
      </c>
      <c r="C1266" t="str">
        <f t="shared" si="177"/>
        <v>11282</v>
      </c>
      <c r="D1266" t="s">
        <v>17</v>
      </c>
      <c r="E1266" t="str">
        <f t="shared" si="174"/>
        <v>25</v>
      </c>
      <c r="F1266">
        <v>29016</v>
      </c>
      <c r="G1266">
        <v>25938</v>
      </c>
      <c r="H1266">
        <v>1090</v>
      </c>
      <c r="I1266" t="str">
        <f t="shared" si="178"/>
        <v>5</v>
      </c>
      <c r="J1266" t="str">
        <f t="shared" si="179"/>
        <v>VLAAMS BELANG</v>
      </c>
      <c r="K1266">
        <v>1347</v>
      </c>
      <c r="L1266">
        <v>2916</v>
      </c>
      <c r="M1266">
        <v>4263</v>
      </c>
      <c r="N1266">
        <v>3411</v>
      </c>
      <c r="O1266">
        <v>4</v>
      </c>
      <c r="P1266" t="str">
        <f>("24")</f>
        <v>24</v>
      </c>
      <c r="Q1266" t="str">
        <f>("VAN DER JONCKHEID Yllona")</f>
        <v>VAN DER JONCKHEID Yllona</v>
      </c>
      <c r="R1266">
        <v>88</v>
      </c>
      <c r="S1266" t="s">
        <v>44</v>
      </c>
      <c r="T1266">
        <v>0</v>
      </c>
      <c r="V1266">
        <v>11</v>
      </c>
      <c r="W1266">
        <v>88</v>
      </c>
      <c r="X1266">
        <v>0</v>
      </c>
    </row>
    <row r="1267" spans="1:24" x14ac:dyDescent="0.35">
      <c r="A1267" t="s">
        <v>8</v>
      </c>
      <c r="B1267" t="s">
        <v>9</v>
      </c>
      <c r="C1267" t="str">
        <f t="shared" si="177"/>
        <v>11282</v>
      </c>
      <c r="D1267" t="s">
        <v>17</v>
      </c>
      <c r="E1267" t="str">
        <f t="shared" si="174"/>
        <v>25</v>
      </c>
      <c r="F1267">
        <v>29016</v>
      </c>
      <c r="G1267">
        <v>25938</v>
      </c>
      <c r="H1267">
        <v>1090</v>
      </c>
      <c r="I1267" t="str">
        <f t="shared" si="178"/>
        <v>5</v>
      </c>
      <c r="J1267" t="str">
        <f t="shared" si="179"/>
        <v>VLAAMS BELANG</v>
      </c>
      <c r="K1267">
        <v>1347</v>
      </c>
      <c r="L1267">
        <v>2916</v>
      </c>
      <c r="M1267">
        <v>4263</v>
      </c>
      <c r="N1267">
        <v>3411</v>
      </c>
      <c r="O1267">
        <v>4</v>
      </c>
      <c r="P1267" t="str">
        <f>("25")</f>
        <v>25</v>
      </c>
      <c r="Q1267" t="str">
        <f>("HULSTAERT Bob")</f>
        <v>HULSTAERT Bob</v>
      </c>
      <c r="R1267">
        <v>149</v>
      </c>
      <c r="S1267" t="s">
        <v>44</v>
      </c>
      <c r="T1267">
        <v>0</v>
      </c>
      <c r="V1267">
        <v>3</v>
      </c>
      <c r="W1267">
        <v>149</v>
      </c>
      <c r="X1267">
        <v>0</v>
      </c>
    </row>
    <row r="1268" spans="1:24" x14ac:dyDescent="0.35">
      <c r="A1268" t="s">
        <v>8</v>
      </c>
      <c r="B1268" t="s">
        <v>9</v>
      </c>
      <c r="C1268" t="str">
        <f t="shared" si="177"/>
        <v>11282</v>
      </c>
      <c r="D1268" t="s">
        <v>17</v>
      </c>
      <c r="E1268" t="str">
        <f t="shared" si="174"/>
        <v>25</v>
      </c>
      <c r="F1268">
        <v>29016</v>
      </c>
      <c r="G1268">
        <v>25938</v>
      </c>
      <c r="H1268">
        <v>1090</v>
      </c>
      <c r="I1268" t="str">
        <f t="shared" ref="I1268:I1292" si="180">("6")</f>
        <v>6</v>
      </c>
      <c r="J1268" t="str">
        <f t="shared" ref="J1268:J1292" si="181">("Open Vld")</f>
        <v>Open Vld</v>
      </c>
      <c r="K1268">
        <v>332</v>
      </c>
      <c r="L1268">
        <v>632</v>
      </c>
      <c r="M1268">
        <v>964</v>
      </c>
      <c r="N1268">
        <v>482</v>
      </c>
      <c r="O1268">
        <v>1</v>
      </c>
      <c r="P1268" t="str">
        <f>("1")</f>
        <v>1</v>
      </c>
      <c r="Q1268" t="str">
        <f>("DE MOL Bavo")</f>
        <v>DE MOL Bavo</v>
      </c>
      <c r="R1268">
        <v>254</v>
      </c>
      <c r="S1268">
        <v>365</v>
      </c>
      <c r="T1268">
        <v>0</v>
      </c>
      <c r="U1268">
        <v>1</v>
      </c>
    </row>
    <row r="1269" spans="1:24" x14ac:dyDescent="0.35">
      <c r="A1269" t="s">
        <v>8</v>
      </c>
      <c r="B1269" t="s">
        <v>9</v>
      </c>
      <c r="C1269" t="str">
        <f t="shared" si="177"/>
        <v>11282</v>
      </c>
      <c r="D1269" t="s">
        <v>17</v>
      </c>
      <c r="E1269" t="str">
        <f t="shared" si="174"/>
        <v>25</v>
      </c>
      <c r="F1269">
        <v>29016</v>
      </c>
      <c r="G1269">
        <v>25938</v>
      </c>
      <c r="H1269">
        <v>1090</v>
      </c>
      <c r="I1269" t="str">
        <f t="shared" si="180"/>
        <v>6</v>
      </c>
      <c r="J1269" t="str">
        <f t="shared" si="181"/>
        <v>Open Vld</v>
      </c>
      <c r="K1269">
        <v>332</v>
      </c>
      <c r="L1269">
        <v>632</v>
      </c>
      <c r="M1269">
        <v>964</v>
      </c>
      <c r="N1269">
        <v>482</v>
      </c>
      <c r="O1269">
        <v>1</v>
      </c>
      <c r="P1269" t="str">
        <f>("2")</f>
        <v>2</v>
      </c>
      <c r="Q1269" t="str">
        <f>("VAN MECHELEN Ellen")</f>
        <v>VAN MECHELEN Ellen</v>
      </c>
      <c r="R1269">
        <v>129</v>
      </c>
      <c r="S1269" t="s">
        <v>44</v>
      </c>
      <c r="T1269">
        <v>0</v>
      </c>
      <c r="V1269">
        <v>1</v>
      </c>
      <c r="W1269">
        <v>240</v>
      </c>
      <c r="X1269">
        <v>0</v>
      </c>
    </row>
    <row r="1270" spans="1:24" x14ac:dyDescent="0.35">
      <c r="A1270" t="s">
        <v>8</v>
      </c>
      <c r="B1270" t="s">
        <v>9</v>
      </c>
      <c r="C1270" t="str">
        <f t="shared" si="177"/>
        <v>11282</v>
      </c>
      <c r="D1270" t="s">
        <v>17</v>
      </c>
      <c r="E1270" t="str">
        <f t="shared" si="174"/>
        <v>25</v>
      </c>
      <c r="F1270">
        <v>29016</v>
      </c>
      <c r="G1270">
        <v>25938</v>
      </c>
      <c r="H1270">
        <v>1090</v>
      </c>
      <c r="I1270" t="str">
        <f t="shared" si="180"/>
        <v>6</v>
      </c>
      <c r="J1270" t="str">
        <f t="shared" si="181"/>
        <v>Open Vld</v>
      </c>
      <c r="K1270">
        <v>332</v>
      </c>
      <c r="L1270">
        <v>632</v>
      </c>
      <c r="M1270">
        <v>964</v>
      </c>
      <c r="N1270">
        <v>482</v>
      </c>
      <c r="O1270">
        <v>1</v>
      </c>
      <c r="P1270" t="str">
        <f>("3")</f>
        <v>3</v>
      </c>
      <c r="Q1270" t="str">
        <f>("MEUWIS Bert")</f>
        <v>MEUWIS Bert</v>
      </c>
      <c r="R1270">
        <v>79</v>
      </c>
      <c r="S1270" t="s">
        <v>44</v>
      </c>
      <c r="T1270">
        <v>0</v>
      </c>
      <c r="V1270">
        <v>2</v>
      </c>
      <c r="W1270">
        <v>79</v>
      </c>
      <c r="X1270">
        <v>0</v>
      </c>
    </row>
    <row r="1271" spans="1:24" x14ac:dyDescent="0.35">
      <c r="A1271" t="s">
        <v>8</v>
      </c>
      <c r="B1271" t="s">
        <v>9</v>
      </c>
      <c r="C1271" t="str">
        <f t="shared" ref="C1271:C1302" si="182">("11282")</f>
        <v>11282</v>
      </c>
      <c r="D1271" t="s">
        <v>17</v>
      </c>
      <c r="E1271" t="str">
        <f t="shared" ref="E1271:E1334" si="183">("25")</f>
        <v>25</v>
      </c>
      <c r="F1271">
        <v>29016</v>
      </c>
      <c r="G1271">
        <v>25938</v>
      </c>
      <c r="H1271">
        <v>1090</v>
      </c>
      <c r="I1271" t="str">
        <f t="shared" si="180"/>
        <v>6</v>
      </c>
      <c r="J1271" t="str">
        <f t="shared" si="181"/>
        <v>Open Vld</v>
      </c>
      <c r="K1271">
        <v>332</v>
      </c>
      <c r="L1271">
        <v>632</v>
      </c>
      <c r="M1271">
        <v>964</v>
      </c>
      <c r="N1271">
        <v>482</v>
      </c>
      <c r="O1271">
        <v>1</v>
      </c>
      <c r="P1271" t="str">
        <f>("4")</f>
        <v>4</v>
      </c>
      <c r="Q1271" t="str">
        <f>("JANSSENS Dries")</f>
        <v>JANSSENS Dries</v>
      </c>
      <c r="R1271">
        <v>71</v>
      </c>
      <c r="S1271" t="s">
        <v>44</v>
      </c>
      <c r="T1271">
        <v>0</v>
      </c>
      <c r="V1271">
        <v>3</v>
      </c>
      <c r="W1271">
        <v>71</v>
      </c>
      <c r="X1271">
        <v>0</v>
      </c>
    </row>
    <row r="1272" spans="1:24" x14ac:dyDescent="0.35">
      <c r="A1272" t="s">
        <v>8</v>
      </c>
      <c r="B1272" t="s">
        <v>9</v>
      </c>
      <c r="C1272" t="str">
        <f t="shared" si="182"/>
        <v>11282</v>
      </c>
      <c r="D1272" t="s">
        <v>17</v>
      </c>
      <c r="E1272" t="str">
        <f t="shared" si="183"/>
        <v>25</v>
      </c>
      <c r="F1272">
        <v>29016</v>
      </c>
      <c r="G1272">
        <v>25938</v>
      </c>
      <c r="H1272">
        <v>1090</v>
      </c>
      <c r="I1272" t="str">
        <f t="shared" si="180"/>
        <v>6</v>
      </c>
      <c r="J1272" t="str">
        <f t="shared" si="181"/>
        <v>Open Vld</v>
      </c>
      <c r="K1272">
        <v>332</v>
      </c>
      <c r="L1272">
        <v>632</v>
      </c>
      <c r="M1272">
        <v>964</v>
      </c>
      <c r="N1272">
        <v>482</v>
      </c>
      <c r="O1272">
        <v>1</v>
      </c>
      <c r="P1272" t="str">
        <f>("5")</f>
        <v>5</v>
      </c>
      <c r="Q1272" t="str">
        <f>("EL BAABOUCHI Kim")</f>
        <v>EL BAABOUCHI Kim</v>
      </c>
      <c r="R1272">
        <v>48</v>
      </c>
      <c r="S1272" t="s">
        <v>44</v>
      </c>
      <c r="T1272">
        <v>0</v>
      </c>
      <c r="V1272">
        <v>4</v>
      </c>
      <c r="W1272">
        <v>48</v>
      </c>
      <c r="X1272">
        <v>0</v>
      </c>
    </row>
    <row r="1273" spans="1:24" x14ac:dyDescent="0.35">
      <c r="A1273" t="s">
        <v>8</v>
      </c>
      <c r="B1273" t="s">
        <v>9</v>
      </c>
      <c r="C1273" t="str">
        <f t="shared" si="182"/>
        <v>11282</v>
      </c>
      <c r="D1273" t="s">
        <v>17</v>
      </c>
      <c r="E1273" t="str">
        <f t="shared" si="183"/>
        <v>25</v>
      </c>
      <c r="F1273">
        <v>29016</v>
      </c>
      <c r="G1273">
        <v>25938</v>
      </c>
      <c r="H1273">
        <v>1090</v>
      </c>
      <c r="I1273" t="str">
        <f t="shared" si="180"/>
        <v>6</v>
      </c>
      <c r="J1273" t="str">
        <f t="shared" si="181"/>
        <v>Open Vld</v>
      </c>
      <c r="K1273">
        <v>332</v>
      </c>
      <c r="L1273">
        <v>632</v>
      </c>
      <c r="M1273">
        <v>964</v>
      </c>
      <c r="N1273">
        <v>482</v>
      </c>
      <c r="O1273">
        <v>1</v>
      </c>
      <c r="P1273" t="str">
        <f>("6")</f>
        <v>6</v>
      </c>
      <c r="Q1273" t="str">
        <f>("VAN DEN WYNGAERT Geert")</f>
        <v>VAN DEN WYNGAERT Geert</v>
      </c>
      <c r="R1273">
        <v>40</v>
      </c>
      <c r="S1273" t="s">
        <v>44</v>
      </c>
      <c r="T1273">
        <v>0</v>
      </c>
      <c r="V1273">
        <v>5</v>
      </c>
      <c r="W1273">
        <v>40</v>
      </c>
      <c r="X1273">
        <v>0</v>
      </c>
    </row>
    <row r="1274" spans="1:24" x14ac:dyDescent="0.35">
      <c r="A1274" t="s">
        <v>8</v>
      </c>
      <c r="B1274" t="s">
        <v>9</v>
      </c>
      <c r="C1274" t="str">
        <f t="shared" si="182"/>
        <v>11282</v>
      </c>
      <c r="D1274" t="s">
        <v>17</v>
      </c>
      <c r="E1274" t="str">
        <f t="shared" si="183"/>
        <v>25</v>
      </c>
      <c r="F1274">
        <v>29016</v>
      </c>
      <c r="G1274">
        <v>25938</v>
      </c>
      <c r="H1274">
        <v>1090</v>
      </c>
      <c r="I1274" t="str">
        <f t="shared" si="180"/>
        <v>6</v>
      </c>
      <c r="J1274" t="str">
        <f t="shared" si="181"/>
        <v>Open Vld</v>
      </c>
      <c r="K1274">
        <v>332</v>
      </c>
      <c r="L1274">
        <v>632</v>
      </c>
      <c r="M1274">
        <v>964</v>
      </c>
      <c r="N1274">
        <v>482</v>
      </c>
      <c r="O1274">
        <v>1</v>
      </c>
      <c r="P1274" t="str">
        <f>("7")</f>
        <v>7</v>
      </c>
      <c r="Q1274" t="str">
        <f>("GEENTJENS Marco")</f>
        <v>GEENTJENS Marco</v>
      </c>
      <c r="R1274">
        <v>22</v>
      </c>
      <c r="S1274" t="s">
        <v>44</v>
      </c>
      <c r="T1274">
        <v>0</v>
      </c>
      <c r="V1274">
        <v>12</v>
      </c>
      <c r="W1274">
        <v>22</v>
      </c>
      <c r="X1274">
        <v>0</v>
      </c>
    </row>
    <row r="1275" spans="1:24" x14ac:dyDescent="0.35">
      <c r="A1275" t="s">
        <v>8</v>
      </c>
      <c r="B1275" t="s">
        <v>9</v>
      </c>
      <c r="C1275" t="str">
        <f t="shared" si="182"/>
        <v>11282</v>
      </c>
      <c r="D1275" t="s">
        <v>17</v>
      </c>
      <c r="E1275" t="str">
        <f t="shared" si="183"/>
        <v>25</v>
      </c>
      <c r="F1275">
        <v>29016</v>
      </c>
      <c r="G1275">
        <v>25938</v>
      </c>
      <c r="H1275">
        <v>1090</v>
      </c>
      <c r="I1275" t="str">
        <f t="shared" si="180"/>
        <v>6</v>
      </c>
      <c r="J1275" t="str">
        <f t="shared" si="181"/>
        <v>Open Vld</v>
      </c>
      <c r="K1275">
        <v>332</v>
      </c>
      <c r="L1275">
        <v>632</v>
      </c>
      <c r="M1275">
        <v>964</v>
      </c>
      <c r="N1275">
        <v>482</v>
      </c>
      <c r="O1275">
        <v>1</v>
      </c>
      <c r="P1275" t="str">
        <f>("8")</f>
        <v>8</v>
      </c>
      <c r="Q1275" t="str">
        <f>("VAN GOETHEM Karin")</f>
        <v>VAN GOETHEM Karin</v>
      </c>
      <c r="R1275">
        <v>25</v>
      </c>
      <c r="S1275" t="s">
        <v>44</v>
      </c>
      <c r="T1275">
        <v>0</v>
      </c>
      <c r="V1275">
        <v>9</v>
      </c>
      <c r="W1275">
        <v>25</v>
      </c>
      <c r="X1275">
        <v>0</v>
      </c>
    </row>
    <row r="1276" spans="1:24" x14ac:dyDescent="0.35">
      <c r="A1276" t="s">
        <v>8</v>
      </c>
      <c r="B1276" t="s">
        <v>9</v>
      </c>
      <c r="C1276" t="str">
        <f t="shared" si="182"/>
        <v>11282</v>
      </c>
      <c r="D1276" t="s">
        <v>17</v>
      </c>
      <c r="E1276" t="str">
        <f t="shared" si="183"/>
        <v>25</v>
      </c>
      <c r="F1276">
        <v>29016</v>
      </c>
      <c r="G1276">
        <v>25938</v>
      </c>
      <c r="H1276">
        <v>1090</v>
      </c>
      <c r="I1276" t="str">
        <f t="shared" si="180"/>
        <v>6</v>
      </c>
      <c r="J1276" t="str">
        <f t="shared" si="181"/>
        <v>Open Vld</v>
      </c>
      <c r="K1276">
        <v>332</v>
      </c>
      <c r="L1276">
        <v>632</v>
      </c>
      <c r="M1276">
        <v>964</v>
      </c>
      <c r="N1276">
        <v>482</v>
      </c>
      <c r="O1276">
        <v>1</v>
      </c>
      <c r="P1276" t="str">
        <f>("9")</f>
        <v>9</v>
      </c>
      <c r="Q1276" t="str">
        <f>("ROSENBAUM Serge")</f>
        <v>ROSENBAUM Serge</v>
      </c>
      <c r="R1276">
        <v>18</v>
      </c>
      <c r="S1276" t="s">
        <v>44</v>
      </c>
      <c r="T1276">
        <v>0</v>
      </c>
      <c r="V1276">
        <v>18</v>
      </c>
      <c r="W1276">
        <v>18</v>
      </c>
      <c r="X1276">
        <v>0</v>
      </c>
    </row>
    <row r="1277" spans="1:24" x14ac:dyDescent="0.35">
      <c r="A1277" t="s">
        <v>8</v>
      </c>
      <c r="B1277" t="s">
        <v>9</v>
      </c>
      <c r="C1277" t="str">
        <f t="shared" si="182"/>
        <v>11282</v>
      </c>
      <c r="D1277" t="s">
        <v>17</v>
      </c>
      <c r="E1277" t="str">
        <f t="shared" si="183"/>
        <v>25</v>
      </c>
      <c r="F1277">
        <v>29016</v>
      </c>
      <c r="G1277">
        <v>25938</v>
      </c>
      <c r="H1277">
        <v>1090</v>
      </c>
      <c r="I1277" t="str">
        <f t="shared" si="180"/>
        <v>6</v>
      </c>
      <c r="J1277" t="str">
        <f t="shared" si="181"/>
        <v>Open Vld</v>
      </c>
      <c r="K1277">
        <v>332</v>
      </c>
      <c r="L1277">
        <v>632</v>
      </c>
      <c r="M1277">
        <v>964</v>
      </c>
      <c r="N1277">
        <v>482</v>
      </c>
      <c r="O1277">
        <v>1</v>
      </c>
      <c r="P1277" t="str">
        <f>("10")</f>
        <v>10</v>
      </c>
      <c r="Q1277" t="str">
        <f>("VAN DOORSLAER Lien")</f>
        <v>VAN DOORSLAER Lien</v>
      </c>
      <c r="R1277">
        <v>21</v>
      </c>
      <c r="S1277" t="s">
        <v>44</v>
      </c>
      <c r="T1277">
        <v>0</v>
      </c>
      <c r="V1277">
        <v>13</v>
      </c>
      <c r="W1277">
        <v>21</v>
      </c>
      <c r="X1277">
        <v>0</v>
      </c>
    </row>
    <row r="1278" spans="1:24" x14ac:dyDescent="0.35">
      <c r="A1278" t="s">
        <v>8</v>
      </c>
      <c r="B1278" t="s">
        <v>9</v>
      </c>
      <c r="C1278" t="str">
        <f t="shared" si="182"/>
        <v>11282</v>
      </c>
      <c r="D1278" t="s">
        <v>17</v>
      </c>
      <c r="E1278" t="str">
        <f t="shared" si="183"/>
        <v>25</v>
      </c>
      <c r="F1278">
        <v>29016</v>
      </c>
      <c r="G1278">
        <v>25938</v>
      </c>
      <c r="H1278">
        <v>1090</v>
      </c>
      <c r="I1278" t="str">
        <f t="shared" si="180"/>
        <v>6</v>
      </c>
      <c r="J1278" t="str">
        <f t="shared" si="181"/>
        <v>Open Vld</v>
      </c>
      <c r="K1278">
        <v>332</v>
      </c>
      <c r="L1278">
        <v>632</v>
      </c>
      <c r="M1278">
        <v>964</v>
      </c>
      <c r="N1278">
        <v>482</v>
      </c>
      <c r="O1278">
        <v>1</v>
      </c>
      <c r="P1278" t="str">
        <f>("11")</f>
        <v>11</v>
      </c>
      <c r="Q1278" t="str">
        <f>("VERPOORTEN Kelly")</f>
        <v>VERPOORTEN Kelly</v>
      </c>
      <c r="R1278">
        <v>24</v>
      </c>
      <c r="S1278" t="s">
        <v>44</v>
      </c>
      <c r="T1278">
        <v>0</v>
      </c>
      <c r="V1278">
        <v>11</v>
      </c>
      <c r="W1278">
        <v>24</v>
      </c>
      <c r="X1278">
        <v>0</v>
      </c>
    </row>
    <row r="1279" spans="1:24" x14ac:dyDescent="0.35">
      <c r="A1279" t="s">
        <v>8</v>
      </c>
      <c r="B1279" t="s">
        <v>9</v>
      </c>
      <c r="C1279" t="str">
        <f t="shared" si="182"/>
        <v>11282</v>
      </c>
      <c r="D1279" t="s">
        <v>17</v>
      </c>
      <c r="E1279" t="str">
        <f t="shared" si="183"/>
        <v>25</v>
      </c>
      <c r="F1279">
        <v>29016</v>
      </c>
      <c r="G1279">
        <v>25938</v>
      </c>
      <c r="H1279">
        <v>1090</v>
      </c>
      <c r="I1279" t="str">
        <f t="shared" si="180"/>
        <v>6</v>
      </c>
      <c r="J1279" t="str">
        <f t="shared" si="181"/>
        <v>Open Vld</v>
      </c>
      <c r="K1279">
        <v>332</v>
      </c>
      <c r="L1279">
        <v>632</v>
      </c>
      <c r="M1279">
        <v>964</v>
      </c>
      <c r="N1279">
        <v>482</v>
      </c>
      <c r="O1279">
        <v>1</v>
      </c>
      <c r="P1279" t="str">
        <f>("12")</f>
        <v>12</v>
      </c>
      <c r="Q1279" t="str">
        <f>("BAES Arno")</f>
        <v>BAES Arno</v>
      </c>
      <c r="R1279">
        <v>19</v>
      </c>
      <c r="S1279" t="s">
        <v>44</v>
      </c>
      <c r="T1279">
        <v>0</v>
      </c>
      <c r="V1279">
        <v>16</v>
      </c>
      <c r="W1279">
        <v>19</v>
      </c>
      <c r="X1279">
        <v>0</v>
      </c>
    </row>
    <row r="1280" spans="1:24" x14ac:dyDescent="0.35">
      <c r="A1280" t="s">
        <v>8</v>
      </c>
      <c r="B1280" t="s">
        <v>9</v>
      </c>
      <c r="C1280" t="str">
        <f t="shared" si="182"/>
        <v>11282</v>
      </c>
      <c r="D1280" t="s">
        <v>17</v>
      </c>
      <c r="E1280" t="str">
        <f t="shared" si="183"/>
        <v>25</v>
      </c>
      <c r="F1280">
        <v>29016</v>
      </c>
      <c r="G1280">
        <v>25938</v>
      </c>
      <c r="H1280">
        <v>1090</v>
      </c>
      <c r="I1280" t="str">
        <f t="shared" si="180"/>
        <v>6</v>
      </c>
      <c r="J1280" t="str">
        <f t="shared" si="181"/>
        <v>Open Vld</v>
      </c>
      <c r="K1280">
        <v>332</v>
      </c>
      <c r="L1280">
        <v>632</v>
      </c>
      <c r="M1280">
        <v>964</v>
      </c>
      <c r="N1280">
        <v>482</v>
      </c>
      <c r="O1280">
        <v>1</v>
      </c>
      <c r="P1280" t="str">
        <f>("13")</f>
        <v>13</v>
      </c>
      <c r="Q1280" t="str">
        <f>("ABORAA Stanley")</f>
        <v>ABORAA Stanley</v>
      </c>
      <c r="R1280">
        <v>7</v>
      </c>
      <c r="S1280" t="s">
        <v>44</v>
      </c>
      <c r="T1280">
        <v>0</v>
      </c>
      <c r="V1280">
        <v>23</v>
      </c>
      <c r="W1280">
        <v>7</v>
      </c>
      <c r="X1280">
        <v>0</v>
      </c>
    </row>
    <row r="1281" spans="1:24" x14ac:dyDescent="0.35">
      <c r="A1281" t="s">
        <v>8</v>
      </c>
      <c r="B1281" t="s">
        <v>9</v>
      </c>
      <c r="C1281" t="str">
        <f t="shared" si="182"/>
        <v>11282</v>
      </c>
      <c r="D1281" t="s">
        <v>17</v>
      </c>
      <c r="E1281" t="str">
        <f t="shared" si="183"/>
        <v>25</v>
      </c>
      <c r="F1281">
        <v>29016</v>
      </c>
      <c r="G1281">
        <v>25938</v>
      </c>
      <c r="H1281">
        <v>1090</v>
      </c>
      <c r="I1281" t="str">
        <f t="shared" si="180"/>
        <v>6</v>
      </c>
      <c r="J1281" t="str">
        <f t="shared" si="181"/>
        <v>Open Vld</v>
      </c>
      <c r="K1281">
        <v>332</v>
      </c>
      <c r="L1281">
        <v>632</v>
      </c>
      <c r="M1281">
        <v>964</v>
      </c>
      <c r="N1281">
        <v>482</v>
      </c>
      <c r="O1281">
        <v>1</v>
      </c>
      <c r="P1281" t="str">
        <f>("14")</f>
        <v>14</v>
      </c>
      <c r="Q1281" t="str">
        <f>("BUHITULA MASSALA Veronique")</f>
        <v>BUHITULA MASSALA Veronique</v>
      </c>
      <c r="R1281">
        <v>18</v>
      </c>
      <c r="S1281" t="s">
        <v>44</v>
      </c>
      <c r="T1281">
        <v>0</v>
      </c>
      <c r="V1281">
        <v>19</v>
      </c>
      <c r="W1281">
        <v>18</v>
      </c>
      <c r="X1281">
        <v>0</v>
      </c>
    </row>
    <row r="1282" spans="1:24" x14ac:dyDescent="0.35">
      <c r="A1282" t="s">
        <v>8</v>
      </c>
      <c r="B1282" t="s">
        <v>9</v>
      </c>
      <c r="C1282" t="str">
        <f t="shared" si="182"/>
        <v>11282</v>
      </c>
      <c r="D1282" t="s">
        <v>17</v>
      </c>
      <c r="E1282" t="str">
        <f t="shared" si="183"/>
        <v>25</v>
      </c>
      <c r="F1282">
        <v>29016</v>
      </c>
      <c r="G1282">
        <v>25938</v>
      </c>
      <c r="H1282">
        <v>1090</v>
      </c>
      <c r="I1282" t="str">
        <f t="shared" si="180"/>
        <v>6</v>
      </c>
      <c r="J1282" t="str">
        <f t="shared" si="181"/>
        <v>Open Vld</v>
      </c>
      <c r="K1282">
        <v>332</v>
      </c>
      <c r="L1282">
        <v>632</v>
      </c>
      <c r="M1282">
        <v>964</v>
      </c>
      <c r="N1282">
        <v>482</v>
      </c>
      <c r="O1282">
        <v>1</v>
      </c>
      <c r="P1282" t="str">
        <f>("15")</f>
        <v>15</v>
      </c>
      <c r="Q1282" t="str">
        <f>("RUDZITE Guna")</f>
        <v>RUDZITE Guna</v>
      </c>
      <c r="R1282">
        <v>10</v>
      </c>
      <c r="S1282" t="s">
        <v>44</v>
      </c>
      <c r="T1282">
        <v>0</v>
      </c>
      <c r="V1282">
        <v>22</v>
      </c>
      <c r="W1282">
        <v>10</v>
      </c>
      <c r="X1282">
        <v>0</v>
      </c>
    </row>
    <row r="1283" spans="1:24" x14ac:dyDescent="0.35">
      <c r="A1283" t="s">
        <v>8</v>
      </c>
      <c r="B1283" t="s">
        <v>9</v>
      </c>
      <c r="C1283" t="str">
        <f t="shared" si="182"/>
        <v>11282</v>
      </c>
      <c r="D1283" t="s">
        <v>17</v>
      </c>
      <c r="E1283" t="str">
        <f t="shared" si="183"/>
        <v>25</v>
      </c>
      <c r="F1283">
        <v>29016</v>
      </c>
      <c r="G1283">
        <v>25938</v>
      </c>
      <c r="H1283">
        <v>1090</v>
      </c>
      <c r="I1283" t="str">
        <f t="shared" si="180"/>
        <v>6</v>
      </c>
      <c r="J1283" t="str">
        <f t="shared" si="181"/>
        <v>Open Vld</v>
      </c>
      <c r="K1283">
        <v>332</v>
      </c>
      <c r="L1283">
        <v>632</v>
      </c>
      <c r="M1283">
        <v>964</v>
      </c>
      <c r="N1283">
        <v>482</v>
      </c>
      <c r="O1283">
        <v>1</v>
      </c>
      <c r="P1283" t="str">
        <f>("16")</f>
        <v>16</v>
      </c>
      <c r="Q1283" t="str">
        <f>("PEETERS Monique")</f>
        <v>PEETERS Monique</v>
      </c>
      <c r="R1283">
        <v>21</v>
      </c>
      <c r="S1283" t="s">
        <v>44</v>
      </c>
      <c r="T1283">
        <v>0</v>
      </c>
      <c r="V1283">
        <v>14</v>
      </c>
      <c r="W1283">
        <v>21</v>
      </c>
      <c r="X1283">
        <v>0</v>
      </c>
    </row>
    <row r="1284" spans="1:24" x14ac:dyDescent="0.35">
      <c r="A1284" t="s">
        <v>8</v>
      </c>
      <c r="B1284" t="s">
        <v>9</v>
      </c>
      <c r="C1284" t="str">
        <f t="shared" si="182"/>
        <v>11282</v>
      </c>
      <c r="D1284" t="s">
        <v>17</v>
      </c>
      <c r="E1284" t="str">
        <f t="shared" si="183"/>
        <v>25</v>
      </c>
      <c r="F1284">
        <v>29016</v>
      </c>
      <c r="G1284">
        <v>25938</v>
      </c>
      <c r="H1284">
        <v>1090</v>
      </c>
      <c r="I1284" t="str">
        <f t="shared" si="180"/>
        <v>6</v>
      </c>
      <c r="J1284" t="str">
        <f t="shared" si="181"/>
        <v>Open Vld</v>
      </c>
      <c r="K1284">
        <v>332</v>
      </c>
      <c r="L1284">
        <v>632</v>
      </c>
      <c r="M1284">
        <v>964</v>
      </c>
      <c r="N1284">
        <v>482</v>
      </c>
      <c r="O1284">
        <v>1</v>
      </c>
      <c r="P1284" t="str">
        <f>("17")</f>
        <v>17</v>
      </c>
      <c r="Q1284" t="str">
        <f>("WACKENIER Sidney")</f>
        <v>WACKENIER Sidney</v>
      </c>
      <c r="R1284">
        <v>15</v>
      </c>
      <c r="S1284" t="s">
        <v>44</v>
      </c>
      <c r="T1284">
        <v>0</v>
      </c>
      <c r="V1284">
        <v>20</v>
      </c>
      <c r="W1284">
        <v>15</v>
      </c>
      <c r="X1284">
        <v>0</v>
      </c>
    </row>
    <row r="1285" spans="1:24" x14ac:dyDescent="0.35">
      <c r="A1285" t="s">
        <v>8</v>
      </c>
      <c r="B1285" t="s">
        <v>9</v>
      </c>
      <c r="C1285" t="str">
        <f t="shared" si="182"/>
        <v>11282</v>
      </c>
      <c r="D1285" t="s">
        <v>17</v>
      </c>
      <c r="E1285" t="str">
        <f t="shared" si="183"/>
        <v>25</v>
      </c>
      <c r="F1285">
        <v>29016</v>
      </c>
      <c r="G1285">
        <v>25938</v>
      </c>
      <c r="H1285">
        <v>1090</v>
      </c>
      <c r="I1285" t="str">
        <f t="shared" si="180"/>
        <v>6</v>
      </c>
      <c r="J1285" t="str">
        <f t="shared" si="181"/>
        <v>Open Vld</v>
      </c>
      <c r="K1285">
        <v>332</v>
      </c>
      <c r="L1285">
        <v>632</v>
      </c>
      <c r="M1285">
        <v>964</v>
      </c>
      <c r="N1285">
        <v>482</v>
      </c>
      <c r="O1285">
        <v>1</v>
      </c>
      <c r="P1285" t="str">
        <f>("18")</f>
        <v>18</v>
      </c>
      <c r="Q1285" t="str">
        <f>("DE MOL Elsbeth")</f>
        <v>DE MOL Elsbeth</v>
      </c>
      <c r="R1285">
        <v>19</v>
      </c>
      <c r="S1285" t="s">
        <v>44</v>
      </c>
      <c r="T1285">
        <v>0</v>
      </c>
      <c r="V1285">
        <v>17</v>
      </c>
      <c r="W1285">
        <v>19</v>
      </c>
      <c r="X1285">
        <v>0</v>
      </c>
    </row>
    <row r="1286" spans="1:24" x14ac:dyDescent="0.35">
      <c r="A1286" t="s">
        <v>8</v>
      </c>
      <c r="B1286" t="s">
        <v>9</v>
      </c>
      <c r="C1286" t="str">
        <f t="shared" si="182"/>
        <v>11282</v>
      </c>
      <c r="D1286" t="s">
        <v>17</v>
      </c>
      <c r="E1286" t="str">
        <f t="shared" si="183"/>
        <v>25</v>
      </c>
      <c r="F1286">
        <v>29016</v>
      </c>
      <c r="G1286">
        <v>25938</v>
      </c>
      <c r="H1286">
        <v>1090</v>
      </c>
      <c r="I1286" t="str">
        <f t="shared" si="180"/>
        <v>6</v>
      </c>
      <c r="J1286" t="str">
        <f t="shared" si="181"/>
        <v>Open Vld</v>
      </c>
      <c r="K1286">
        <v>332</v>
      </c>
      <c r="L1286">
        <v>632</v>
      </c>
      <c r="M1286">
        <v>964</v>
      </c>
      <c r="N1286">
        <v>482</v>
      </c>
      <c r="O1286">
        <v>1</v>
      </c>
      <c r="P1286" t="str">
        <f>("19")</f>
        <v>19</v>
      </c>
      <c r="Q1286" t="str">
        <f>("VAN DAMME Martine")</f>
        <v>VAN DAMME Martine</v>
      </c>
      <c r="R1286">
        <v>25</v>
      </c>
      <c r="S1286" t="s">
        <v>44</v>
      </c>
      <c r="T1286">
        <v>0</v>
      </c>
      <c r="V1286">
        <v>10</v>
      </c>
      <c r="W1286">
        <v>25</v>
      </c>
      <c r="X1286">
        <v>0</v>
      </c>
    </row>
    <row r="1287" spans="1:24" x14ac:dyDescent="0.35">
      <c r="A1287" t="s">
        <v>8</v>
      </c>
      <c r="B1287" t="s">
        <v>9</v>
      </c>
      <c r="C1287" t="str">
        <f t="shared" si="182"/>
        <v>11282</v>
      </c>
      <c r="D1287" t="s">
        <v>17</v>
      </c>
      <c r="E1287" t="str">
        <f t="shared" si="183"/>
        <v>25</v>
      </c>
      <c r="F1287">
        <v>29016</v>
      </c>
      <c r="G1287">
        <v>25938</v>
      </c>
      <c r="H1287">
        <v>1090</v>
      </c>
      <c r="I1287" t="str">
        <f t="shared" si="180"/>
        <v>6</v>
      </c>
      <c r="J1287" t="str">
        <f t="shared" si="181"/>
        <v>Open Vld</v>
      </c>
      <c r="K1287">
        <v>332</v>
      </c>
      <c r="L1287">
        <v>632</v>
      </c>
      <c r="M1287">
        <v>964</v>
      </c>
      <c r="N1287">
        <v>482</v>
      </c>
      <c r="O1287">
        <v>1</v>
      </c>
      <c r="P1287" t="str">
        <f>("20")</f>
        <v>20</v>
      </c>
      <c r="Q1287" t="str">
        <f>("VANDERMEIREN Pieter")</f>
        <v>VANDERMEIREN Pieter</v>
      </c>
      <c r="R1287">
        <v>6</v>
      </c>
      <c r="S1287" t="s">
        <v>44</v>
      </c>
      <c r="T1287">
        <v>0</v>
      </c>
      <c r="V1287">
        <v>24</v>
      </c>
      <c r="W1287">
        <v>6</v>
      </c>
      <c r="X1287">
        <v>0</v>
      </c>
    </row>
    <row r="1288" spans="1:24" x14ac:dyDescent="0.35">
      <c r="A1288" t="s">
        <v>8</v>
      </c>
      <c r="B1288" t="s">
        <v>9</v>
      </c>
      <c r="C1288" t="str">
        <f t="shared" si="182"/>
        <v>11282</v>
      </c>
      <c r="D1288" t="s">
        <v>17</v>
      </c>
      <c r="E1288" t="str">
        <f t="shared" si="183"/>
        <v>25</v>
      </c>
      <c r="F1288">
        <v>29016</v>
      </c>
      <c r="G1288">
        <v>25938</v>
      </c>
      <c r="H1288">
        <v>1090</v>
      </c>
      <c r="I1288" t="str">
        <f t="shared" si="180"/>
        <v>6</v>
      </c>
      <c r="J1288" t="str">
        <f t="shared" si="181"/>
        <v>Open Vld</v>
      </c>
      <c r="K1288">
        <v>332</v>
      </c>
      <c r="L1288">
        <v>632</v>
      </c>
      <c r="M1288">
        <v>964</v>
      </c>
      <c r="N1288">
        <v>482</v>
      </c>
      <c r="O1288">
        <v>1</v>
      </c>
      <c r="P1288" t="str">
        <f>("21")</f>
        <v>21</v>
      </c>
      <c r="Q1288" t="str">
        <f>("VAN APEREN Jan")</f>
        <v>VAN APEREN Jan</v>
      </c>
      <c r="R1288">
        <v>21</v>
      </c>
      <c r="S1288" t="s">
        <v>44</v>
      </c>
      <c r="T1288">
        <v>0</v>
      </c>
      <c r="V1288">
        <v>15</v>
      </c>
      <c r="W1288">
        <v>21</v>
      </c>
      <c r="X1288">
        <v>0</v>
      </c>
    </row>
    <row r="1289" spans="1:24" x14ac:dyDescent="0.35">
      <c r="A1289" t="s">
        <v>8</v>
      </c>
      <c r="B1289" t="s">
        <v>9</v>
      </c>
      <c r="C1289" t="str">
        <f t="shared" si="182"/>
        <v>11282</v>
      </c>
      <c r="D1289" t="s">
        <v>17</v>
      </c>
      <c r="E1289" t="str">
        <f t="shared" si="183"/>
        <v>25</v>
      </c>
      <c r="F1289">
        <v>29016</v>
      </c>
      <c r="G1289">
        <v>25938</v>
      </c>
      <c r="H1289">
        <v>1090</v>
      </c>
      <c r="I1289" t="str">
        <f t="shared" si="180"/>
        <v>6</v>
      </c>
      <c r="J1289" t="str">
        <f t="shared" si="181"/>
        <v>Open Vld</v>
      </c>
      <c r="K1289">
        <v>332</v>
      </c>
      <c r="L1289">
        <v>632</v>
      </c>
      <c r="M1289">
        <v>964</v>
      </c>
      <c r="N1289">
        <v>482</v>
      </c>
      <c r="O1289">
        <v>1</v>
      </c>
      <c r="P1289" t="str">
        <f>("22")</f>
        <v>22</v>
      </c>
      <c r="Q1289" t="str">
        <f>("PEETERS Nicole")</f>
        <v>PEETERS Nicole</v>
      </c>
      <c r="R1289">
        <v>27</v>
      </c>
      <c r="S1289" t="s">
        <v>44</v>
      </c>
      <c r="T1289">
        <v>0</v>
      </c>
      <c r="V1289">
        <v>7</v>
      </c>
      <c r="W1289">
        <v>27</v>
      </c>
      <c r="X1289">
        <v>0</v>
      </c>
    </row>
    <row r="1290" spans="1:24" x14ac:dyDescent="0.35">
      <c r="A1290" t="s">
        <v>8</v>
      </c>
      <c r="B1290" t="s">
        <v>9</v>
      </c>
      <c r="C1290" t="str">
        <f t="shared" si="182"/>
        <v>11282</v>
      </c>
      <c r="D1290" t="s">
        <v>17</v>
      </c>
      <c r="E1290" t="str">
        <f t="shared" si="183"/>
        <v>25</v>
      </c>
      <c r="F1290">
        <v>29016</v>
      </c>
      <c r="G1290">
        <v>25938</v>
      </c>
      <c r="H1290">
        <v>1090</v>
      </c>
      <c r="I1290" t="str">
        <f t="shared" si="180"/>
        <v>6</v>
      </c>
      <c r="J1290" t="str">
        <f t="shared" si="181"/>
        <v>Open Vld</v>
      </c>
      <c r="K1290">
        <v>332</v>
      </c>
      <c r="L1290">
        <v>632</v>
      </c>
      <c r="M1290">
        <v>964</v>
      </c>
      <c r="N1290">
        <v>482</v>
      </c>
      <c r="O1290">
        <v>1</v>
      </c>
      <c r="P1290" t="str">
        <f>("23")</f>
        <v>23</v>
      </c>
      <c r="Q1290" t="str">
        <f>("DUBETZ André")</f>
        <v>DUBETZ André</v>
      </c>
      <c r="R1290">
        <v>12</v>
      </c>
      <c r="S1290" t="s">
        <v>44</v>
      </c>
      <c r="T1290">
        <v>0</v>
      </c>
      <c r="V1290">
        <v>21</v>
      </c>
      <c r="W1290">
        <v>12</v>
      </c>
      <c r="X1290">
        <v>0</v>
      </c>
    </row>
    <row r="1291" spans="1:24" x14ac:dyDescent="0.35">
      <c r="A1291" t="s">
        <v>8</v>
      </c>
      <c r="B1291" t="s">
        <v>9</v>
      </c>
      <c r="C1291" t="str">
        <f t="shared" si="182"/>
        <v>11282</v>
      </c>
      <c r="D1291" t="s">
        <v>17</v>
      </c>
      <c r="E1291" t="str">
        <f t="shared" si="183"/>
        <v>25</v>
      </c>
      <c r="F1291">
        <v>29016</v>
      </c>
      <c r="G1291">
        <v>25938</v>
      </c>
      <c r="H1291">
        <v>1090</v>
      </c>
      <c r="I1291" t="str">
        <f t="shared" si="180"/>
        <v>6</v>
      </c>
      <c r="J1291" t="str">
        <f t="shared" si="181"/>
        <v>Open Vld</v>
      </c>
      <c r="K1291">
        <v>332</v>
      </c>
      <c r="L1291">
        <v>632</v>
      </c>
      <c r="M1291">
        <v>964</v>
      </c>
      <c r="N1291">
        <v>482</v>
      </c>
      <c r="O1291">
        <v>1</v>
      </c>
      <c r="P1291" t="str">
        <f>("24")</f>
        <v>24</v>
      </c>
      <c r="Q1291" t="str">
        <f>("DE BRUYN Marie Louise")</f>
        <v>DE BRUYN Marie Louise</v>
      </c>
      <c r="R1291">
        <v>26</v>
      </c>
      <c r="S1291" t="s">
        <v>44</v>
      </c>
      <c r="T1291">
        <v>0</v>
      </c>
      <c r="V1291">
        <v>8</v>
      </c>
      <c r="W1291">
        <v>26</v>
      </c>
      <c r="X1291">
        <v>0</v>
      </c>
    </row>
    <row r="1292" spans="1:24" x14ac:dyDescent="0.35">
      <c r="A1292" t="s">
        <v>8</v>
      </c>
      <c r="B1292" t="s">
        <v>9</v>
      </c>
      <c r="C1292" t="str">
        <f t="shared" si="182"/>
        <v>11282</v>
      </c>
      <c r="D1292" t="s">
        <v>17</v>
      </c>
      <c r="E1292" t="str">
        <f t="shared" si="183"/>
        <v>25</v>
      </c>
      <c r="F1292">
        <v>29016</v>
      </c>
      <c r="G1292">
        <v>25938</v>
      </c>
      <c r="H1292">
        <v>1090</v>
      </c>
      <c r="I1292" t="str">
        <f t="shared" si="180"/>
        <v>6</v>
      </c>
      <c r="J1292" t="str">
        <f t="shared" si="181"/>
        <v>Open Vld</v>
      </c>
      <c r="K1292">
        <v>332</v>
      </c>
      <c r="L1292">
        <v>632</v>
      </c>
      <c r="M1292">
        <v>964</v>
      </c>
      <c r="N1292">
        <v>482</v>
      </c>
      <c r="O1292">
        <v>1</v>
      </c>
      <c r="P1292" t="str">
        <f>("25")</f>
        <v>25</v>
      </c>
      <c r="Q1292" t="str">
        <f>("VAN HOMBEECK Hugo")</f>
        <v>VAN HOMBEECK Hugo</v>
      </c>
      <c r="R1292">
        <v>39</v>
      </c>
      <c r="S1292" t="s">
        <v>44</v>
      </c>
      <c r="T1292">
        <v>0</v>
      </c>
      <c r="V1292">
        <v>6</v>
      </c>
      <c r="W1292">
        <v>39</v>
      </c>
      <c r="X1292">
        <v>0</v>
      </c>
    </row>
    <row r="1293" spans="1:24" x14ac:dyDescent="0.35">
      <c r="A1293" t="s">
        <v>8</v>
      </c>
      <c r="B1293" t="s">
        <v>9</v>
      </c>
      <c r="C1293" t="str">
        <f t="shared" si="182"/>
        <v>11282</v>
      </c>
      <c r="D1293" t="s">
        <v>17</v>
      </c>
      <c r="E1293" t="str">
        <f t="shared" si="183"/>
        <v>25</v>
      </c>
      <c r="F1293">
        <v>29016</v>
      </c>
      <c r="G1293">
        <v>25938</v>
      </c>
      <c r="H1293">
        <v>1090</v>
      </c>
      <c r="I1293" t="str">
        <f t="shared" ref="I1293:I1317" si="184">("7")</f>
        <v>7</v>
      </c>
      <c r="J1293" t="str">
        <f t="shared" ref="J1293:J1317" si="185">("PVDA")</f>
        <v>PVDA</v>
      </c>
      <c r="K1293">
        <v>401</v>
      </c>
      <c r="L1293">
        <v>1138</v>
      </c>
      <c r="M1293">
        <v>1539</v>
      </c>
      <c r="N1293">
        <v>770</v>
      </c>
      <c r="O1293">
        <v>1</v>
      </c>
      <c r="P1293" t="str">
        <f>("1")</f>
        <v>1</v>
      </c>
      <c r="Q1293" t="str">
        <f>("FAES Tristan")</f>
        <v>FAES Tristan</v>
      </c>
      <c r="R1293">
        <v>374</v>
      </c>
      <c r="S1293">
        <v>508</v>
      </c>
      <c r="T1293">
        <v>0</v>
      </c>
      <c r="U1293">
        <v>1</v>
      </c>
    </row>
    <row r="1294" spans="1:24" x14ac:dyDescent="0.35">
      <c r="A1294" t="s">
        <v>8</v>
      </c>
      <c r="B1294" t="s">
        <v>9</v>
      </c>
      <c r="C1294" t="str">
        <f t="shared" si="182"/>
        <v>11282</v>
      </c>
      <c r="D1294" t="s">
        <v>17</v>
      </c>
      <c r="E1294" t="str">
        <f t="shared" si="183"/>
        <v>25</v>
      </c>
      <c r="F1294">
        <v>29016</v>
      </c>
      <c r="G1294">
        <v>25938</v>
      </c>
      <c r="H1294">
        <v>1090</v>
      </c>
      <c r="I1294" t="str">
        <f t="shared" si="184"/>
        <v>7</v>
      </c>
      <c r="J1294" t="str">
        <f t="shared" si="185"/>
        <v>PVDA</v>
      </c>
      <c r="K1294">
        <v>401</v>
      </c>
      <c r="L1294">
        <v>1138</v>
      </c>
      <c r="M1294">
        <v>1539</v>
      </c>
      <c r="N1294">
        <v>770</v>
      </c>
      <c r="O1294">
        <v>1</v>
      </c>
      <c r="P1294" t="str">
        <f>("2")</f>
        <v>2</v>
      </c>
      <c r="Q1294" t="str">
        <f>("TOUNSI Saida")</f>
        <v>TOUNSI Saida</v>
      </c>
      <c r="R1294">
        <v>213</v>
      </c>
      <c r="S1294" t="s">
        <v>44</v>
      </c>
      <c r="T1294">
        <v>0</v>
      </c>
      <c r="V1294">
        <v>1</v>
      </c>
      <c r="W1294">
        <v>347</v>
      </c>
      <c r="X1294">
        <v>0</v>
      </c>
    </row>
    <row r="1295" spans="1:24" x14ac:dyDescent="0.35">
      <c r="A1295" t="s">
        <v>8</v>
      </c>
      <c r="B1295" t="s">
        <v>9</v>
      </c>
      <c r="C1295" t="str">
        <f t="shared" si="182"/>
        <v>11282</v>
      </c>
      <c r="D1295" t="s">
        <v>17</v>
      </c>
      <c r="E1295" t="str">
        <f t="shared" si="183"/>
        <v>25</v>
      </c>
      <c r="F1295">
        <v>29016</v>
      </c>
      <c r="G1295">
        <v>25938</v>
      </c>
      <c r="H1295">
        <v>1090</v>
      </c>
      <c r="I1295" t="str">
        <f t="shared" si="184"/>
        <v>7</v>
      </c>
      <c r="J1295" t="str">
        <f t="shared" si="185"/>
        <v>PVDA</v>
      </c>
      <c r="K1295">
        <v>401</v>
      </c>
      <c r="L1295">
        <v>1138</v>
      </c>
      <c r="M1295">
        <v>1539</v>
      </c>
      <c r="N1295">
        <v>770</v>
      </c>
      <c r="O1295">
        <v>1</v>
      </c>
      <c r="P1295" t="str">
        <f>("3")</f>
        <v>3</v>
      </c>
      <c r="Q1295" t="str">
        <f>("HEYLIGEN Ivan")</f>
        <v>HEYLIGEN Ivan</v>
      </c>
      <c r="R1295">
        <v>80</v>
      </c>
      <c r="S1295" t="s">
        <v>44</v>
      </c>
      <c r="T1295">
        <v>0</v>
      </c>
      <c r="V1295">
        <v>6</v>
      </c>
      <c r="W1295">
        <v>80</v>
      </c>
      <c r="X1295">
        <v>0</v>
      </c>
    </row>
    <row r="1296" spans="1:24" x14ac:dyDescent="0.35">
      <c r="A1296" t="s">
        <v>8</v>
      </c>
      <c r="B1296" t="s">
        <v>9</v>
      </c>
      <c r="C1296" t="str">
        <f t="shared" si="182"/>
        <v>11282</v>
      </c>
      <c r="D1296" t="s">
        <v>17</v>
      </c>
      <c r="E1296" t="str">
        <f t="shared" si="183"/>
        <v>25</v>
      </c>
      <c r="F1296">
        <v>29016</v>
      </c>
      <c r="G1296">
        <v>25938</v>
      </c>
      <c r="H1296">
        <v>1090</v>
      </c>
      <c r="I1296" t="str">
        <f t="shared" si="184"/>
        <v>7</v>
      </c>
      <c r="J1296" t="str">
        <f t="shared" si="185"/>
        <v>PVDA</v>
      </c>
      <c r="K1296">
        <v>401</v>
      </c>
      <c r="L1296">
        <v>1138</v>
      </c>
      <c r="M1296">
        <v>1539</v>
      </c>
      <c r="N1296">
        <v>770</v>
      </c>
      <c r="O1296">
        <v>1</v>
      </c>
      <c r="P1296" t="str">
        <f>("4")</f>
        <v>4</v>
      </c>
      <c r="Q1296" t="str">
        <f>("CHEBAA AMIMOU Yassine")</f>
        <v>CHEBAA AMIMOU Yassine</v>
      </c>
      <c r="R1296">
        <v>172</v>
      </c>
      <c r="S1296" t="s">
        <v>44</v>
      </c>
      <c r="T1296">
        <v>0</v>
      </c>
      <c r="V1296">
        <v>4</v>
      </c>
      <c r="W1296">
        <v>172</v>
      </c>
      <c r="X1296">
        <v>0</v>
      </c>
    </row>
    <row r="1297" spans="1:24" x14ac:dyDescent="0.35">
      <c r="A1297" t="s">
        <v>8</v>
      </c>
      <c r="B1297" t="s">
        <v>9</v>
      </c>
      <c r="C1297" t="str">
        <f t="shared" si="182"/>
        <v>11282</v>
      </c>
      <c r="D1297" t="s">
        <v>17</v>
      </c>
      <c r="E1297" t="str">
        <f t="shared" si="183"/>
        <v>25</v>
      </c>
      <c r="F1297">
        <v>29016</v>
      </c>
      <c r="G1297">
        <v>25938</v>
      </c>
      <c r="H1297">
        <v>1090</v>
      </c>
      <c r="I1297" t="str">
        <f t="shared" si="184"/>
        <v>7</v>
      </c>
      <c r="J1297" t="str">
        <f t="shared" si="185"/>
        <v>PVDA</v>
      </c>
      <c r="K1297">
        <v>401</v>
      </c>
      <c r="L1297">
        <v>1138</v>
      </c>
      <c r="M1297">
        <v>1539</v>
      </c>
      <c r="N1297">
        <v>770</v>
      </c>
      <c r="O1297">
        <v>1</v>
      </c>
      <c r="P1297" t="str">
        <f>("5")</f>
        <v>5</v>
      </c>
      <c r="Q1297" t="str">
        <f>("VANDERHAEGHE Patricia")</f>
        <v>VANDERHAEGHE Patricia</v>
      </c>
      <c r="R1297">
        <v>71</v>
      </c>
      <c r="S1297" t="s">
        <v>44</v>
      </c>
      <c r="T1297">
        <v>0</v>
      </c>
      <c r="V1297">
        <v>8</v>
      </c>
      <c r="W1297">
        <v>71</v>
      </c>
      <c r="X1297">
        <v>0</v>
      </c>
    </row>
    <row r="1298" spans="1:24" x14ac:dyDescent="0.35">
      <c r="A1298" t="s">
        <v>8</v>
      </c>
      <c r="B1298" t="s">
        <v>9</v>
      </c>
      <c r="C1298" t="str">
        <f t="shared" si="182"/>
        <v>11282</v>
      </c>
      <c r="D1298" t="s">
        <v>17</v>
      </c>
      <c r="E1298" t="str">
        <f t="shared" si="183"/>
        <v>25</v>
      </c>
      <c r="F1298">
        <v>29016</v>
      </c>
      <c r="G1298">
        <v>25938</v>
      </c>
      <c r="H1298">
        <v>1090</v>
      </c>
      <c r="I1298" t="str">
        <f t="shared" si="184"/>
        <v>7</v>
      </c>
      <c r="J1298" t="str">
        <f t="shared" si="185"/>
        <v>PVDA</v>
      </c>
      <c r="K1298">
        <v>401</v>
      </c>
      <c r="L1298">
        <v>1138</v>
      </c>
      <c r="M1298">
        <v>1539</v>
      </c>
      <c r="N1298">
        <v>770</v>
      </c>
      <c r="O1298">
        <v>1</v>
      </c>
      <c r="P1298" t="str">
        <f>("6")</f>
        <v>6</v>
      </c>
      <c r="Q1298" t="str">
        <f>("CHENNOUF Khadija")</f>
        <v>CHENNOUF Khadija</v>
      </c>
      <c r="R1298">
        <v>179</v>
      </c>
      <c r="S1298" t="s">
        <v>44</v>
      </c>
      <c r="T1298">
        <v>0</v>
      </c>
      <c r="V1298">
        <v>3</v>
      </c>
      <c r="W1298">
        <v>179</v>
      </c>
      <c r="X1298">
        <v>0</v>
      </c>
    </row>
    <row r="1299" spans="1:24" x14ac:dyDescent="0.35">
      <c r="A1299" t="s">
        <v>8</v>
      </c>
      <c r="B1299" t="s">
        <v>9</v>
      </c>
      <c r="C1299" t="str">
        <f t="shared" si="182"/>
        <v>11282</v>
      </c>
      <c r="D1299" t="s">
        <v>17</v>
      </c>
      <c r="E1299" t="str">
        <f t="shared" si="183"/>
        <v>25</v>
      </c>
      <c r="F1299">
        <v>29016</v>
      </c>
      <c r="G1299">
        <v>25938</v>
      </c>
      <c r="H1299">
        <v>1090</v>
      </c>
      <c r="I1299" t="str">
        <f t="shared" si="184"/>
        <v>7</v>
      </c>
      <c r="J1299" t="str">
        <f t="shared" si="185"/>
        <v>PVDA</v>
      </c>
      <c r="K1299">
        <v>401</v>
      </c>
      <c r="L1299">
        <v>1138</v>
      </c>
      <c r="M1299">
        <v>1539</v>
      </c>
      <c r="N1299">
        <v>770</v>
      </c>
      <c r="O1299">
        <v>1</v>
      </c>
      <c r="P1299" t="str">
        <f>("7")</f>
        <v>7</v>
      </c>
      <c r="Q1299" t="str">
        <f>("ERSOZ Mehmet")</f>
        <v>ERSOZ Mehmet</v>
      </c>
      <c r="R1299">
        <v>117</v>
      </c>
      <c r="S1299" t="s">
        <v>44</v>
      </c>
      <c r="T1299">
        <v>0</v>
      </c>
      <c r="V1299">
        <v>5</v>
      </c>
      <c r="W1299">
        <v>117</v>
      </c>
      <c r="X1299">
        <v>0</v>
      </c>
    </row>
    <row r="1300" spans="1:24" x14ac:dyDescent="0.35">
      <c r="A1300" t="s">
        <v>8</v>
      </c>
      <c r="B1300" t="s">
        <v>9</v>
      </c>
      <c r="C1300" t="str">
        <f t="shared" si="182"/>
        <v>11282</v>
      </c>
      <c r="D1300" t="s">
        <v>17</v>
      </c>
      <c r="E1300" t="str">
        <f t="shared" si="183"/>
        <v>25</v>
      </c>
      <c r="F1300">
        <v>29016</v>
      </c>
      <c r="G1300">
        <v>25938</v>
      </c>
      <c r="H1300">
        <v>1090</v>
      </c>
      <c r="I1300" t="str">
        <f t="shared" si="184"/>
        <v>7</v>
      </c>
      <c r="J1300" t="str">
        <f t="shared" si="185"/>
        <v>PVDA</v>
      </c>
      <c r="K1300">
        <v>401</v>
      </c>
      <c r="L1300">
        <v>1138</v>
      </c>
      <c r="M1300">
        <v>1539</v>
      </c>
      <c r="N1300">
        <v>770</v>
      </c>
      <c r="O1300">
        <v>1</v>
      </c>
      <c r="P1300" t="str">
        <f>("8")</f>
        <v>8</v>
      </c>
      <c r="Q1300" t="str">
        <f>("VAN DER HEIJDEN Gerard")</f>
        <v>VAN DER HEIJDEN Gerard</v>
      </c>
      <c r="R1300">
        <v>55</v>
      </c>
      <c r="S1300" t="s">
        <v>44</v>
      </c>
      <c r="T1300">
        <v>0</v>
      </c>
      <c r="V1300">
        <v>12</v>
      </c>
      <c r="W1300">
        <v>55</v>
      </c>
      <c r="X1300">
        <v>0</v>
      </c>
    </row>
    <row r="1301" spans="1:24" x14ac:dyDescent="0.35">
      <c r="A1301" t="s">
        <v>8</v>
      </c>
      <c r="B1301" t="s">
        <v>9</v>
      </c>
      <c r="C1301" t="str">
        <f t="shared" si="182"/>
        <v>11282</v>
      </c>
      <c r="D1301" t="s">
        <v>17</v>
      </c>
      <c r="E1301" t="str">
        <f t="shared" si="183"/>
        <v>25</v>
      </c>
      <c r="F1301">
        <v>29016</v>
      </c>
      <c r="G1301">
        <v>25938</v>
      </c>
      <c r="H1301">
        <v>1090</v>
      </c>
      <c r="I1301" t="str">
        <f t="shared" si="184"/>
        <v>7</v>
      </c>
      <c r="J1301" t="str">
        <f t="shared" si="185"/>
        <v>PVDA</v>
      </c>
      <c r="K1301">
        <v>401</v>
      </c>
      <c r="L1301">
        <v>1138</v>
      </c>
      <c r="M1301">
        <v>1539</v>
      </c>
      <c r="N1301">
        <v>770</v>
      </c>
      <c r="O1301">
        <v>1</v>
      </c>
      <c r="P1301" t="str">
        <f>("9")</f>
        <v>9</v>
      </c>
      <c r="Q1301" t="str">
        <f>("VAN CAMP Mercedes")</f>
        <v>VAN CAMP Mercedes</v>
      </c>
      <c r="R1301">
        <v>52</v>
      </c>
      <c r="S1301" t="s">
        <v>44</v>
      </c>
      <c r="T1301">
        <v>0</v>
      </c>
      <c r="V1301">
        <v>15</v>
      </c>
      <c r="W1301">
        <v>52</v>
      </c>
      <c r="X1301">
        <v>0</v>
      </c>
    </row>
    <row r="1302" spans="1:24" x14ac:dyDescent="0.35">
      <c r="A1302" t="s">
        <v>8</v>
      </c>
      <c r="B1302" t="s">
        <v>9</v>
      </c>
      <c r="C1302" t="str">
        <f t="shared" si="182"/>
        <v>11282</v>
      </c>
      <c r="D1302" t="s">
        <v>17</v>
      </c>
      <c r="E1302" t="str">
        <f t="shared" si="183"/>
        <v>25</v>
      </c>
      <c r="F1302">
        <v>29016</v>
      </c>
      <c r="G1302">
        <v>25938</v>
      </c>
      <c r="H1302">
        <v>1090</v>
      </c>
      <c r="I1302" t="str">
        <f t="shared" si="184"/>
        <v>7</v>
      </c>
      <c r="J1302" t="str">
        <f t="shared" si="185"/>
        <v>PVDA</v>
      </c>
      <c r="K1302">
        <v>401</v>
      </c>
      <c r="L1302">
        <v>1138</v>
      </c>
      <c r="M1302">
        <v>1539</v>
      </c>
      <c r="N1302">
        <v>770</v>
      </c>
      <c r="O1302">
        <v>1</v>
      </c>
      <c r="P1302" t="str">
        <f>("10")</f>
        <v>10</v>
      </c>
      <c r="Q1302" t="str">
        <f>("HEYENS Koen")</f>
        <v>HEYENS Koen</v>
      </c>
      <c r="R1302">
        <v>57</v>
      </c>
      <c r="S1302" t="s">
        <v>44</v>
      </c>
      <c r="T1302">
        <v>0</v>
      </c>
      <c r="V1302">
        <v>11</v>
      </c>
      <c r="W1302">
        <v>57</v>
      </c>
      <c r="X1302">
        <v>0</v>
      </c>
    </row>
    <row r="1303" spans="1:24" x14ac:dyDescent="0.35">
      <c r="A1303" t="s">
        <v>8</v>
      </c>
      <c r="B1303" t="s">
        <v>9</v>
      </c>
      <c r="C1303" t="str">
        <f t="shared" ref="C1303:C1324" si="186">("11282")</f>
        <v>11282</v>
      </c>
      <c r="D1303" t="s">
        <v>17</v>
      </c>
      <c r="E1303" t="str">
        <f t="shared" si="183"/>
        <v>25</v>
      </c>
      <c r="F1303">
        <v>29016</v>
      </c>
      <c r="G1303">
        <v>25938</v>
      </c>
      <c r="H1303">
        <v>1090</v>
      </c>
      <c r="I1303" t="str">
        <f t="shared" si="184"/>
        <v>7</v>
      </c>
      <c r="J1303" t="str">
        <f t="shared" si="185"/>
        <v>PVDA</v>
      </c>
      <c r="K1303">
        <v>401</v>
      </c>
      <c r="L1303">
        <v>1138</v>
      </c>
      <c r="M1303">
        <v>1539</v>
      </c>
      <c r="N1303">
        <v>770</v>
      </c>
      <c r="O1303">
        <v>1</v>
      </c>
      <c r="P1303" t="str">
        <f>("11")</f>
        <v>11</v>
      </c>
      <c r="Q1303" t="str">
        <f>("SELS Eillen")</f>
        <v>SELS Eillen</v>
      </c>
      <c r="R1303">
        <v>58</v>
      </c>
      <c r="S1303" t="s">
        <v>44</v>
      </c>
      <c r="T1303">
        <v>0</v>
      </c>
      <c r="V1303">
        <v>10</v>
      </c>
      <c r="W1303">
        <v>58</v>
      </c>
      <c r="X1303">
        <v>0</v>
      </c>
    </row>
    <row r="1304" spans="1:24" x14ac:dyDescent="0.35">
      <c r="A1304" t="s">
        <v>8</v>
      </c>
      <c r="B1304" t="s">
        <v>9</v>
      </c>
      <c r="C1304" t="str">
        <f t="shared" si="186"/>
        <v>11282</v>
      </c>
      <c r="D1304" t="s">
        <v>17</v>
      </c>
      <c r="E1304" t="str">
        <f t="shared" si="183"/>
        <v>25</v>
      </c>
      <c r="F1304">
        <v>29016</v>
      </c>
      <c r="G1304">
        <v>25938</v>
      </c>
      <c r="H1304">
        <v>1090</v>
      </c>
      <c r="I1304" t="str">
        <f t="shared" si="184"/>
        <v>7</v>
      </c>
      <c r="J1304" t="str">
        <f t="shared" si="185"/>
        <v>PVDA</v>
      </c>
      <c r="K1304">
        <v>401</v>
      </c>
      <c r="L1304">
        <v>1138</v>
      </c>
      <c r="M1304">
        <v>1539</v>
      </c>
      <c r="N1304">
        <v>770</v>
      </c>
      <c r="O1304">
        <v>1</v>
      </c>
      <c r="P1304" t="str">
        <f>("12")</f>
        <v>12</v>
      </c>
      <c r="Q1304" t="str">
        <f>("DIERCKX Ingrid")</f>
        <v>DIERCKX Ingrid</v>
      </c>
      <c r="R1304">
        <v>75</v>
      </c>
      <c r="S1304" t="s">
        <v>44</v>
      </c>
      <c r="T1304">
        <v>0</v>
      </c>
      <c r="V1304">
        <v>7</v>
      </c>
      <c r="W1304">
        <v>75</v>
      </c>
      <c r="X1304">
        <v>0</v>
      </c>
    </row>
    <row r="1305" spans="1:24" x14ac:dyDescent="0.35">
      <c r="A1305" t="s">
        <v>8</v>
      </c>
      <c r="B1305" t="s">
        <v>9</v>
      </c>
      <c r="C1305" t="str">
        <f t="shared" si="186"/>
        <v>11282</v>
      </c>
      <c r="D1305" t="s">
        <v>17</v>
      </c>
      <c r="E1305" t="str">
        <f t="shared" si="183"/>
        <v>25</v>
      </c>
      <c r="F1305">
        <v>29016</v>
      </c>
      <c r="G1305">
        <v>25938</v>
      </c>
      <c r="H1305">
        <v>1090</v>
      </c>
      <c r="I1305" t="str">
        <f t="shared" si="184"/>
        <v>7</v>
      </c>
      <c r="J1305" t="str">
        <f t="shared" si="185"/>
        <v>PVDA</v>
      </c>
      <c r="K1305">
        <v>401</v>
      </c>
      <c r="L1305">
        <v>1138</v>
      </c>
      <c r="M1305">
        <v>1539</v>
      </c>
      <c r="N1305">
        <v>770</v>
      </c>
      <c r="O1305">
        <v>1</v>
      </c>
      <c r="P1305" t="str">
        <f>("13")</f>
        <v>13</v>
      </c>
      <c r="Q1305" t="str">
        <f>("VERBERCK Ronald")</f>
        <v>VERBERCK Ronald</v>
      </c>
      <c r="R1305">
        <v>53</v>
      </c>
      <c r="S1305" t="s">
        <v>44</v>
      </c>
      <c r="T1305">
        <v>0</v>
      </c>
      <c r="V1305">
        <v>13</v>
      </c>
      <c r="W1305">
        <v>53</v>
      </c>
      <c r="X1305">
        <v>0</v>
      </c>
    </row>
    <row r="1306" spans="1:24" x14ac:dyDescent="0.35">
      <c r="A1306" t="s">
        <v>8</v>
      </c>
      <c r="B1306" t="s">
        <v>9</v>
      </c>
      <c r="C1306" t="str">
        <f t="shared" si="186"/>
        <v>11282</v>
      </c>
      <c r="D1306" t="s">
        <v>17</v>
      </c>
      <c r="E1306" t="str">
        <f t="shared" si="183"/>
        <v>25</v>
      </c>
      <c r="F1306">
        <v>29016</v>
      </c>
      <c r="G1306">
        <v>25938</v>
      </c>
      <c r="H1306">
        <v>1090</v>
      </c>
      <c r="I1306" t="str">
        <f t="shared" si="184"/>
        <v>7</v>
      </c>
      <c r="J1306" t="str">
        <f t="shared" si="185"/>
        <v>PVDA</v>
      </c>
      <c r="K1306">
        <v>401</v>
      </c>
      <c r="L1306">
        <v>1138</v>
      </c>
      <c r="M1306">
        <v>1539</v>
      </c>
      <c r="N1306">
        <v>770</v>
      </c>
      <c r="O1306">
        <v>1</v>
      </c>
      <c r="P1306" t="str">
        <f>("14")</f>
        <v>14</v>
      </c>
      <c r="Q1306" t="str">
        <f>("DHOOGHE Ime")</f>
        <v>DHOOGHE Ime</v>
      </c>
      <c r="R1306">
        <v>44</v>
      </c>
      <c r="S1306" t="s">
        <v>44</v>
      </c>
      <c r="T1306">
        <v>0</v>
      </c>
      <c r="V1306">
        <v>22</v>
      </c>
      <c r="W1306">
        <v>44</v>
      </c>
      <c r="X1306">
        <v>0</v>
      </c>
    </row>
    <row r="1307" spans="1:24" x14ac:dyDescent="0.35">
      <c r="A1307" t="s">
        <v>8</v>
      </c>
      <c r="B1307" t="s">
        <v>9</v>
      </c>
      <c r="C1307" t="str">
        <f t="shared" si="186"/>
        <v>11282</v>
      </c>
      <c r="D1307" t="s">
        <v>17</v>
      </c>
      <c r="E1307" t="str">
        <f t="shared" si="183"/>
        <v>25</v>
      </c>
      <c r="F1307">
        <v>29016</v>
      </c>
      <c r="G1307">
        <v>25938</v>
      </c>
      <c r="H1307">
        <v>1090</v>
      </c>
      <c r="I1307" t="str">
        <f t="shared" si="184"/>
        <v>7</v>
      </c>
      <c r="J1307" t="str">
        <f t="shared" si="185"/>
        <v>PVDA</v>
      </c>
      <c r="K1307">
        <v>401</v>
      </c>
      <c r="L1307">
        <v>1138</v>
      </c>
      <c r="M1307">
        <v>1539</v>
      </c>
      <c r="N1307">
        <v>770</v>
      </c>
      <c r="O1307">
        <v>1</v>
      </c>
      <c r="P1307" t="str">
        <f>("15")</f>
        <v>15</v>
      </c>
      <c r="Q1307" t="str">
        <f>("REDIG Diana")</f>
        <v>REDIG Diana</v>
      </c>
      <c r="R1307">
        <v>48</v>
      </c>
      <c r="S1307" t="s">
        <v>44</v>
      </c>
      <c r="T1307">
        <v>0</v>
      </c>
      <c r="V1307">
        <v>17</v>
      </c>
      <c r="W1307">
        <v>48</v>
      </c>
      <c r="X1307">
        <v>0</v>
      </c>
    </row>
    <row r="1308" spans="1:24" x14ac:dyDescent="0.35">
      <c r="A1308" t="s">
        <v>8</v>
      </c>
      <c r="B1308" t="s">
        <v>9</v>
      </c>
      <c r="C1308" t="str">
        <f t="shared" si="186"/>
        <v>11282</v>
      </c>
      <c r="D1308" t="s">
        <v>17</v>
      </c>
      <c r="E1308" t="str">
        <f t="shared" si="183"/>
        <v>25</v>
      </c>
      <c r="F1308">
        <v>29016</v>
      </c>
      <c r="G1308">
        <v>25938</v>
      </c>
      <c r="H1308">
        <v>1090</v>
      </c>
      <c r="I1308" t="str">
        <f t="shared" si="184"/>
        <v>7</v>
      </c>
      <c r="J1308" t="str">
        <f t="shared" si="185"/>
        <v>PVDA</v>
      </c>
      <c r="K1308">
        <v>401</v>
      </c>
      <c r="L1308">
        <v>1138</v>
      </c>
      <c r="M1308">
        <v>1539</v>
      </c>
      <c r="N1308">
        <v>770</v>
      </c>
      <c r="O1308">
        <v>1</v>
      </c>
      <c r="P1308" t="str">
        <f>("16")</f>
        <v>16</v>
      </c>
      <c r="Q1308" t="str">
        <f>("SELS Sioban")</f>
        <v>SELS Sioban</v>
      </c>
      <c r="R1308">
        <v>53</v>
      </c>
      <c r="S1308" t="s">
        <v>44</v>
      </c>
      <c r="T1308">
        <v>0</v>
      </c>
      <c r="V1308">
        <v>14</v>
      </c>
      <c r="W1308">
        <v>53</v>
      </c>
      <c r="X1308">
        <v>0</v>
      </c>
    </row>
    <row r="1309" spans="1:24" x14ac:dyDescent="0.35">
      <c r="A1309" t="s">
        <v>8</v>
      </c>
      <c r="B1309" t="s">
        <v>9</v>
      </c>
      <c r="C1309" t="str">
        <f t="shared" si="186"/>
        <v>11282</v>
      </c>
      <c r="D1309" t="s">
        <v>17</v>
      </c>
      <c r="E1309" t="str">
        <f t="shared" si="183"/>
        <v>25</v>
      </c>
      <c r="F1309">
        <v>29016</v>
      </c>
      <c r="G1309">
        <v>25938</v>
      </c>
      <c r="H1309">
        <v>1090</v>
      </c>
      <c r="I1309" t="str">
        <f t="shared" si="184"/>
        <v>7</v>
      </c>
      <c r="J1309" t="str">
        <f t="shared" si="185"/>
        <v>PVDA</v>
      </c>
      <c r="K1309">
        <v>401</v>
      </c>
      <c r="L1309">
        <v>1138</v>
      </c>
      <c r="M1309">
        <v>1539</v>
      </c>
      <c r="N1309">
        <v>770</v>
      </c>
      <c r="O1309">
        <v>1</v>
      </c>
      <c r="P1309" t="str">
        <f>("17")</f>
        <v>17</v>
      </c>
      <c r="Q1309" t="str">
        <f>("VAN DER AVOORT Linda")</f>
        <v>VAN DER AVOORT Linda</v>
      </c>
      <c r="R1309">
        <v>49</v>
      </c>
      <c r="S1309" t="s">
        <v>44</v>
      </c>
      <c r="T1309">
        <v>0</v>
      </c>
      <c r="V1309">
        <v>16</v>
      </c>
      <c r="W1309">
        <v>49</v>
      </c>
      <c r="X1309">
        <v>0</v>
      </c>
    </row>
    <row r="1310" spans="1:24" x14ac:dyDescent="0.35">
      <c r="A1310" t="s">
        <v>8</v>
      </c>
      <c r="B1310" t="s">
        <v>9</v>
      </c>
      <c r="C1310" t="str">
        <f t="shared" si="186"/>
        <v>11282</v>
      </c>
      <c r="D1310" t="s">
        <v>17</v>
      </c>
      <c r="E1310" t="str">
        <f t="shared" si="183"/>
        <v>25</v>
      </c>
      <c r="F1310">
        <v>29016</v>
      </c>
      <c r="G1310">
        <v>25938</v>
      </c>
      <c r="H1310">
        <v>1090</v>
      </c>
      <c r="I1310" t="str">
        <f t="shared" si="184"/>
        <v>7</v>
      </c>
      <c r="J1310" t="str">
        <f t="shared" si="185"/>
        <v>PVDA</v>
      </c>
      <c r="K1310">
        <v>401</v>
      </c>
      <c r="L1310">
        <v>1138</v>
      </c>
      <c r="M1310">
        <v>1539</v>
      </c>
      <c r="N1310">
        <v>770</v>
      </c>
      <c r="O1310">
        <v>1</v>
      </c>
      <c r="P1310" t="str">
        <f>("18")</f>
        <v>18</v>
      </c>
      <c r="Q1310" t="str">
        <f>("VAN RYSSEN Roger")</f>
        <v>VAN RYSSEN Roger</v>
      </c>
      <c r="R1310">
        <v>41</v>
      </c>
      <c r="S1310" t="s">
        <v>44</v>
      </c>
      <c r="T1310">
        <v>0</v>
      </c>
      <c r="V1310">
        <v>24</v>
      </c>
      <c r="W1310">
        <v>41</v>
      </c>
      <c r="X1310">
        <v>0</v>
      </c>
    </row>
    <row r="1311" spans="1:24" x14ac:dyDescent="0.35">
      <c r="A1311" t="s">
        <v>8</v>
      </c>
      <c r="B1311" t="s">
        <v>9</v>
      </c>
      <c r="C1311" t="str">
        <f t="shared" si="186"/>
        <v>11282</v>
      </c>
      <c r="D1311" t="s">
        <v>17</v>
      </c>
      <c r="E1311" t="str">
        <f t="shared" si="183"/>
        <v>25</v>
      </c>
      <c r="F1311">
        <v>29016</v>
      </c>
      <c r="G1311">
        <v>25938</v>
      </c>
      <c r="H1311">
        <v>1090</v>
      </c>
      <c r="I1311" t="str">
        <f t="shared" si="184"/>
        <v>7</v>
      </c>
      <c r="J1311" t="str">
        <f t="shared" si="185"/>
        <v>PVDA</v>
      </c>
      <c r="K1311">
        <v>401</v>
      </c>
      <c r="L1311">
        <v>1138</v>
      </c>
      <c r="M1311">
        <v>1539</v>
      </c>
      <c r="N1311">
        <v>770</v>
      </c>
      <c r="O1311">
        <v>1</v>
      </c>
      <c r="P1311" t="str">
        <f>("19")</f>
        <v>19</v>
      </c>
      <c r="Q1311" t="str">
        <f>("BAZSAZ Sodaba")</f>
        <v>BAZSAZ Sodaba</v>
      </c>
      <c r="R1311">
        <v>45</v>
      </c>
      <c r="S1311" t="s">
        <v>44</v>
      </c>
      <c r="T1311">
        <v>0</v>
      </c>
      <c r="V1311">
        <v>20</v>
      </c>
      <c r="W1311">
        <v>45</v>
      </c>
      <c r="X1311">
        <v>0</v>
      </c>
    </row>
    <row r="1312" spans="1:24" x14ac:dyDescent="0.35">
      <c r="A1312" t="s">
        <v>8</v>
      </c>
      <c r="B1312" t="s">
        <v>9</v>
      </c>
      <c r="C1312" t="str">
        <f t="shared" si="186"/>
        <v>11282</v>
      </c>
      <c r="D1312" t="s">
        <v>17</v>
      </c>
      <c r="E1312" t="str">
        <f t="shared" si="183"/>
        <v>25</v>
      </c>
      <c r="F1312">
        <v>29016</v>
      </c>
      <c r="G1312">
        <v>25938</v>
      </c>
      <c r="H1312">
        <v>1090</v>
      </c>
      <c r="I1312" t="str">
        <f t="shared" si="184"/>
        <v>7</v>
      </c>
      <c r="J1312" t="str">
        <f t="shared" si="185"/>
        <v>PVDA</v>
      </c>
      <c r="K1312">
        <v>401</v>
      </c>
      <c r="L1312">
        <v>1138</v>
      </c>
      <c r="M1312">
        <v>1539</v>
      </c>
      <c r="N1312">
        <v>770</v>
      </c>
      <c r="O1312">
        <v>1</v>
      </c>
      <c r="P1312" t="str">
        <f>("20")</f>
        <v>20</v>
      </c>
      <c r="Q1312" t="str">
        <f>("DE BOOSER Jan")</f>
        <v>DE BOOSER Jan</v>
      </c>
      <c r="R1312">
        <v>48</v>
      </c>
      <c r="S1312" t="s">
        <v>44</v>
      </c>
      <c r="T1312">
        <v>0</v>
      </c>
      <c r="V1312">
        <v>18</v>
      </c>
      <c r="W1312">
        <v>48</v>
      </c>
      <c r="X1312">
        <v>0</v>
      </c>
    </row>
    <row r="1313" spans="1:24" x14ac:dyDescent="0.35">
      <c r="A1313" t="s">
        <v>8</v>
      </c>
      <c r="B1313" t="s">
        <v>9</v>
      </c>
      <c r="C1313" t="str">
        <f t="shared" si="186"/>
        <v>11282</v>
      </c>
      <c r="D1313" t="s">
        <v>17</v>
      </c>
      <c r="E1313" t="str">
        <f t="shared" si="183"/>
        <v>25</v>
      </c>
      <c r="F1313">
        <v>29016</v>
      </c>
      <c r="G1313">
        <v>25938</v>
      </c>
      <c r="H1313">
        <v>1090</v>
      </c>
      <c r="I1313" t="str">
        <f t="shared" si="184"/>
        <v>7</v>
      </c>
      <c r="J1313" t="str">
        <f t="shared" si="185"/>
        <v>PVDA</v>
      </c>
      <c r="K1313">
        <v>401</v>
      </c>
      <c r="L1313">
        <v>1138</v>
      </c>
      <c r="M1313">
        <v>1539</v>
      </c>
      <c r="N1313">
        <v>770</v>
      </c>
      <c r="O1313">
        <v>1</v>
      </c>
      <c r="P1313" t="str">
        <f>("21")</f>
        <v>21</v>
      </c>
      <c r="Q1313" t="str">
        <f>("DE CEULAERDE Erika")</f>
        <v>DE CEULAERDE Erika</v>
      </c>
      <c r="R1313">
        <v>45</v>
      </c>
      <c r="S1313" t="s">
        <v>44</v>
      </c>
      <c r="T1313">
        <v>0</v>
      </c>
      <c r="V1313">
        <v>21</v>
      </c>
      <c r="W1313">
        <v>45</v>
      </c>
      <c r="X1313">
        <v>0</v>
      </c>
    </row>
    <row r="1314" spans="1:24" x14ac:dyDescent="0.35">
      <c r="A1314" t="s">
        <v>8</v>
      </c>
      <c r="B1314" t="s">
        <v>9</v>
      </c>
      <c r="C1314" t="str">
        <f t="shared" si="186"/>
        <v>11282</v>
      </c>
      <c r="D1314" t="s">
        <v>17</v>
      </c>
      <c r="E1314" t="str">
        <f t="shared" si="183"/>
        <v>25</v>
      </c>
      <c r="F1314">
        <v>29016</v>
      </c>
      <c r="G1314">
        <v>25938</v>
      </c>
      <c r="H1314">
        <v>1090</v>
      </c>
      <c r="I1314" t="str">
        <f t="shared" si="184"/>
        <v>7</v>
      </c>
      <c r="J1314" t="str">
        <f t="shared" si="185"/>
        <v>PVDA</v>
      </c>
      <c r="K1314">
        <v>401</v>
      </c>
      <c r="L1314">
        <v>1138</v>
      </c>
      <c r="M1314">
        <v>1539</v>
      </c>
      <c r="N1314">
        <v>770</v>
      </c>
      <c r="O1314">
        <v>1</v>
      </c>
      <c r="P1314" t="str">
        <f>("22")</f>
        <v>22</v>
      </c>
      <c r="Q1314" t="str">
        <f>("VAN LINDEN Johan")</f>
        <v>VAN LINDEN Johan</v>
      </c>
      <c r="R1314">
        <v>42</v>
      </c>
      <c r="S1314" t="s">
        <v>44</v>
      </c>
      <c r="T1314">
        <v>0</v>
      </c>
      <c r="V1314">
        <v>23</v>
      </c>
      <c r="W1314">
        <v>42</v>
      </c>
      <c r="X1314">
        <v>0</v>
      </c>
    </row>
    <row r="1315" spans="1:24" x14ac:dyDescent="0.35">
      <c r="A1315" t="s">
        <v>8</v>
      </c>
      <c r="B1315" t="s">
        <v>9</v>
      </c>
      <c r="C1315" t="str">
        <f t="shared" si="186"/>
        <v>11282</v>
      </c>
      <c r="D1315" t="s">
        <v>17</v>
      </c>
      <c r="E1315" t="str">
        <f t="shared" si="183"/>
        <v>25</v>
      </c>
      <c r="F1315">
        <v>29016</v>
      </c>
      <c r="G1315">
        <v>25938</v>
      </c>
      <c r="H1315">
        <v>1090</v>
      </c>
      <c r="I1315" t="str">
        <f t="shared" si="184"/>
        <v>7</v>
      </c>
      <c r="J1315" t="str">
        <f t="shared" si="185"/>
        <v>PVDA</v>
      </c>
      <c r="K1315">
        <v>401</v>
      </c>
      <c r="L1315">
        <v>1138</v>
      </c>
      <c r="M1315">
        <v>1539</v>
      </c>
      <c r="N1315">
        <v>770</v>
      </c>
      <c r="O1315">
        <v>1</v>
      </c>
      <c r="P1315" t="str">
        <f>("23")</f>
        <v>23</v>
      </c>
      <c r="Q1315" t="str">
        <f>("VERMEULEN Myriam")</f>
        <v>VERMEULEN Myriam</v>
      </c>
      <c r="R1315">
        <v>60</v>
      </c>
      <c r="S1315" t="s">
        <v>44</v>
      </c>
      <c r="T1315">
        <v>0</v>
      </c>
      <c r="V1315">
        <v>9</v>
      </c>
      <c r="W1315">
        <v>60</v>
      </c>
      <c r="X1315">
        <v>0</v>
      </c>
    </row>
    <row r="1316" spans="1:24" x14ac:dyDescent="0.35">
      <c r="A1316" t="s">
        <v>8</v>
      </c>
      <c r="B1316" t="s">
        <v>9</v>
      </c>
      <c r="C1316" t="str">
        <f t="shared" si="186"/>
        <v>11282</v>
      </c>
      <c r="D1316" t="s">
        <v>17</v>
      </c>
      <c r="E1316" t="str">
        <f t="shared" si="183"/>
        <v>25</v>
      </c>
      <c r="F1316">
        <v>29016</v>
      </c>
      <c r="G1316">
        <v>25938</v>
      </c>
      <c r="H1316">
        <v>1090</v>
      </c>
      <c r="I1316" t="str">
        <f t="shared" si="184"/>
        <v>7</v>
      </c>
      <c r="J1316" t="str">
        <f t="shared" si="185"/>
        <v>PVDA</v>
      </c>
      <c r="K1316">
        <v>401</v>
      </c>
      <c r="L1316">
        <v>1138</v>
      </c>
      <c r="M1316">
        <v>1539</v>
      </c>
      <c r="N1316">
        <v>770</v>
      </c>
      <c r="O1316">
        <v>1</v>
      </c>
      <c r="P1316" t="str">
        <f>("24")</f>
        <v>24</v>
      </c>
      <c r="Q1316" t="str">
        <f>("BAZSAZ Gul")</f>
        <v>BAZSAZ Gul</v>
      </c>
      <c r="R1316">
        <v>47</v>
      </c>
      <c r="S1316" t="s">
        <v>44</v>
      </c>
      <c r="T1316">
        <v>0</v>
      </c>
      <c r="V1316">
        <v>19</v>
      </c>
      <c r="W1316">
        <v>47</v>
      </c>
      <c r="X1316">
        <v>0</v>
      </c>
    </row>
    <row r="1317" spans="1:24" x14ac:dyDescent="0.35">
      <c r="A1317" t="s">
        <v>8</v>
      </c>
      <c r="B1317" t="s">
        <v>9</v>
      </c>
      <c r="C1317" t="str">
        <f t="shared" si="186"/>
        <v>11282</v>
      </c>
      <c r="D1317" t="s">
        <v>17</v>
      </c>
      <c r="E1317" t="str">
        <f t="shared" si="183"/>
        <v>25</v>
      </c>
      <c r="F1317">
        <v>29016</v>
      </c>
      <c r="G1317">
        <v>25938</v>
      </c>
      <c r="H1317">
        <v>1090</v>
      </c>
      <c r="I1317" t="str">
        <f t="shared" si="184"/>
        <v>7</v>
      </c>
      <c r="J1317" t="str">
        <f t="shared" si="185"/>
        <v>PVDA</v>
      </c>
      <c r="K1317">
        <v>401</v>
      </c>
      <c r="L1317">
        <v>1138</v>
      </c>
      <c r="M1317">
        <v>1539</v>
      </c>
      <c r="N1317">
        <v>770</v>
      </c>
      <c r="O1317">
        <v>1</v>
      </c>
      <c r="P1317" t="str">
        <f>("25")</f>
        <v>25</v>
      </c>
      <c r="Q1317" t="str">
        <f>("CHEBAA AMIMOU Mohamed")</f>
        <v>CHEBAA AMIMOU Mohamed</v>
      </c>
      <c r="R1317">
        <v>198</v>
      </c>
      <c r="S1317" t="s">
        <v>44</v>
      </c>
      <c r="T1317">
        <v>0</v>
      </c>
      <c r="V1317">
        <v>2</v>
      </c>
      <c r="W1317">
        <v>198</v>
      </c>
      <c r="X1317">
        <v>0</v>
      </c>
    </row>
    <row r="1318" spans="1:24" x14ac:dyDescent="0.35">
      <c r="A1318" t="s">
        <v>8</v>
      </c>
      <c r="B1318" t="s">
        <v>9</v>
      </c>
      <c r="C1318" t="str">
        <f t="shared" si="186"/>
        <v>11282</v>
      </c>
      <c r="D1318" t="s">
        <v>17</v>
      </c>
      <c r="E1318" t="str">
        <f t="shared" si="183"/>
        <v>25</v>
      </c>
      <c r="F1318">
        <v>29016</v>
      </c>
      <c r="G1318">
        <v>25938</v>
      </c>
      <c r="H1318">
        <v>1090</v>
      </c>
      <c r="I1318" t="str">
        <f>("8")</f>
        <v>8</v>
      </c>
      <c r="J1318" t="str">
        <f>("Be.One")</f>
        <v>Be.One</v>
      </c>
      <c r="K1318">
        <v>29</v>
      </c>
      <c r="L1318">
        <v>215</v>
      </c>
      <c r="M1318">
        <v>244</v>
      </c>
      <c r="O1318">
        <v>0</v>
      </c>
      <c r="P1318" t="str">
        <f>("1")</f>
        <v>1</v>
      </c>
      <c r="Q1318" t="str">
        <f>("KURT Mesut")</f>
        <v>KURT Mesut</v>
      </c>
      <c r="R1318">
        <v>215</v>
      </c>
      <c r="S1318" t="s">
        <v>44</v>
      </c>
    </row>
    <row r="1319" spans="1:24" x14ac:dyDescent="0.35">
      <c r="A1319" t="s">
        <v>8</v>
      </c>
      <c r="B1319" t="s">
        <v>9</v>
      </c>
      <c r="C1319" t="str">
        <f t="shared" si="186"/>
        <v>11282</v>
      </c>
      <c r="D1319" t="s">
        <v>17</v>
      </c>
      <c r="E1319" t="str">
        <f t="shared" si="183"/>
        <v>25</v>
      </c>
      <c r="F1319">
        <v>29016</v>
      </c>
      <c r="G1319">
        <v>25938</v>
      </c>
      <c r="H1319">
        <v>1090</v>
      </c>
      <c r="I1319" t="str">
        <f>("9")</f>
        <v>9</v>
      </c>
      <c r="J1319" t="str">
        <f>("D-SA")</f>
        <v>D-SA</v>
      </c>
      <c r="K1319">
        <v>16</v>
      </c>
      <c r="L1319">
        <v>293</v>
      </c>
      <c r="M1319">
        <v>309</v>
      </c>
      <c r="O1319">
        <v>0</v>
      </c>
      <c r="P1319" t="str">
        <f>("1")</f>
        <v>1</v>
      </c>
      <c r="Q1319" t="str">
        <f>("ELHOSNI Mohamed Amin")</f>
        <v>ELHOSNI Mohamed Amin</v>
      </c>
      <c r="R1319">
        <v>154</v>
      </c>
      <c r="S1319" t="s">
        <v>44</v>
      </c>
    </row>
    <row r="1320" spans="1:24" x14ac:dyDescent="0.35">
      <c r="A1320" t="s">
        <v>8</v>
      </c>
      <c r="B1320" t="s">
        <v>9</v>
      </c>
      <c r="C1320" t="str">
        <f t="shared" si="186"/>
        <v>11282</v>
      </c>
      <c r="D1320" t="s">
        <v>17</v>
      </c>
      <c r="E1320" t="str">
        <f t="shared" si="183"/>
        <v>25</v>
      </c>
      <c r="F1320">
        <v>29016</v>
      </c>
      <c r="G1320">
        <v>25938</v>
      </c>
      <c r="H1320">
        <v>1090</v>
      </c>
      <c r="I1320" t="str">
        <f>("9")</f>
        <v>9</v>
      </c>
      <c r="J1320" t="str">
        <f>("D-SA")</f>
        <v>D-SA</v>
      </c>
      <c r="K1320">
        <v>16</v>
      </c>
      <c r="L1320">
        <v>293</v>
      </c>
      <c r="M1320">
        <v>309</v>
      </c>
      <c r="O1320">
        <v>0</v>
      </c>
      <c r="P1320" t="str">
        <f>("2")</f>
        <v>2</v>
      </c>
      <c r="Q1320" t="str">
        <f>("SABER Rahila")</f>
        <v>SABER Rahila</v>
      </c>
      <c r="R1320">
        <v>53</v>
      </c>
      <c r="S1320" t="s">
        <v>44</v>
      </c>
    </row>
    <row r="1321" spans="1:24" x14ac:dyDescent="0.35">
      <c r="A1321" t="s">
        <v>8</v>
      </c>
      <c r="B1321" t="s">
        <v>9</v>
      </c>
      <c r="C1321" t="str">
        <f t="shared" si="186"/>
        <v>11282</v>
      </c>
      <c r="D1321" t="s">
        <v>17</v>
      </c>
      <c r="E1321" t="str">
        <f t="shared" si="183"/>
        <v>25</v>
      </c>
      <c r="F1321">
        <v>29016</v>
      </c>
      <c r="G1321">
        <v>25938</v>
      </c>
      <c r="H1321">
        <v>1090</v>
      </c>
      <c r="I1321" t="str">
        <f>("9")</f>
        <v>9</v>
      </c>
      <c r="J1321" t="str">
        <f>("D-SA")</f>
        <v>D-SA</v>
      </c>
      <c r="K1321">
        <v>16</v>
      </c>
      <c r="L1321">
        <v>293</v>
      </c>
      <c r="M1321">
        <v>309</v>
      </c>
      <c r="O1321">
        <v>0</v>
      </c>
      <c r="P1321" t="str">
        <f>("3")</f>
        <v>3</v>
      </c>
      <c r="Q1321" t="str">
        <f>("GÜLSOY Abdullah")</f>
        <v>GÜLSOY Abdullah</v>
      </c>
      <c r="R1321">
        <v>92</v>
      </c>
      <c r="S1321" t="s">
        <v>44</v>
      </c>
    </row>
    <row r="1322" spans="1:24" x14ac:dyDescent="0.35">
      <c r="A1322" t="s">
        <v>8</v>
      </c>
      <c r="B1322" t="s">
        <v>9</v>
      </c>
      <c r="C1322" t="str">
        <f t="shared" si="186"/>
        <v>11282</v>
      </c>
      <c r="D1322" t="s">
        <v>17</v>
      </c>
      <c r="E1322" t="str">
        <f t="shared" si="183"/>
        <v>25</v>
      </c>
      <c r="F1322">
        <v>29016</v>
      </c>
      <c r="G1322">
        <v>25938</v>
      </c>
      <c r="H1322">
        <v>1090</v>
      </c>
      <c r="I1322" t="str">
        <f>("9")</f>
        <v>9</v>
      </c>
      <c r="J1322" t="str">
        <f>("D-SA")</f>
        <v>D-SA</v>
      </c>
      <c r="K1322">
        <v>16</v>
      </c>
      <c r="L1322">
        <v>293</v>
      </c>
      <c r="M1322">
        <v>309</v>
      </c>
      <c r="O1322">
        <v>0</v>
      </c>
      <c r="P1322" t="str">
        <f>("4")</f>
        <v>4</v>
      </c>
      <c r="Q1322" t="str">
        <f>("STAFA Nebie")</f>
        <v>STAFA Nebie</v>
      </c>
      <c r="R1322">
        <v>17</v>
      </c>
      <c r="S1322" t="s">
        <v>44</v>
      </c>
    </row>
    <row r="1323" spans="1:24" x14ac:dyDescent="0.35">
      <c r="A1323" t="s">
        <v>8</v>
      </c>
      <c r="B1323" t="s">
        <v>9</v>
      </c>
      <c r="C1323" t="str">
        <f t="shared" si="186"/>
        <v>11282</v>
      </c>
      <c r="D1323" t="s">
        <v>17</v>
      </c>
      <c r="E1323" t="str">
        <f t="shared" si="183"/>
        <v>25</v>
      </c>
      <c r="F1323">
        <v>29016</v>
      </c>
      <c r="G1323">
        <v>25938</v>
      </c>
      <c r="H1323">
        <v>1090</v>
      </c>
      <c r="I1323" t="str">
        <f>("9")</f>
        <v>9</v>
      </c>
      <c r="J1323" t="str">
        <f>("D-SA")</f>
        <v>D-SA</v>
      </c>
      <c r="K1323">
        <v>16</v>
      </c>
      <c r="L1323">
        <v>293</v>
      </c>
      <c r="M1323">
        <v>309</v>
      </c>
      <c r="O1323">
        <v>0</v>
      </c>
      <c r="P1323" t="str">
        <f>("5")</f>
        <v>5</v>
      </c>
      <c r="Q1323" t="str">
        <f>("STAFA Amel")</f>
        <v>STAFA Amel</v>
      </c>
      <c r="R1323">
        <v>28</v>
      </c>
      <c r="S1323" t="s">
        <v>44</v>
      </c>
    </row>
    <row r="1324" spans="1:24" x14ac:dyDescent="0.35">
      <c r="A1324" t="s">
        <v>8</v>
      </c>
      <c r="B1324" t="s">
        <v>9</v>
      </c>
      <c r="C1324" t="str">
        <f t="shared" si="186"/>
        <v>11282</v>
      </c>
      <c r="D1324" t="s">
        <v>17</v>
      </c>
      <c r="E1324" t="str">
        <f t="shared" si="183"/>
        <v>25</v>
      </c>
      <c r="F1324">
        <v>29016</v>
      </c>
      <c r="G1324">
        <v>25938</v>
      </c>
      <c r="H1324">
        <v>1090</v>
      </c>
      <c r="I1324" t="str">
        <f>("10")</f>
        <v>10</v>
      </c>
      <c r="J1324" t="str">
        <f>("Volkspartij")</f>
        <v>Volkspartij</v>
      </c>
      <c r="K1324">
        <v>30</v>
      </c>
      <c r="L1324">
        <v>106</v>
      </c>
      <c r="M1324">
        <v>136</v>
      </c>
      <c r="O1324">
        <v>0</v>
      </c>
      <c r="P1324" t="str">
        <f>("1")</f>
        <v>1</v>
      </c>
      <c r="Q1324" t="str">
        <f>("VANGHEEL-VAN DEN VONDER Jorrit")</f>
        <v>VANGHEEL-VAN DEN VONDER Jorrit</v>
      </c>
      <c r="R1324">
        <v>106</v>
      </c>
      <c r="S1324" t="s">
        <v>44</v>
      </c>
    </row>
    <row r="1325" spans="1:24" x14ac:dyDescent="0.35">
      <c r="A1325" t="s">
        <v>8</v>
      </c>
      <c r="B1325" t="s">
        <v>9</v>
      </c>
      <c r="C1325" t="str">
        <f t="shared" ref="C1325:C1356" si="187">("11292")</f>
        <v>11292</v>
      </c>
      <c r="D1325" t="s">
        <v>18</v>
      </c>
      <c r="E1325" t="str">
        <f t="shared" si="183"/>
        <v>25</v>
      </c>
      <c r="F1325">
        <v>28435</v>
      </c>
      <c r="G1325">
        <v>25720</v>
      </c>
      <c r="H1325">
        <v>837</v>
      </c>
      <c r="I1325" t="str">
        <f t="shared" ref="I1325:I1349" si="188">("1")</f>
        <v>1</v>
      </c>
      <c r="J1325" t="str">
        <f t="shared" ref="J1325:J1349" si="189">("sp.a")</f>
        <v>sp.a</v>
      </c>
      <c r="K1325">
        <v>564</v>
      </c>
      <c r="L1325">
        <v>1677</v>
      </c>
      <c r="M1325">
        <v>2241</v>
      </c>
      <c r="N1325">
        <v>1494</v>
      </c>
      <c r="O1325">
        <v>2</v>
      </c>
      <c r="P1325" t="str">
        <f>("1")</f>
        <v>1</v>
      </c>
      <c r="Q1325" t="str">
        <f>("TURAN Güler")</f>
        <v>TURAN Güler</v>
      </c>
      <c r="R1325">
        <v>555</v>
      </c>
      <c r="S1325">
        <v>931</v>
      </c>
      <c r="T1325">
        <v>0</v>
      </c>
      <c r="U1325">
        <v>1</v>
      </c>
    </row>
    <row r="1326" spans="1:24" x14ac:dyDescent="0.35">
      <c r="A1326" t="s">
        <v>8</v>
      </c>
      <c r="B1326" t="s">
        <v>9</v>
      </c>
      <c r="C1326" t="str">
        <f t="shared" si="187"/>
        <v>11292</v>
      </c>
      <c r="D1326" t="s">
        <v>18</v>
      </c>
      <c r="E1326" t="str">
        <f t="shared" si="183"/>
        <v>25</v>
      </c>
      <c r="F1326">
        <v>28435</v>
      </c>
      <c r="G1326">
        <v>25720</v>
      </c>
      <c r="H1326">
        <v>837</v>
      </c>
      <c r="I1326" t="str">
        <f t="shared" si="188"/>
        <v>1</v>
      </c>
      <c r="J1326" t="str">
        <f t="shared" si="189"/>
        <v>sp.a</v>
      </c>
      <c r="K1326">
        <v>564</v>
      </c>
      <c r="L1326">
        <v>1677</v>
      </c>
      <c r="M1326">
        <v>2241</v>
      </c>
      <c r="N1326">
        <v>1494</v>
      </c>
      <c r="O1326">
        <v>2</v>
      </c>
      <c r="P1326" t="str">
        <f>("2")</f>
        <v>2</v>
      </c>
      <c r="Q1326" t="str">
        <f>("PEETERS Johan")</f>
        <v>PEETERS Johan</v>
      </c>
      <c r="R1326">
        <v>442</v>
      </c>
      <c r="S1326">
        <v>442</v>
      </c>
      <c r="T1326">
        <v>0</v>
      </c>
      <c r="U1326">
        <v>2</v>
      </c>
    </row>
    <row r="1327" spans="1:24" x14ac:dyDescent="0.35">
      <c r="A1327" t="s">
        <v>8</v>
      </c>
      <c r="B1327" t="s">
        <v>9</v>
      </c>
      <c r="C1327" t="str">
        <f t="shared" si="187"/>
        <v>11292</v>
      </c>
      <c r="D1327" t="s">
        <v>18</v>
      </c>
      <c r="E1327" t="str">
        <f t="shared" si="183"/>
        <v>25</v>
      </c>
      <c r="F1327">
        <v>28435</v>
      </c>
      <c r="G1327">
        <v>25720</v>
      </c>
      <c r="H1327">
        <v>837</v>
      </c>
      <c r="I1327" t="str">
        <f t="shared" si="188"/>
        <v>1</v>
      </c>
      <c r="J1327" t="str">
        <f t="shared" si="189"/>
        <v>sp.a</v>
      </c>
      <c r="K1327">
        <v>564</v>
      </c>
      <c r="L1327">
        <v>1677</v>
      </c>
      <c r="M1327">
        <v>2241</v>
      </c>
      <c r="N1327">
        <v>1494</v>
      </c>
      <c r="O1327">
        <v>2</v>
      </c>
      <c r="P1327" t="str">
        <f>("3")</f>
        <v>3</v>
      </c>
      <c r="Q1327" t="str">
        <f>("EL MZAIRH Hicham")</f>
        <v>EL MZAIRH Hicham</v>
      </c>
      <c r="R1327">
        <v>257</v>
      </c>
      <c r="S1327" t="s">
        <v>44</v>
      </c>
      <c r="T1327">
        <v>0</v>
      </c>
      <c r="V1327">
        <v>1</v>
      </c>
      <c r="W1327">
        <v>633</v>
      </c>
      <c r="X1327">
        <v>0</v>
      </c>
    </row>
    <row r="1328" spans="1:24" x14ac:dyDescent="0.35">
      <c r="A1328" t="s">
        <v>8</v>
      </c>
      <c r="B1328" t="s">
        <v>9</v>
      </c>
      <c r="C1328" t="str">
        <f t="shared" si="187"/>
        <v>11292</v>
      </c>
      <c r="D1328" t="s">
        <v>18</v>
      </c>
      <c r="E1328" t="str">
        <f t="shared" si="183"/>
        <v>25</v>
      </c>
      <c r="F1328">
        <v>28435</v>
      </c>
      <c r="G1328">
        <v>25720</v>
      </c>
      <c r="H1328">
        <v>837</v>
      </c>
      <c r="I1328" t="str">
        <f t="shared" si="188"/>
        <v>1</v>
      </c>
      <c r="J1328" t="str">
        <f t="shared" si="189"/>
        <v>sp.a</v>
      </c>
      <c r="K1328">
        <v>564</v>
      </c>
      <c r="L1328">
        <v>1677</v>
      </c>
      <c r="M1328">
        <v>2241</v>
      </c>
      <c r="N1328">
        <v>1494</v>
      </c>
      <c r="O1328">
        <v>2</v>
      </c>
      <c r="P1328" t="str">
        <f>("4")</f>
        <v>4</v>
      </c>
      <c r="Q1328" t="str">
        <f>("DEPAUW Martine")</f>
        <v>DEPAUW Martine</v>
      </c>
      <c r="R1328">
        <v>150</v>
      </c>
      <c r="S1328" t="s">
        <v>44</v>
      </c>
      <c r="T1328">
        <v>0</v>
      </c>
      <c r="V1328">
        <v>2</v>
      </c>
      <c r="W1328">
        <v>150</v>
      </c>
      <c r="X1328">
        <v>0</v>
      </c>
    </row>
    <row r="1329" spans="1:24" x14ac:dyDescent="0.35">
      <c r="A1329" t="s">
        <v>8</v>
      </c>
      <c r="B1329" t="s">
        <v>9</v>
      </c>
      <c r="C1329" t="str">
        <f t="shared" si="187"/>
        <v>11292</v>
      </c>
      <c r="D1329" t="s">
        <v>18</v>
      </c>
      <c r="E1329" t="str">
        <f t="shared" si="183"/>
        <v>25</v>
      </c>
      <c r="F1329">
        <v>28435</v>
      </c>
      <c r="G1329">
        <v>25720</v>
      </c>
      <c r="H1329">
        <v>837</v>
      </c>
      <c r="I1329" t="str">
        <f t="shared" si="188"/>
        <v>1</v>
      </c>
      <c r="J1329" t="str">
        <f t="shared" si="189"/>
        <v>sp.a</v>
      </c>
      <c r="K1329">
        <v>564</v>
      </c>
      <c r="L1329">
        <v>1677</v>
      </c>
      <c r="M1329">
        <v>2241</v>
      </c>
      <c r="N1329">
        <v>1494</v>
      </c>
      <c r="O1329">
        <v>2</v>
      </c>
      <c r="P1329" t="str">
        <f>("5")</f>
        <v>5</v>
      </c>
      <c r="Q1329" t="str">
        <f>("SAN A JONG Dennis")</f>
        <v>SAN A JONG Dennis</v>
      </c>
      <c r="R1329">
        <v>73</v>
      </c>
      <c r="S1329" t="s">
        <v>44</v>
      </c>
      <c r="T1329">
        <v>0</v>
      </c>
      <c r="V1329">
        <v>12</v>
      </c>
      <c r="W1329">
        <v>73</v>
      </c>
      <c r="X1329">
        <v>0</v>
      </c>
    </row>
    <row r="1330" spans="1:24" x14ac:dyDescent="0.35">
      <c r="A1330" t="s">
        <v>8</v>
      </c>
      <c r="B1330" t="s">
        <v>9</v>
      </c>
      <c r="C1330" t="str">
        <f t="shared" si="187"/>
        <v>11292</v>
      </c>
      <c r="D1330" t="s">
        <v>18</v>
      </c>
      <c r="E1330" t="str">
        <f t="shared" si="183"/>
        <v>25</v>
      </c>
      <c r="F1330">
        <v>28435</v>
      </c>
      <c r="G1330">
        <v>25720</v>
      </c>
      <c r="H1330">
        <v>837</v>
      </c>
      <c r="I1330" t="str">
        <f t="shared" si="188"/>
        <v>1</v>
      </c>
      <c r="J1330" t="str">
        <f t="shared" si="189"/>
        <v>sp.a</v>
      </c>
      <c r="K1330">
        <v>564</v>
      </c>
      <c r="L1330">
        <v>1677</v>
      </c>
      <c r="M1330">
        <v>2241</v>
      </c>
      <c r="N1330">
        <v>1494</v>
      </c>
      <c r="O1330">
        <v>2</v>
      </c>
      <c r="P1330" t="str">
        <f>("6")</f>
        <v>6</v>
      </c>
      <c r="Q1330" t="str">
        <f>("WITTOCK Viviane")</f>
        <v>WITTOCK Viviane</v>
      </c>
      <c r="R1330">
        <v>109</v>
      </c>
      <c r="S1330" t="s">
        <v>44</v>
      </c>
      <c r="T1330">
        <v>0</v>
      </c>
      <c r="V1330">
        <v>5</v>
      </c>
      <c r="W1330">
        <v>109</v>
      </c>
      <c r="X1330">
        <v>0</v>
      </c>
    </row>
    <row r="1331" spans="1:24" x14ac:dyDescent="0.35">
      <c r="A1331" t="s">
        <v>8</v>
      </c>
      <c r="B1331" t="s">
        <v>9</v>
      </c>
      <c r="C1331" t="str">
        <f t="shared" si="187"/>
        <v>11292</v>
      </c>
      <c r="D1331" t="s">
        <v>18</v>
      </c>
      <c r="E1331" t="str">
        <f t="shared" si="183"/>
        <v>25</v>
      </c>
      <c r="F1331">
        <v>28435</v>
      </c>
      <c r="G1331">
        <v>25720</v>
      </c>
      <c r="H1331">
        <v>837</v>
      </c>
      <c r="I1331" t="str">
        <f t="shared" si="188"/>
        <v>1</v>
      </c>
      <c r="J1331" t="str">
        <f t="shared" si="189"/>
        <v>sp.a</v>
      </c>
      <c r="K1331">
        <v>564</v>
      </c>
      <c r="L1331">
        <v>1677</v>
      </c>
      <c r="M1331">
        <v>2241</v>
      </c>
      <c r="N1331">
        <v>1494</v>
      </c>
      <c r="O1331">
        <v>2</v>
      </c>
      <c r="P1331" t="str">
        <f>("7")</f>
        <v>7</v>
      </c>
      <c r="Q1331" t="str">
        <f>("DE KEYZER Walter")</f>
        <v>DE KEYZER Walter</v>
      </c>
      <c r="R1331">
        <v>100</v>
      </c>
      <c r="S1331" t="s">
        <v>44</v>
      </c>
      <c r="T1331">
        <v>0</v>
      </c>
      <c r="V1331">
        <v>6</v>
      </c>
      <c r="W1331">
        <v>100</v>
      </c>
      <c r="X1331">
        <v>0</v>
      </c>
    </row>
    <row r="1332" spans="1:24" x14ac:dyDescent="0.35">
      <c r="A1332" t="s">
        <v>8</v>
      </c>
      <c r="B1332" t="s">
        <v>9</v>
      </c>
      <c r="C1332" t="str">
        <f t="shared" si="187"/>
        <v>11292</v>
      </c>
      <c r="D1332" t="s">
        <v>18</v>
      </c>
      <c r="E1332" t="str">
        <f t="shared" si="183"/>
        <v>25</v>
      </c>
      <c r="F1332">
        <v>28435</v>
      </c>
      <c r="G1332">
        <v>25720</v>
      </c>
      <c r="H1332">
        <v>837</v>
      </c>
      <c r="I1332" t="str">
        <f t="shared" si="188"/>
        <v>1</v>
      </c>
      <c r="J1332" t="str">
        <f t="shared" si="189"/>
        <v>sp.a</v>
      </c>
      <c r="K1332">
        <v>564</v>
      </c>
      <c r="L1332">
        <v>1677</v>
      </c>
      <c r="M1332">
        <v>2241</v>
      </c>
      <c r="N1332">
        <v>1494</v>
      </c>
      <c r="O1332">
        <v>2</v>
      </c>
      <c r="P1332" t="str">
        <f>("8")</f>
        <v>8</v>
      </c>
      <c r="Q1332" t="str">
        <f>("RUYS Amber")</f>
        <v>RUYS Amber</v>
      </c>
      <c r="R1332">
        <v>76</v>
      </c>
      <c r="S1332" t="s">
        <v>44</v>
      </c>
      <c r="T1332">
        <v>0</v>
      </c>
      <c r="V1332">
        <v>11</v>
      </c>
      <c r="W1332">
        <v>76</v>
      </c>
      <c r="X1332">
        <v>0</v>
      </c>
    </row>
    <row r="1333" spans="1:24" x14ac:dyDescent="0.35">
      <c r="A1333" t="s">
        <v>8</v>
      </c>
      <c r="B1333" t="s">
        <v>9</v>
      </c>
      <c r="C1333" t="str">
        <f t="shared" si="187"/>
        <v>11292</v>
      </c>
      <c r="D1333" t="s">
        <v>18</v>
      </c>
      <c r="E1333" t="str">
        <f t="shared" si="183"/>
        <v>25</v>
      </c>
      <c r="F1333">
        <v>28435</v>
      </c>
      <c r="G1333">
        <v>25720</v>
      </c>
      <c r="H1333">
        <v>837</v>
      </c>
      <c r="I1333" t="str">
        <f t="shared" si="188"/>
        <v>1</v>
      </c>
      <c r="J1333" t="str">
        <f t="shared" si="189"/>
        <v>sp.a</v>
      </c>
      <c r="K1333">
        <v>564</v>
      </c>
      <c r="L1333">
        <v>1677</v>
      </c>
      <c r="M1333">
        <v>2241</v>
      </c>
      <c r="N1333">
        <v>1494</v>
      </c>
      <c r="O1333">
        <v>2</v>
      </c>
      <c r="P1333" t="str">
        <f>("9")</f>
        <v>9</v>
      </c>
      <c r="Q1333" t="str">
        <f>("ABOU EL GHAR Chadi")</f>
        <v>ABOU EL GHAR Chadi</v>
      </c>
      <c r="R1333">
        <v>90</v>
      </c>
      <c r="S1333" t="s">
        <v>44</v>
      </c>
      <c r="T1333">
        <v>0</v>
      </c>
      <c r="V1333">
        <v>8</v>
      </c>
      <c r="W1333">
        <v>90</v>
      </c>
      <c r="X1333">
        <v>0</v>
      </c>
    </row>
    <row r="1334" spans="1:24" x14ac:dyDescent="0.35">
      <c r="A1334" t="s">
        <v>8</v>
      </c>
      <c r="B1334" t="s">
        <v>9</v>
      </c>
      <c r="C1334" t="str">
        <f t="shared" si="187"/>
        <v>11292</v>
      </c>
      <c r="D1334" t="s">
        <v>18</v>
      </c>
      <c r="E1334" t="str">
        <f t="shared" si="183"/>
        <v>25</v>
      </c>
      <c r="F1334">
        <v>28435</v>
      </c>
      <c r="G1334">
        <v>25720</v>
      </c>
      <c r="H1334">
        <v>837</v>
      </c>
      <c r="I1334" t="str">
        <f t="shared" si="188"/>
        <v>1</v>
      </c>
      <c r="J1334" t="str">
        <f t="shared" si="189"/>
        <v>sp.a</v>
      </c>
      <c r="K1334">
        <v>564</v>
      </c>
      <c r="L1334">
        <v>1677</v>
      </c>
      <c r="M1334">
        <v>2241</v>
      </c>
      <c r="N1334">
        <v>1494</v>
      </c>
      <c r="O1334">
        <v>2</v>
      </c>
      <c r="P1334" t="str">
        <f>("10")</f>
        <v>10</v>
      </c>
      <c r="Q1334" t="str">
        <f>("FRANCK Ariane")</f>
        <v>FRANCK Ariane</v>
      </c>
      <c r="R1334">
        <v>70</v>
      </c>
      <c r="S1334" t="s">
        <v>44</v>
      </c>
      <c r="T1334">
        <v>0</v>
      </c>
      <c r="V1334">
        <v>14</v>
      </c>
      <c r="W1334">
        <v>70</v>
      </c>
      <c r="X1334">
        <v>0</v>
      </c>
    </row>
    <row r="1335" spans="1:24" x14ac:dyDescent="0.35">
      <c r="A1335" t="s">
        <v>8</v>
      </c>
      <c r="B1335" t="s">
        <v>9</v>
      </c>
      <c r="C1335" t="str">
        <f t="shared" si="187"/>
        <v>11292</v>
      </c>
      <c r="D1335" t="s">
        <v>18</v>
      </c>
      <c r="E1335" t="str">
        <f t="shared" ref="E1335:E1398" si="190">("25")</f>
        <v>25</v>
      </c>
      <c r="F1335">
        <v>28435</v>
      </c>
      <c r="G1335">
        <v>25720</v>
      </c>
      <c r="H1335">
        <v>837</v>
      </c>
      <c r="I1335" t="str">
        <f t="shared" si="188"/>
        <v>1</v>
      </c>
      <c r="J1335" t="str">
        <f t="shared" si="189"/>
        <v>sp.a</v>
      </c>
      <c r="K1335">
        <v>564</v>
      </c>
      <c r="L1335">
        <v>1677</v>
      </c>
      <c r="M1335">
        <v>2241</v>
      </c>
      <c r="N1335">
        <v>1494</v>
      </c>
      <c r="O1335">
        <v>2</v>
      </c>
      <c r="P1335" t="str">
        <f>("11")</f>
        <v>11</v>
      </c>
      <c r="Q1335" t="str">
        <f>("HENNAERT Kelly")</f>
        <v>HENNAERT Kelly</v>
      </c>
      <c r="R1335">
        <v>55</v>
      </c>
      <c r="S1335" t="s">
        <v>44</v>
      </c>
      <c r="T1335">
        <v>0</v>
      </c>
      <c r="V1335">
        <v>20</v>
      </c>
      <c r="W1335">
        <v>55</v>
      </c>
      <c r="X1335">
        <v>0</v>
      </c>
    </row>
    <row r="1336" spans="1:24" x14ac:dyDescent="0.35">
      <c r="A1336" t="s">
        <v>8</v>
      </c>
      <c r="B1336" t="s">
        <v>9</v>
      </c>
      <c r="C1336" t="str">
        <f t="shared" si="187"/>
        <v>11292</v>
      </c>
      <c r="D1336" t="s">
        <v>18</v>
      </c>
      <c r="E1336" t="str">
        <f t="shared" si="190"/>
        <v>25</v>
      </c>
      <c r="F1336">
        <v>28435</v>
      </c>
      <c r="G1336">
        <v>25720</v>
      </c>
      <c r="H1336">
        <v>837</v>
      </c>
      <c r="I1336" t="str">
        <f t="shared" si="188"/>
        <v>1</v>
      </c>
      <c r="J1336" t="str">
        <f t="shared" si="189"/>
        <v>sp.a</v>
      </c>
      <c r="K1336">
        <v>564</v>
      </c>
      <c r="L1336">
        <v>1677</v>
      </c>
      <c r="M1336">
        <v>2241</v>
      </c>
      <c r="N1336">
        <v>1494</v>
      </c>
      <c r="O1336">
        <v>2</v>
      </c>
      <c r="P1336" t="str">
        <f>("12")</f>
        <v>12</v>
      </c>
      <c r="Q1336" t="str">
        <f>("DE VROEDE Piet")</f>
        <v>DE VROEDE Piet</v>
      </c>
      <c r="R1336">
        <v>48</v>
      </c>
      <c r="S1336" t="s">
        <v>44</v>
      </c>
      <c r="T1336">
        <v>0</v>
      </c>
      <c r="V1336">
        <v>22</v>
      </c>
      <c r="W1336">
        <v>48</v>
      </c>
      <c r="X1336">
        <v>0</v>
      </c>
    </row>
    <row r="1337" spans="1:24" x14ac:dyDescent="0.35">
      <c r="A1337" t="s">
        <v>8</v>
      </c>
      <c r="B1337" t="s">
        <v>9</v>
      </c>
      <c r="C1337" t="str">
        <f t="shared" si="187"/>
        <v>11292</v>
      </c>
      <c r="D1337" t="s">
        <v>18</v>
      </c>
      <c r="E1337" t="str">
        <f t="shared" si="190"/>
        <v>25</v>
      </c>
      <c r="F1337">
        <v>28435</v>
      </c>
      <c r="G1337">
        <v>25720</v>
      </c>
      <c r="H1337">
        <v>837</v>
      </c>
      <c r="I1337" t="str">
        <f t="shared" si="188"/>
        <v>1</v>
      </c>
      <c r="J1337" t="str">
        <f t="shared" si="189"/>
        <v>sp.a</v>
      </c>
      <c r="K1337">
        <v>564</v>
      </c>
      <c r="L1337">
        <v>1677</v>
      </c>
      <c r="M1337">
        <v>2241</v>
      </c>
      <c r="N1337">
        <v>1494</v>
      </c>
      <c r="O1337">
        <v>2</v>
      </c>
      <c r="P1337" t="str">
        <f>("13")</f>
        <v>13</v>
      </c>
      <c r="Q1337" t="str">
        <f>("KLIOUAL Layla")</f>
        <v>KLIOUAL Layla</v>
      </c>
      <c r="R1337">
        <v>111</v>
      </c>
      <c r="S1337" t="s">
        <v>44</v>
      </c>
      <c r="T1337">
        <v>0</v>
      </c>
      <c r="V1337">
        <v>4</v>
      </c>
      <c r="W1337">
        <v>111</v>
      </c>
      <c r="X1337">
        <v>0</v>
      </c>
    </row>
    <row r="1338" spans="1:24" x14ac:dyDescent="0.35">
      <c r="A1338" t="s">
        <v>8</v>
      </c>
      <c r="B1338" t="s">
        <v>9</v>
      </c>
      <c r="C1338" t="str">
        <f t="shared" si="187"/>
        <v>11292</v>
      </c>
      <c r="D1338" t="s">
        <v>18</v>
      </c>
      <c r="E1338" t="str">
        <f t="shared" si="190"/>
        <v>25</v>
      </c>
      <c r="F1338">
        <v>28435</v>
      </c>
      <c r="G1338">
        <v>25720</v>
      </c>
      <c r="H1338">
        <v>837</v>
      </c>
      <c r="I1338" t="str">
        <f t="shared" si="188"/>
        <v>1</v>
      </c>
      <c r="J1338" t="str">
        <f t="shared" si="189"/>
        <v>sp.a</v>
      </c>
      <c r="K1338">
        <v>564</v>
      </c>
      <c r="L1338">
        <v>1677</v>
      </c>
      <c r="M1338">
        <v>2241</v>
      </c>
      <c r="N1338">
        <v>1494</v>
      </c>
      <c r="O1338">
        <v>2</v>
      </c>
      <c r="P1338" t="str">
        <f>("14")</f>
        <v>14</v>
      </c>
      <c r="Q1338" t="str">
        <f>("MEEUSEN Vlad")</f>
        <v>MEEUSEN Vlad</v>
      </c>
      <c r="R1338">
        <v>66</v>
      </c>
      <c r="S1338" t="s">
        <v>44</v>
      </c>
      <c r="T1338">
        <v>0</v>
      </c>
      <c r="V1338">
        <v>16</v>
      </c>
      <c r="W1338">
        <v>66</v>
      </c>
      <c r="X1338">
        <v>0</v>
      </c>
    </row>
    <row r="1339" spans="1:24" x14ac:dyDescent="0.35">
      <c r="A1339" t="s">
        <v>8</v>
      </c>
      <c r="B1339" t="s">
        <v>9</v>
      </c>
      <c r="C1339" t="str">
        <f t="shared" si="187"/>
        <v>11292</v>
      </c>
      <c r="D1339" t="s">
        <v>18</v>
      </c>
      <c r="E1339" t="str">
        <f t="shared" si="190"/>
        <v>25</v>
      </c>
      <c r="F1339">
        <v>28435</v>
      </c>
      <c r="G1339">
        <v>25720</v>
      </c>
      <c r="H1339">
        <v>837</v>
      </c>
      <c r="I1339" t="str">
        <f t="shared" si="188"/>
        <v>1</v>
      </c>
      <c r="J1339" t="str">
        <f t="shared" si="189"/>
        <v>sp.a</v>
      </c>
      <c r="K1339">
        <v>564</v>
      </c>
      <c r="L1339">
        <v>1677</v>
      </c>
      <c r="M1339">
        <v>2241</v>
      </c>
      <c r="N1339">
        <v>1494</v>
      </c>
      <c r="O1339">
        <v>2</v>
      </c>
      <c r="P1339" t="str">
        <f>("15")</f>
        <v>15</v>
      </c>
      <c r="Q1339" t="str">
        <f>("BWATU NKAYA Annie")</f>
        <v>BWATU NKAYA Annie</v>
      </c>
      <c r="R1339">
        <v>65</v>
      </c>
      <c r="S1339" t="s">
        <v>44</v>
      </c>
      <c r="T1339">
        <v>0</v>
      </c>
      <c r="V1339">
        <v>17</v>
      </c>
      <c r="W1339">
        <v>65</v>
      </c>
      <c r="X1339">
        <v>0</v>
      </c>
    </row>
    <row r="1340" spans="1:24" x14ac:dyDescent="0.35">
      <c r="A1340" t="s">
        <v>8</v>
      </c>
      <c r="B1340" t="s">
        <v>9</v>
      </c>
      <c r="C1340" t="str">
        <f t="shared" si="187"/>
        <v>11292</v>
      </c>
      <c r="D1340" t="s">
        <v>18</v>
      </c>
      <c r="E1340" t="str">
        <f t="shared" si="190"/>
        <v>25</v>
      </c>
      <c r="F1340">
        <v>28435</v>
      </c>
      <c r="G1340">
        <v>25720</v>
      </c>
      <c r="H1340">
        <v>837</v>
      </c>
      <c r="I1340" t="str">
        <f t="shared" si="188"/>
        <v>1</v>
      </c>
      <c r="J1340" t="str">
        <f t="shared" si="189"/>
        <v>sp.a</v>
      </c>
      <c r="K1340">
        <v>564</v>
      </c>
      <c r="L1340">
        <v>1677</v>
      </c>
      <c r="M1340">
        <v>2241</v>
      </c>
      <c r="N1340">
        <v>1494</v>
      </c>
      <c r="O1340">
        <v>2</v>
      </c>
      <c r="P1340" t="str">
        <f>("16")</f>
        <v>16</v>
      </c>
      <c r="Q1340" t="str">
        <f>("JOHRI Halid")</f>
        <v>JOHRI Halid</v>
      </c>
      <c r="R1340">
        <v>98</v>
      </c>
      <c r="S1340" t="s">
        <v>44</v>
      </c>
      <c r="T1340">
        <v>0</v>
      </c>
      <c r="V1340">
        <v>7</v>
      </c>
      <c r="W1340">
        <v>98</v>
      </c>
      <c r="X1340">
        <v>0</v>
      </c>
    </row>
    <row r="1341" spans="1:24" x14ac:dyDescent="0.35">
      <c r="A1341" t="s">
        <v>8</v>
      </c>
      <c r="B1341" t="s">
        <v>9</v>
      </c>
      <c r="C1341" t="str">
        <f t="shared" si="187"/>
        <v>11292</v>
      </c>
      <c r="D1341" t="s">
        <v>18</v>
      </c>
      <c r="E1341" t="str">
        <f t="shared" si="190"/>
        <v>25</v>
      </c>
      <c r="F1341">
        <v>28435</v>
      </c>
      <c r="G1341">
        <v>25720</v>
      </c>
      <c r="H1341">
        <v>837</v>
      </c>
      <c r="I1341" t="str">
        <f t="shared" si="188"/>
        <v>1</v>
      </c>
      <c r="J1341" t="str">
        <f t="shared" si="189"/>
        <v>sp.a</v>
      </c>
      <c r="K1341">
        <v>564</v>
      </c>
      <c r="L1341">
        <v>1677</v>
      </c>
      <c r="M1341">
        <v>2241</v>
      </c>
      <c r="N1341">
        <v>1494</v>
      </c>
      <c r="O1341">
        <v>2</v>
      </c>
      <c r="P1341" t="str">
        <f>("17")</f>
        <v>17</v>
      </c>
      <c r="Q1341" t="str">
        <f>("VERKEM Sarah")</f>
        <v>VERKEM Sarah</v>
      </c>
      <c r="R1341">
        <v>53</v>
      </c>
      <c r="S1341" t="s">
        <v>44</v>
      </c>
      <c r="T1341">
        <v>0</v>
      </c>
      <c r="V1341">
        <v>21</v>
      </c>
      <c r="W1341">
        <v>53</v>
      </c>
      <c r="X1341">
        <v>0</v>
      </c>
    </row>
    <row r="1342" spans="1:24" x14ac:dyDescent="0.35">
      <c r="A1342" t="s">
        <v>8</v>
      </c>
      <c r="B1342" t="s">
        <v>9</v>
      </c>
      <c r="C1342" t="str">
        <f t="shared" si="187"/>
        <v>11292</v>
      </c>
      <c r="D1342" t="s">
        <v>18</v>
      </c>
      <c r="E1342" t="str">
        <f t="shared" si="190"/>
        <v>25</v>
      </c>
      <c r="F1342">
        <v>28435</v>
      </c>
      <c r="G1342">
        <v>25720</v>
      </c>
      <c r="H1342">
        <v>837</v>
      </c>
      <c r="I1342" t="str">
        <f t="shared" si="188"/>
        <v>1</v>
      </c>
      <c r="J1342" t="str">
        <f t="shared" si="189"/>
        <v>sp.a</v>
      </c>
      <c r="K1342">
        <v>564</v>
      </c>
      <c r="L1342">
        <v>1677</v>
      </c>
      <c r="M1342">
        <v>2241</v>
      </c>
      <c r="N1342">
        <v>1494</v>
      </c>
      <c r="O1342">
        <v>2</v>
      </c>
      <c r="P1342" t="str">
        <f>("18")</f>
        <v>18</v>
      </c>
      <c r="Q1342" t="str">
        <f>("VERHEYEN Sean")</f>
        <v>VERHEYEN Sean</v>
      </c>
      <c r="R1342">
        <v>39</v>
      </c>
      <c r="S1342" t="s">
        <v>44</v>
      </c>
      <c r="T1342">
        <v>0</v>
      </c>
      <c r="V1342">
        <v>23</v>
      </c>
      <c r="W1342">
        <v>39</v>
      </c>
      <c r="X1342">
        <v>0</v>
      </c>
    </row>
    <row r="1343" spans="1:24" x14ac:dyDescent="0.35">
      <c r="A1343" t="s">
        <v>8</v>
      </c>
      <c r="B1343" t="s">
        <v>9</v>
      </c>
      <c r="C1343" t="str">
        <f t="shared" si="187"/>
        <v>11292</v>
      </c>
      <c r="D1343" t="s">
        <v>18</v>
      </c>
      <c r="E1343" t="str">
        <f t="shared" si="190"/>
        <v>25</v>
      </c>
      <c r="F1343">
        <v>28435</v>
      </c>
      <c r="G1343">
        <v>25720</v>
      </c>
      <c r="H1343">
        <v>837</v>
      </c>
      <c r="I1343" t="str">
        <f t="shared" si="188"/>
        <v>1</v>
      </c>
      <c r="J1343" t="str">
        <f t="shared" si="189"/>
        <v>sp.a</v>
      </c>
      <c r="K1343">
        <v>564</v>
      </c>
      <c r="L1343">
        <v>1677</v>
      </c>
      <c r="M1343">
        <v>2241</v>
      </c>
      <c r="N1343">
        <v>1494</v>
      </c>
      <c r="O1343">
        <v>2</v>
      </c>
      <c r="P1343" t="str">
        <f>("19")</f>
        <v>19</v>
      </c>
      <c r="Q1343" t="str">
        <f>("BLANQUART Pat")</f>
        <v>BLANQUART Pat</v>
      </c>
      <c r="R1343">
        <v>59</v>
      </c>
      <c r="S1343" t="s">
        <v>44</v>
      </c>
      <c r="T1343">
        <v>0</v>
      </c>
      <c r="V1343">
        <v>19</v>
      </c>
      <c r="W1343">
        <v>59</v>
      </c>
      <c r="X1343">
        <v>0</v>
      </c>
    </row>
    <row r="1344" spans="1:24" x14ac:dyDescent="0.35">
      <c r="A1344" t="s">
        <v>8</v>
      </c>
      <c r="B1344" t="s">
        <v>9</v>
      </c>
      <c r="C1344" t="str">
        <f t="shared" si="187"/>
        <v>11292</v>
      </c>
      <c r="D1344" t="s">
        <v>18</v>
      </c>
      <c r="E1344" t="str">
        <f t="shared" si="190"/>
        <v>25</v>
      </c>
      <c r="F1344">
        <v>28435</v>
      </c>
      <c r="G1344">
        <v>25720</v>
      </c>
      <c r="H1344">
        <v>837</v>
      </c>
      <c r="I1344" t="str">
        <f t="shared" si="188"/>
        <v>1</v>
      </c>
      <c r="J1344" t="str">
        <f t="shared" si="189"/>
        <v>sp.a</v>
      </c>
      <c r="K1344">
        <v>564</v>
      </c>
      <c r="L1344">
        <v>1677</v>
      </c>
      <c r="M1344">
        <v>2241</v>
      </c>
      <c r="N1344">
        <v>1494</v>
      </c>
      <c r="O1344">
        <v>2</v>
      </c>
      <c r="P1344" t="str">
        <f>("20")</f>
        <v>20</v>
      </c>
      <c r="Q1344" t="str">
        <f>("INCIKUSU Leyla")</f>
        <v>INCIKUSU Leyla</v>
      </c>
      <c r="R1344">
        <v>84</v>
      </c>
      <c r="S1344" t="s">
        <v>44</v>
      </c>
      <c r="T1344">
        <v>0</v>
      </c>
      <c r="V1344">
        <v>9</v>
      </c>
      <c r="W1344">
        <v>84</v>
      </c>
      <c r="X1344">
        <v>0</v>
      </c>
    </row>
    <row r="1345" spans="1:24" x14ac:dyDescent="0.35">
      <c r="A1345" t="s">
        <v>8</v>
      </c>
      <c r="B1345" t="s">
        <v>9</v>
      </c>
      <c r="C1345" t="str">
        <f t="shared" si="187"/>
        <v>11292</v>
      </c>
      <c r="D1345" t="s">
        <v>18</v>
      </c>
      <c r="E1345" t="str">
        <f t="shared" si="190"/>
        <v>25</v>
      </c>
      <c r="F1345">
        <v>28435</v>
      </c>
      <c r="G1345">
        <v>25720</v>
      </c>
      <c r="H1345">
        <v>837</v>
      </c>
      <c r="I1345" t="str">
        <f t="shared" si="188"/>
        <v>1</v>
      </c>
      <c r="J1345" t="str">
        <f t="shared" si="189"/>
        <v>sp.a</v>
      </c>
      <c r="K1345">
        <v>564</v>
      </c>
      <c r="L1345">
        <v>1677</v>
      </c>
      <c r="M1345">
        <v>2241</v>
      </c>
      <c r="N1345">
        <v>1494</v>
      </c>
      <c r="O1345">
        <v>2</v>
      </c>
      <c r="P1345" t="str">
        <f>("21")</f>
        <v>21</v>
      </c>
      <c r="Q1345" t="str">
        <f>("MEEUSEN Roger")</f>
        <v>MEEUSEN Roger</v>
      </c>
      <c r="R1345">
        <v>60</v>
      </c>
      <c r="S1345" t="s">
        <v>44</v>
      </c>
      <c r="T1345">
        <v>0</v>
      </c>
      <c r="V1345">
        <v>18</v>
      </c>
      <c r="W1345">
        <v>60</v>
      </c>
      <c r="X1345">
        <v>0</v>
      </c>
    </row>
    <row r="1346" spans="1:24" x14ac:dyDescent="0.35">
      <c r="A1346" t="s">
        <v>8</v>
      </c>
      <c r="B1346" t="s">
        <v>9</v>
      </c>
      <c r="C1346" t="str">
        <f t="shared" si="187"/>
        <v>11292</v>
      </c>
      <c r="D1346" t="s">
        <v>18</v>
      </c>
      <c r="E1346" t="str">
        <f t="shared" si="190"/>
        <v>25</v>
      </c>
      <c r="F1346">
        <v>28435</v>
      </c>
      <c r="G1346">
        <v>25720</v>
      </c>
      <c r="H1346">
        <v>837</v>
      </c>
      <c r="I1346" t="str">
        <f t="shared" si="188"/>
        <v>1</v>
      </c>
      <c r="J1346" t="str">
        <f t="shared" si="189"/>
        <v>sp.a</v>
      </c>
      <c r="K1346">
        <v>564</v>
      </c>
      <c r="L1346">
        <v>1677</v>
      </c>
      <c r="M1346">
        <v>2241</v>
      </c>
      <c r="N1346">
        <v>1494</v>
      </c>
      <c r="O1346">
        <v>2</v>
      </c>
      <c r="P1346" t="str">
        <f>("22")</f>
        <v>22</v>
      </c>
      <c r="Q1346" t="str">
        <f>("CLOOSTERMANS Nathalie")</f>
        <v>CLOOSTERMANS Nathalie</v>
      </c>
      <c r="R1346">
        <v>71</v>
      </c>
      <c r="S1346" t="s">
        <v>44</v>
      </c>
      <c r="T1346">
        <v>0</v>
      </c>
      <c r="V1346">
        <v>13</v>
      </c>
      <c r="W1346">
        <v>71</v>
      </c>
      <c r="X1346">
        <v>0</v>
      </c>
    </row>
    <row r="1347" spans="1:24" x14ac:dyDescent="0.35">
      <c r="A1347" t="s">
        <v>8</v>
      </c>
      <c r="B1347" t="s">
        <v>9</v>
      </c>
      <c r="C1347" t="str">
        <f t="shared" si="187"/>
        <v>11292</v>
      </c>
      <c r="D1347" t="s">
        <v>18</v>
      </c>
      <c r="E1347" t="str">
        <f t="shared" si="190"/>
        <v>25</v>
      </c>
      <c r="F1347">
        <v>28435</v>
      </c>
      <c r="G1347">
        <v>25720</v>
      </c>
      <c r="H1347">
        <v>837</v>
      </c>
      <c r="I1347" t="str">
        <f t="shared" si="188"/>
        <v>1</v>
      </c>
      <c r="J1347" t="str">
        <f t="shared" si="189"/>
        <v>sp.a</v>
      </c>
      <c r="K1347">
        <v>564</v>
      </c>
      <c r="L1347">
        <v>1677</v>
      </c>
      <c r="M1347">
        <v>2241</v>
      </c>
      <c r="N1347">
        <v>1494</v>
      </c>
      <c r="O1347">
        <v>2</v>
      </c>
      <c r="P1347" t="str">
        <f>("23")</f>
        <v>23</v>
      </c>
      <c r="Q1347" t="str">
        <f>("DEVILLERS Victor")</f>
        <v>DEVILLERS Victor</v>
      </c>
      <c r="R1347">
        <v>81</v>
      </c>
      <c r="S1347" t="s">
        <v>44</v>
      </c>
      <c r="T1347">
        <v>0</v>
      </c>
      <c r="V1347">
        <v>10</v>
      </c>
      <c r="W1347">
        <v>81</v>
      </c>
      <c r="X1347">
        <v>0</v>
      </c>
    </row>
    <row r="1348" spans="1:24" x14ac:dyDescent="0.35">
      <c r="A1348" t="s">
        <v>8</v>
      </c>
      <c r="B1348" t="s">
        <v>9</v>
      </c>
      <c r="C1348" t="str">
        <f t="shared" si="187"/>
        <v>11292</v>
      </c>
      <c r="D1348" t="s">
        <v>18</v>
      </c>
      <c r="E1348" t="str">
        <f t="shared" si="190"/>
        <v>25</v>
      </c>
      <c r="F1348">
        <v>28435</v>
      </c>
      <c r="G1348">
        <v>25720</v>
      </c>
      <c r="H1348">
        <v>837</v>
      </c>
      <c r="I1348" t="str">
        <f t="shared" si="188"/>
        <v>1</v>
      </c>
      <c r="J1348" t="str">
        <f t="shared" si="189"/>
        <v>sp.a</v>
      </c>
      <c r="K1348">
        <v>564</v>
      </c>
      <c r="L1348">
        <v>1677</v>
      </c>
      <c r="M1348">
        <v>2241</v>
      </c>
      <c r="N1348">
        <v>1494</v>
      </c>
      <c r="O1348">
        <v>2</v>
      </c>
      <c r="P1348" t="str">
        <f>("24")</f>
        <v>24</v>
      </c>
      <c r="Q1348" t="str">
        <f>("VAN ACKER Jannine")</f>
        <v>VAN ACKER Jannine</v>
      </c>
      <c r="R1348">
        <v>67</v>
      </c>
      <c r="S1348" t="s">
        <v>44</v>
      </c>
      <c r="T1348">
        <v>0</v>
      </c>
      <c r="V1348">
        <v>15</v>
      </c>
      <c r="W1348">
        <v>67</v>
      </c>
      <c r="X1348">
        <v>0</v>
      </c>
    </row>
    <row r="1349" spans="1:24" x14ac:dyDescent="0.35">
      <c r="A1349" t="s">
        <v>8</v>
      </c>
      <c r="B1349" t="s">
        <v>9</v>
      </c>
      <c r="C1349" t="str">
        <f t="shared" si="187"/>
        <v>11292</v>
      </c>
      <c r="D1349" t="s">
        <v>18</v>
      </c>
      <c r="E1349" t="str">
        <f t="shared" si="190"/>
        <v>25</v>
      </c>
      <c r="F1349">
        <v>28435</v>
      </c>
      <c r="G1349">
        <v>25720</v>
      </c>
      <c r="H1349">
        <v>837</v>
      </c>
      <c r="I1349" t="str">
        <f t="shared" si="188"/>
        <v>1</v>
      </c>
      <c r="J1349" t="str">
        <f t="shared" si="189"/>
        <v>sp.a</v>
      </c>
      <c r="K1349">
        <v>564</v>
      </c>
      <c r="L1349">
        <v>1677</v>
      </c>
      <c r="M1349">
        <v>2241</v>
      </c>
      <c r="N1349">
        <v>1494</v>
      </c>
      <c r="O1349">
        <v>2</v>
      </c>
      <c r="P1349" t="str">
        <f>("25")</f>
        <v>25</v>
      </c>
      <c r="Q1349" t="str">
        <f>("AL JOUAIDI Omar")</f>
        <v>AL JOUAIDI Omar</v>
      </c>
      <c r="R1349">
        <v>137</v>
      </c>
      <c r="S1349" t="s">
        <v>44</v>
      </c>
      <c r="T1349">
        <v>0</v>
      </c>
      <c r="V1349">
        <v>3</v>
      </c>
      <c r="W1349">
        <v>137</v>
      </c>
      <c r="X1349">
        <v>0</v>
      </c>
    </row>
    <row r="1350" spans="1:24" x14ac:dyDescent="0.35">
      <c r="A1350" t="s">
        <v>8</v>
      </c>
      <c r="B1350" t="s">
        <v>9</v>
      </c>
      <c r="C1350" t="str">
        <f t="shared" si="187"/>
        <v>11292</v>
      </c>
      <c r="D1350" t="s">
        <v>18</v>
      </c>
      <c r="E1350" t="str">
        <f t="shared" si="190"/>
        <v>25</v>
      </c>
      <c r="F1350">
        <v>28435</v>
      </c>
      <c r="G1350">
        <v>25720</v>
      </c>
      <c r="H1350">
        <v>837</v>
      </c>
      <c r="I1350" t="str">
        <f t="shared" ref="I1350:I1374" si="191">("2")</f>
        <v>2</v>
      </c>
      <c r="J1350" t="str">
        <f t="shared" ref="J1350:J1374" si="192">("N-VA")</f>
        <v>N-VA</v>
      </c>
      <c r="K1350">
        <v>3762</v>
      </c>
      <c r="L1350">
        <v>5773</v>
      </c>
      <c r="M1350">
        <v>9535</v>
      </c>
      <c r="N1350">
        <v>8669</v>
      </c>
      <c r="O1350">
        <v>10</v>
      </c>
      <c r="P1350" t="str">
        <f>("1")</f>
        <v>1</v>
      </c>
      <c r="Q1350" t="str">
        <f>("BOSSUYT Kristof")</f>
        <v>BOSSUYT Kristof</v>
      </c>
      <c r="R1350">
        <v>2723</v>
      </c>
      <c r="S1350">
        <v>8669</v>
      </c>
      <c r="T1350">
        <v>6594</v>
      </c>
      <c r="U1350">
        <v>1</v>
      </c>
    </row>
    <row r="1351" spans="1:24" x14ac:dyDescent="0.35">
      <c r="A1351" t="s">
        <v>8</v>
      </c>
      <c r="B1351" t="s">
        <v>9</v>
      </c>
      <c r="C1351" t="str">
        <f t="shared" si="187"/>
        <v>11292</v>
      </c>
      <c r="D1351" t="s">
        <v>18</v>
      </c>
      <c r="E1351" t="str">
        <f t="shared" si="190"/>
        <v>25</v>
      </c>
      <c r="F1351">
        <v>28435</v>
      </c>
      <c r="G1351">
        <v>25720</v>
      </c>
      <c r="H1351">
        <v>837</v>
      </c>
      <c r="I1351" t="str">
        <f t="shared" si="191"/>
        <v>2</v>
      </c>
      <c r="J1351" t="str">
        <f t="shared" si="192"/>
        <v>N-VA</v>
      </c>
      <c r="K1351">
        <v>3762</v>
      </c>
      <c r="L1351">
        <v>5773</v>
      </c>
      <c r="M1351">
        <v>9535</v>
      </c>
      <c r="N1351">
        <v>8669</v>
      </c>
      <c r="O1351">
        <v>10</v>
      </c>
      <c r="P1351" t="str">
        <f>("2")</f>
        <v>2</v>
      </c>
      <c r="Q1351" t="str">
        <f>("VERLINDEN Linda")</f>
        <v>VERLINDEN Linda</v>
      </c>
      <c r="R1351">
        <v>911</v>
      </c>
      <c r="S1351">
        <v>7505</v>
      </c>
      <c r="T1351">
        <v>0</v>
      </c>
      <c r="U1351">
        <v>2</v>
      </c>
    </row>
    <row r="1352" spans="1:24" x14ac:dyDescent="0.35">
      <c r="A1352" t="s">
        <v>8</v>
      </c>
      <c r="B1352" t="s">
        <v>9</v>
      </c>
      <c r="C1352" t="str">
        <f t="shared" si="187"/>
        <v>11292</v>
      </c>
      <c r="D1352" t="s">
        <v>18</v>
      </c>
      <c r="E1352" t="str">
        <f t="shared" si="190"/>
        <v>25</v>
      </c>
      <c r="F1352">
        <v>28435</v>
      </c>
      <c r="G1352">
        <v>25720</v>
      </c>
      <c r="H1352">
        <v>837</v>
      </c>
      <c r="I1352" t="str">
        <f t="shared" si="191"/>
        <v>2</v>
      </c>
      <c r="J1352" t="str">
        <f t="shared" si="192"/>
        <v>N-VA</v>
      </c>
      <c r="K1352">
        <v>3762</v>
      </c>
      <c r="L1352">
        <v>5773</v>
      </c>
      <c r="M1352">
        <v>9535</v>
      </c>
      <c r="N1352">
        <v>8669</v>
      </c>
      <c r="O1352">
        <v>10</v>
      </c>
      <c r="P1352" t="str">
        <f>("3")</f>
        <v>3</v>
      </c>
      <c r="Q1352" t="str">
        <f>("MOENS Robert")</f>
        <v>MOENS Robert</v>
      </c>
      <c r="R1352">
        <v>487</v>
      </c>
      <c r="S1352">
        <v>487</v>
      </c>
      <c r="T1352">
        <v>0</v>
      </c>
      <c r="U1352">
        <v>5</v>
      </c>
    </row>
    <row r="1353" spans="1:24" x14ac:dyDescent="0.35">
      <c r="A1353" t="s">
        <v>8</v>
      </c>
      <c r="B1353" t="s">
        <v>9</v>
      </c>
      <c r="C1353" t="str">
        <f t="shared" si="187"/>
        <v>11292</v>
      </c>
      <c r="D1353" t="s">
        <v>18</v>
      </c>
      <c r="E1353" t="str">
        <f t="shared" si="190"/>
        <v>25</v>
      </c>
      <c r="F1353">
        <v>28435</v>
      </c>
      <c r="G1353">
        <v>25720</v>
      </c>
      <c r="H1353">
        <v>837</v>
      </c>
      <c r="I1353" t="str">
        <f t="shared" si="191"/>
        <v>2</v>
      </c>
      <c r="J1353" t="str">
        <f t="shared" si="192"/>
        <v>N-VA</v>
      </c>
      <c r="K1353">
        <v>3762</v>
      </c>
      <c r="L1353">
        <v>5773</v>
      </c>
      <c r="M1353">
        <v>9535</v>
      </c>
      <c r="N1353">
        <v>8669</v>
      </c>
      <c r="O1353">
        <v>10</v>
      </c>
      <c r="P1353" t="str">
        <f>("4")</f>
        <v>4</v>
      </c>
      <c r="Q1353" t="str">
        <f>("MARTENS-BIESEMANS Magda")</f>
        <v>MARTENS-BIESEMANS Magda</v>
      </c>
      <c r="R1353">
        <v>446</v>
      </c>
      <c r="S1353">
        <v>446</v>
      </c>
      <c r="T1353">
        <v>0</v>
      </c>
      <c r="U1353">
        <v>6</v>
      </c>
    </row>
    <row r="1354" spans="1:24" x14ac:dyDescent="0.35">
      <c r="A1354" t="s">
        <v>8</v>
      </c>
      <c r="B1354" t="s">
        <v>9</v>
      </c>
      <c r="C1354" t="str">
        <f t="shared" si="187"/>
        <v>11292</v>
      </c>
      <c r="D1354" t="s">
        <v>18</v>
      </c>
      <c r="E1354" t="str">
        <f t="shared" si="190"/>
        <v>25</v>
      </c>
      <c r="F1354">
        <v>28435</v>
      </c>
      <c r="G1354">
        <v>25720</v>
      </c>
      <c r="H1354">
        <v>837</v>
      </c>
      <c r="I1354" t="str">
        <f t="shared" si="191"/>
        <v>2</v>
      </c>
      <c r="J1354" t="str">
        <f t="shared" si="192"/>
        <v>N-VA</v>
      </c>
      <c r="K1354">
        <v>3762</v>
      </c>
      <c r="L1354">
        <v>5773</v>
      </c>
      <c r="M1354">
        <v>9535</v>
      </c>
      <c r="N1354">
        <v>8669</v>
      </c>
      <c r="O1354">
        <v>10</v>
      </c>
      <c r="P1354" t="str">
        <f>("5")</f>
        <v>5</v>
      </c>
      <c r="Q1354" t="str">
        <f>("MAHIEU Monique")</f>
        <v>MAHIEU Monique</v>
      </c>
      <c r="R1354">
        <v>317</v>
      </c>
      <c r="S1354">
        <v>317</v>
      </c>
      <c r="T1354">
        <v>0</v>
      </c>
      <c r="U1354">
        <v>7</v>
      </c>
    </row>
    <row r="1355" spans="1:24" x14ac:dyDescent="0.35">
      <c r="A1355" t="s">
        <v>8</v>
      </c>
      <c r="B1355" t="s">
        <v>9</v>
      </c>
      <c r="C1355" t="str">
        <f t="shared" si="187"/>
        <v>11292</v>
      </c>
      <c r="D1355" t="s">
        <v>18</v>
      </c>
      <c r="E1355" t="str">
        <f t="shared" si="190"/>
        <v>25</v>
      </c>
      <c r="F1355">
        <v>28435</v>
      </c>
      <c r="G1355">
        <v>25720</v>
      </c>
      <c r="H1355">
        <v>837</v>
      </c>
      <c r="I1355" t="str">
        <f t="shared" si="191"/>
        <v>2</v>
      </c>
      <c r="J1355" t="str">
        <f t="shared" si="192"/>
        <v>N-VA</v>
      </c>
      <c r="K1355">
        <v>3762</v>
      </c>
      <c r="L1355">
        <v>5773</v>
      </c>
      <c r="M1355">
        <v>9535</v>
      </c>
      <c r="N1355">
        <v>8669</v>
      </c>
      <c r="O1355">
        <v>10</v>
      </c>
      <c r="P1355" t="str">
        <f>("6")</f>
        <v>6</v>
      </c>
      <c r="Q1355" t="str">
        <f>("WAUTERS Xeno")</f>
        <v>WAUTERS Xeno</v>
      </c>
      <c r="R1355">
        <v>254</v>
      </c>
      <c r="S1355">
        <v>254</v>
      </c>
      <c r="T1355">
        <v>0</v>
      </c>
      <c r="U1355">
        <v>9</v>
      </c>
    </row>
    <row r="1356" spans="1:24" x14ac:dyDescent="0.35">
      <c r="A1356" t="s">
        <v>8</v>
      </c>
      <c r="B1356" t="s">
        <v>9</v>
      </c>
      <c r="C1356" t="str">
        <f t="shared" si="187"/>
        <v>11292</v>
      </c>
      <c r="D1356" t="s">
        <v>18</v>
      </c>
      <c r="E1356" t="str">
        <f t="shared" si="190"/>
        <v>25</v>
      </c>
      <c r="F1356">
        <v>28435</v>
      </c>
      <c r="G1356">
        <v>25720</v>
      </c>
      <c r="H1356">
        <v>837</v>
      </c>
      <c r="I1356" t="str">
        <f t="shared" si="191"/>
        <v>2</v>
      </c>
      <c r="J1356" t="str">
        <f t="shared" si="192"/>
        <v>N-VA</v>
      </c>
      <c r="K1356">
        <v>3762</v>
      </c>
      <c r="L1356">
        <v>5773</v>
      </c>
      <c r="M1356">
        <v>9535</v>
      </c>
      <c r="N1356">
        <v>8669</v>
      </c>
      <c r="O1356">
        <v>10</v>
      </c>
      <c r="P1356" t="str">
        <f>("7")</f>
        <v>7</v>
      </c>
      <c r="Q1356" t="str">
        <f>("VANDERELST Els")</f>
        <v>VANDERELST Els</v>
      </c>
      <c r="R1356">
        <v>270</v>
      </c>
      <c r="S1356">
        <v>270</v>
      </c>
      <c r="T1356">
        <v>0</v>
      </c>
      <c r="U1356">
        <v>8</v>
      </c>
    </row>
    <row r="1357" spans="1:24" x14ac:dyDescent="0.35">
      <c r="A1357" t="s">
        <v>8</v>
      </c>
      <c r="B1357" t="s">
        <v>9</v>
      </c>
      <c r="C1357" t="str">
        <f t="shared" ref="C1357:C1388" si="193">("11292")</f>
        <v>11292</v>
      </c>
      <c r="D1357" t="s">
        <v>18</v>
      </c>
      <c r="E1357" t="str">
        <f t="shared" si="190"/>
        <v>25</v>
      </c>
      <c r="F1357">
        <v>28435</v>
      </c>
      <c r="G1357">
        <v>25720</v>
      </c>
      <c r="H1357">
        <v>837</v>
      </c>
      <c r="I1357" t="str">
        <f t="shared" si="191"/>
        <v>2</v>
      </c>
      <c r="J1357" t="str">
        <f t="shared" si="192"/>
        <v>N-VA</v>
      </c>
      <c r="K1357">
        <v>3762</v>
      </c>
      <c r="L1357">
        <v>5773</v>
      </c>
      <c r="M1357">
        <v>9535</v>
      </c>
      <c r="N1357">
        <v>8669</v>
      </c>
      <c r="O1357">
        <v>10</v>
      </c>
      <c r="P1357" t="str">
        <f>("8")</f>
        <v>8</v>
      </c>
      <c r="Q1357" t="str">
        <f>("STUKKEN Sophie")</f>
        <v>STUKKEN Sophie</v>
      </c>
      <c r="R1357">
        <v>242</v>
      </c>
      <c r="S1357">
        <v>242</v>
      </c>
      <c r="T1357">
        <v>0</v>
      </c>
      <c r="U1357">
        <v>10</v>
      </c>
    </row>
    <row r="1358" spans="1:24" x14ac:dyDescent="0.35">
      <c r="A1358" t="s">
        <v>8</v>
      </c>
      <c r="B1358" t="s">
        <v>9</v>
      </c>
      <c r="C1358" t="str">
        <f t="shared" si="193"/>
        <v>11292</v>
      </c>
      <c r="D1358" t="s">
        <v>18</v>
      </c>
      <c r="E1358" t="str">
        <f t="shared" si="190"/>
        <v>25</v>
      </c>
      <c r="F1358">
        <v>28435</v>
      </c>
      <c r="G1358">
        <v>25720</v>
      </c>
      <c r="H1358">
        <v>837</v>
      </c>
      <c r="I1358" t="str">
        <f t="shared" si="191"/>
        <v>2</v>
      </c>
      <c r="J1358" t="str">
        <f t="shared" si="192"/>
        <v>N-VA</v>
      </c>
      <c r="K1358">
        <v>3762</v>
      </c>
      <c r="L1358">
        <v>5773</v>
      </c>
      <c r="M1358">
        <v>9535</v>
      </c>
      <c r="N1358">
        <v>8669</v>
      </c>
      <c r="O1358">
        <v>10</v>
      </c>
      <c r="P1358" t="str">
        <f>("9")</f>
        <v>9</v>
      </c>
      <c r="Q1358" t="str">
        <f>("KUSSÉ Philippe")</f>
        <v>KUSSÉ Philippe</v>
      </c>
      <c r="R1358">
        <v>242</v>
      </c>
      <c r="S1358" t="s">
        <v>44</v>
      </c>
      <c r="T1358">
        <v>0</v>
      </c>
      <c r="V1358">
        <v>1</v>
      </c>
      <c r="W1358">
        <v>8669</v>
      </c>
      <c r="X1358">
        <v>4113</v>
      </c>
    </row>
    <row r="1359" spans="1:24" x14ac:dyDescent="0.35">
      <c r="A1359" t="s">
        <v>8</v>
      </c>
      <c r="B1359" t="s">
        <v>9</v>
      </c>
      <c r="C1359" t="str">
        <f t="shared" si="193"/>
        <v>11292</v>
      </c>
      <c r="D1359" t="s">
        <v>18</v>
      </c>
      <c r="E1359" t="str">
        <f t="shared" si="190"/>
        <v>25</v>
      </c>
      <c r="F1359">
        <v>28435</v>
      </c>
      <c r="G1359">
        <v>25720</v>
      </c>
      <c r="H1359">
        <v>837</v>
      </c>
      <c r="I1359" t="str">
        <f t="shared" si="191"/>
        <v>2</v>
      </c>
      <c r="J1359" t="str">
        <f t="shared" si="192"/>
        <v>N-VA</v>
      </c>
      <c r="K1359">
        <v>3762</v>
      </c>
      <c r="L1359">
        <v>5773</v>
      </c>
      <c r="M1359">
        <v>9535</v>
      </c>
      <c r="N1359">
        <v>8669</v>
      </c>
      <c r="O1359">
        <v>10</v>
      </c>
      <c r="P1359" t="str">
        <f>("10")</f>
        <v>10</v>
      </c>
      <c r="Q1359" t="str">
        <f>("HEYEN-BOEYKENS Frida")</f>
        <v>HEYEN-BOEYKENS Frida</v>
      </c>
      <c r="R1359">
        <v>221</v>
      </c>
      <c r="S1359" t="s">
        <v>44</v>
      </c>
      <c r="T1359">
        <v>0</v>
      </c>
      <c r="V1359">
        <v>2</v>
      </c>
      <c r="W1359">
        <v>4334</v>
      </c>
      <c r="X1359">
        <v>0</v>
      </c>
    </row>
    <row r="1360" spans="1:24" x14ac:dyDescent="0.35">
      <c r="A1360" t="s">
        <v>8</v>
      </c>
      <c r="B1360" t="s">
        <v>9</v>
      </c>
      <c r="C1360" t="str">
        <f t="shared" si="193"/>
        <v>11292</v>
      </c>
      <c r="D1360" t="s">
        <v>18</v>
      </c>
      <c r="E1360" t="str">
        <f t="shared" si="190"/>
        <v>25</v>
      </c>
      <c r="F1360">
        <v>28435</v>
      </c>
      <c r="G1360">
        <v>25720</v>
      </c>
      <c r="H1360">
        <v>837</v>
      </c>
      <c r="I1360" t="str">
        <f t="shared" si="191"/>
        <v>2</v>
      </c>
      <c r="J1360" t="str">
        <f t="shared" si="192"/>
        <v>N-VA</v>
      </c>
      <c r="K1360">
        <v>3762</v>
      </c>
      <c r="L1360">
        <v>5773</v>
      </c>
      <c r="M1360">
        <v>9535</v>
      </c>
      <c r="N1360">
        <v>8669</v>
      </c>
      <c r="O1360">
        <v>10</v>
      </c>
      <c r="P1360" t="str">
        <f>("11")</f>
        <v>11</v>
      </c>
      <c r="Q1360" t="str">
        <f>("JANSSENS Thierry")</f>
        <v>JANSSENS Thierry</v>
      </c>
      <c r="R1360">
        <v>201</v>
      </c>
      <c r="S1360" t="s">
        <v>44</v>
      </c>
      <c r="T1360">
        <v>0</v>
      </c>
      <c r="V1360">
        <v>7</v>
      </c>
      <c r="W1360">
        <v>201</v>
      </c>
      <c r="X1360">
        <v>0</v>
      </c>
    </row>
    <row r="1361" spans="1:24" x14ac:dyDescent="0.35">
      <c r="A1361" t="s">
        <v>8</v>
      </c>
      <c r="B1361" t="s">
        <v>9</v>
      </c>
      <c r="C1361" t="str">
        <f t="shared" si="193"/>
        <v>11292</v>
      </c>
      <c r="D1361" t="s">
        <v>18</v>
      </c>
      <c r="E1361" t="str">
        <f t="shared" si="190"/>
        <v>25</v>
      </c>
      <c r="F1361">
        <v>28435</v>
      </c>
      <c r="G1361">
        <v>25720</v>
      </c>
      <c r="H1361">
        <v>837</v>
      </c>
      <c r="I1361" t="str">
        <f t="shared" si="191"/>
        <v>2</v>
      </c>
      <c r="J1361" t="str">
        <f t="shared" si="192"/>
        <v>N-VA</v>
      </c>
      <c r="K1361">
        <v>3762</v>
      </c>
      <c r="L1361">
        <v>5773</v>
      </c>
      <c r="M1361">
        <v>9535</v>
      </c>
      <c r="N1361">
        <v>8669</v>
      </c>
      <c r="O1361">
        <v>10</v>
      </c>
      <c r="P1361" t="str">
        <f>("12")</f>
        <v>12</v>
      </c>
      <c r="Q1361" t="str">
        <f>("DANIELS Maryse")</f>
        <v>DANIELS Maryse</v>
      </c>
      <c r="R1361">
        <v>190</v>
      </c>
      <c r="S1361" t="s">
        <v>44</v>
      </c>
      <c r="T1361">
        <v>0</v>
      </c>
      <c r="V1361">
        <v>10</v>
      </c>
      <c r="W1361">
        <v>190</v>
      </c>
      <c r="X1361">
        <v>0</v>
      </c>
    </row>
    <row r="1362" spans="1:24" x14ac:dyDescent="0.35">
      <c r="A1362" t="s">
        <v>8</v>
      </c>
      <c r="B1362" t="s">
        <v>9</v>
      </c>
      <c r="C1362" t="str">
        <f t="shared" si="193"/>
        <v>11292</v>
      </c>
      <c r="D1362" t="s">
        <v>18</v>
      </c>
      <c r="E1362" t="str">
        <f t="shared" si="190"/>
        <v>25</v>
      </c>
      <c r="F1362">
        <v>28435</v>
      </c>
      <c r="G1362">
        <v>25720</v>
      </c>
      <c r="H1362">
        <v>837</v>
      </c>
      <c r="I1362" t="str">
        <f t="shared" si="191"/>
        <v>2</v>
      </c>
      <c r="J1362" t="str">
        <f t="shared" si="192"/>
        <v>N-VA</v>
      </c>
      <c r="K1362">
        <v>3762</v>
      </c>
      <c r="L1362">
        <v>5773</v>
      </c>
      <c r="M1362">
        <v>9535</v>
      </c>
      <c r="N1362">
        <v>8669</v>
      </c>
      <c r="O1362">
        <v>10</v>
      </c>
      <c r="P1362" t="str">
        <f>("13")</f>
        <v>13</v>
      </c>
      <c r="Q1362" t="str">
        <f>("DE LAET Rudi")</f>
        <v>DE LAET Rudi</v>
      </c>
      <c r="R1362">
        <v>205</v>
      </c>
      <c r="S1362" t="s">
        <v>44</v>
      </c>
      <c r="T1362">
        <v>0</v>
      </c>
      <c r="V1362">
        <v>5</v>
      </c>
      <c r="W1362">
        <v>205</v>
      </c>
      <c r="X1362">
        <v>0</v>
      </c>
    </row>
    <row r="1363" spans="1:24" x14ac:dyDescent="0.35">
      <c r="A1363" t="s">
        <v>8</v>
      </c>
      <c r="B1363" t="s">
        <v>9</v>
      </c>
      <c r="C1363" t="str">
        <f t="shared" si="193"/>
        <v>11292</v>
      </c>
      <c r="D1363" t="s">
        <v>18</v>
      </c>
      <c r="E1363" t="str">
        <f t="shared" si="190"/>
        <v>25</v>
      </c>
      <c r="F1363">
        <v>28435</v>
      </c>
      <c r="G1363">
        <v>25720</v>
      </c>
      <c r="H1363">
        <v>837</v>
      </c>
      <c r="I1363" t="str">
        <f t="shared" si="191"/>
        <v>2</v>
      </c>
      <c r="J1363" t="str">
        <f t="shared" si="192"/>
        <v>N-VA</v>
      </c>
      <c r="K1363">
        <v>3762</v>
      </c>
      <c r="L1363">
        <v>5773</v>
      </c>
      <c r="M1363">
        <v>9535</v>
      </c>
      <c r="N1363">
        <v>8669</v>
      </c>
      <c r="O1363">
        <v>10</v>
      </c>
      <c r="P1363" t="str">
        <f>("14")</f>
        <v>14</v>
      </c>
      <c r="Q1363" t="str">
        <f>("LEMMENS Luk")</f>
        <v>LEMMENS Luk</v>
      </c>
      <c r="R1363">
        <v>666</v>
      </c>
      <c r="S1363">
        <v>666</v>
      </c>
      <c r="T1363">
        <v>0</v>
      </c>
      <c r="U1363">
        <v>4</v>
      </c>
    </row>
    <row r="1364" spans="1:24" x14ac:dyDescent="0.35">
      <c r="A1364" t="s">
        <v>8</v>
      </c>
      <c r="B1364" t="s">
        <v>9</v>
      </c>
      <c r="C1364" t="str">
        <f t="shared" si="193"/>
        <v>11292</v>
      </c>
      <c r="D1364" t="s">
        <v>18</v>
      </c>
      <c r="E1364" t="str">
        <f t="shared" si="190"/>
        <v>25</v>
      </c>
      <c r="F1364">
        <v>28435</v>
      </c>
      <c r="G1364">
        <v>25720</v>
      </c>
      <c r="H1364">
        <v>837</v>
      </c>
      <c r="I1364" t="str">
        <f t="shared" si="191"/>
        <v>2</v>
      </c>
      <c r="J1364" t="str">
        <f t="shared" si="192"/>
        <v>N-VA</v>
      </c>
      <c r="K1364">
        <v>3762</v>
      </c>
      <c r="L1364">
        <v>5773</v>
      </c>
      <c r="M1364">
        <v>9535</v>
      </c>
      <c r="N1364">
        <v>8669</v>
      </c>
      <c r="O1364">
        <v>10</v>
      </c>
      <c r="P1364" t="str">
        <f>("15")</f>
        <v>15</v>
      </c>
      <c r="Q1364" t="str">
        <f>("DE SAEGHER - VLAMINCK Monique")</f>
        <v>DE SAEGHER - VLAMINCK Monique</v>
      </c>
      <c r="R1364">
        <v>193</v>
      </c>
      <c r="S1364" t="s">
        <v>44</v>
      </c>
      <c r="T1364">
        <v>0</v>
      </c>
      <c r="V1364">
        <v>9</v>
      </c>
      <c r="W1364">
        <v>193</v>
      </c>
      <c r="X1364">
        <v>0</v>
      </c>
    </row>
    <row r="1365" spans="1:24" x14ac:dyDescent="0.35">
      <c r="A1365" t="s">
        <v>8</v>
      </c>
      <c r="B1365" t="s">
        <v>9</v>
      </c>
      <c r="C1365" t="str">
        <f t="shared" si="193"/>
        <v>11292</v>
      </c>
      <c r="D1365" t="s">
        <v>18</v>
      </c>
      <c r="E1365" t="str">
        <f t="shared" si="190"/>
        <v>25</v>
      </c>
      <c r="F1365">
        <v>28435</v>
      </c>
      <c r="G1365">
        <v>25720</v>
      </c>
      <c r="H1365">
        <v>837</v>
      </c>
      <c r="I1365" t="str">
        <f t="shared" si="191"/>
        <v>2</v>
      </c>
      <c r="J1365" t="str">
        <f t="shared" si="192"/>
        <v>N-VA</v>
      </c>
      <c r="K1365">
        <v>3762</v>
      </c>
      <c r="L1365">
        <v>5773</v>
      </c>
      <c r="M1365">
        <v>9535</v>
      </c>
      <c r="N1365">
        <v>8669</v>
      </c>
      <c r="O1365">
        <v>10</v>
      </c>
      <c r="P1365" t="str">
        <f>("16")</f>
        <v>16</v>
      </c>
      <c r="Q1365" t="str">
        <f>("DIERCKX Peter")</f>
        <v>DIERCKX Peter</v>
      </c>
      <c r="R1365">
        <v>145</v>
      </c>
      <c r="S1365" t="s">
        <v>44</v>
      </c>
      <c r="T1365">
        <v>0</v>
      </c>
      <c r="V1365">
        <v>15</v>
      </c>
      <c r="W1365">
        <v>145</v>
      </c>
      <c r="X1365">
        <v>0</v>
      </c>
    </row>
    <row r="1366" spans="1:24" x14ac:dyDescent="0.35">
      <c r="A1366" t="s">
        <v>8</v>
      </c>
      <c r="B1366" t="s">
        <v>9</v>
      </c>
      <c r="C1366" t="str">
        <f t="shared" si="193"/>
        <v>11292</v>
      </c>
      <c r="D1366" t="s">
        <v>18</v>
      </c>
      <c r="E1366" t="str">
        <f t="shared" si="190"/>
        <v>25</v>
      </c>
      <c r="F1366">
        <v>28435</v>
      </c>
      <c r="G1366">
        <v>25720</v>
      </c>
      <c r="H1366">
        <v>837</v>
      </c>
      <c r="I1366" t="str">
        <f t="shared" si="191"/>
        <v>2</v>
      </c>
      <c r="J1366" t="str">
        <f t="shared" si="192"/>
        <v>N-VA</v>
      </c>
      <c r="K1366">
        <v>3762</v>
      </c>
      <c r="L1366">
        <v>5773</v>
      </c>
      <c r="M1366">
        <v>9535</v>
      </c>
      <c r="N1366">
        <v>8669</v>
      </c>
      <c r="O1366">
        <v>10</v>
      </c>
      <c r="P1366" t="str">
        <f>("17")</f>
        <v>17</v>
      </c>
      <c r="Q1366" t="str">
        <f>("DE WIT Philippe")</f>
        <v>DE WIT Philippe</v>
      </c>
      <c r="R1366">
        <v>180</v>
      </c>
      <c r="S1366" t="s">
        <v>44</v>
      </c>
      <c r="T1366">
        <v>0</v>
      </c>
      <c r="V1366">
        <v>12</v>
      </c>
      <c r="W1366">
        <v>180</v>
      </c>
      <c r="X1366">
        <v>0</v>
      </c>
    </row>
    <row r="1367" spans="1:24" x14ac:dyDescent="0.35">
      <c r="A1367" t="s">
        <v>8</v>
      </c>
      <c r="B1367" t="s">
        <v>9</v>
      </c>
      <c r="C1367" t="str">
        <f t="shared" si="193"/>
        <v>11292</v>
      </c>
      <c r="D1367" t="s">
        <v>18</v>
      </c>
      <c r="E1367" t="str">
        <f t="shared" si="190"/>
        <v>25</v>
      </c>
      <c r="F1367">
        <v>28435</v>
      </c>
      <c r="G1367">
        <v>25720</v>
      </c>
      <c r="H1367">
        <v>837</v>
      </c>
      <c r="I1367" t="str">
        <f t="shared" si="191"/>
        <v>2</v>
      </c>
      <c r="J1367" t="str">
        <f t="shared" si="192"/>
        <v>N-VA</v>
      </c>
      <c r="K1367">
        <v>3762</v>
      </c>
      <c r="L1367">
        <v>5773</v>
      </c>
      <c r="M1367">
        <v>9535</v>
      </c>
      <c r="N1367">
        <v>8669</v>
      </c>
      <c r="O1367">
        <v>10</v>
      </c>
      <c r="P1367" t="str">
        <f>("18")</f>
        <v>18</v>
      </c>
      <c r="Q1367" t="str">
        <f>("VERWERFT Hugo")</f>
        <v>VERWERFT Hugo</v>
      </c>
      <c r="R1367">
        <v>151</v>
      </c>
      <c r="S1367" t="s">
        <v>44</v>
      </c>
      <c r="T1367">
        <v>0</v>
      </c>
      <c r="V1367">
        <v>14</v>
      </c>
      <c r="W1367">
        <v>151</v>
      </c>
      <c r="X1367">
        <v>0</v>
      </c>
    </row>
    <row r="1368" spans="1:24" x14ac:dyDescent="0.35">
      <c r="A1368" t="s">
        <v>8</v>
      </c>
      <c r="B1368" t="s">
        <v>9</v>
      </c>
      <c r="C1368" t="str">
        <f t="shared" si="193"/>
        <v>11292</v>
      </c>
      <c r="D1368" t="s">
        <v>18</v>
      </c>
      <c r="E1368" t="str">
        <f t="shared" si="190"/>
        <v>25</v>
      </c>
      <c r="F1368">
        <v>28435</v>
      </c>
      <c r="G1368">
        <v>25720</v>
      </c>
      <c r="H1368">
        <v>837</v>
      </c>
      <c r="I1368" t="str">
        <f t="shared" si="191"/>
        <v>2</v>
      </c>
      <c r="J1368" t="str">
        <f t="shared" si="192"/>
        <v>N-VA</v>
      </c>
      <c r="K1368">
        <v>3762</v>
      </c>
      <c r="L1368">
        <v>5773</v>
      </c>
      <c r="M1368">
        <v>9535</v>
      </c>
      <c r="N1368">
        <v>8669</v>
      </c>
      <c r="O1368">
        <v>10</v>
      </c>
      <c r="P1368" t="str">
        <f>("19")</f>
        <v>19</v>
      </c>
      <c r="Q1368" t="str">
        <f>("CEULEMANS Jan")</f>
        <v>CEULEMANS Jan</v>
      </c>
      <c r="R1368">
        <v>204</v>
      </c>
      <c r="S1368" t="s">
        <v>44</v>
      </c>
      <c r="T1368">
        <v>0</v>
      </c>
      <c r="V1368">
        <v>6</v>
      </c>
      <c r="W1368">
        <v>204</v>
      </c>
      <c r="X1368">
        <v>0</v>
      </c>
    </row>
    <row r="1369" spans="1:24" x14ac:dyDescent="0.35">
      <c r="A1369" t="s">
        <v>8</v>
      </c>
      <c r="B1369" t="s">
        <v>9</v>
      </c>
      <c r="C1369" t="str">
        <f t="shared" si="193"/>
        <v>11292</v>
      </c>
      <c r="D1369" t="s">
        <v>18</v>
      </c>
      <c r="E1369" t="str">
        <f t="shared" si="190"/>
        <v>25</v>
      </c>
      <c r="F1369">
        <v>28435</v>
      </c>
      <c r="G1369">
        <v>25720</v>
      </c>
      <c r="H1369">
        <v>837</v>
      </c>
      <c r="I1369" t="str">
        <f t="shared" si="191"/>
        <v>2</v>
      </c>
      <c r="J1369" t="str">
        <f t="shared" si="192"/>
        <v>N-VA</v>
      </c>
      <c r="K1369">
        <v>3762</v>
      </c>
      <c r="L1369">
        <v>5773</v>
      </c>
      <c r="M1369">
        <v>9535</v>
      </c>
      <c r="N1369">
        <v>8669</v>
      </c>
      <c r="O1369">
        <v>10</v>
      </c>
      <c r="P1369" t="str">
        <f>("20")</f>
        <v>20</v>
      </c>
      <c r="Q1369" t="str">
        <f>("MOROWA Marwan")</f>
        <v>MOROWA Marwan</v>
      </c>
      <c r="R1369">
        <v>209</v>
      </c>
      <c r="S1369" t="s">
        <v>44</v>
      </c>
      <c r="T1369">
        <v>0</v>
      </c>
      <c r="V1369">
        <v>3</v>
      </c>
      <c r="W1369">
        <v>209</v>
      </c>
      <c r="X1369">
        <v>0</v>
      </c>
    </row>
    <row r="1370" spans="1:24" x14ac:dyDescent="0.35">
      <c r="A1370" t="s">
        <v>8</v>
      </c>
      <c r="B1370" t="s">
        <v>9</v>
      </c>
      <c r="C1370" t="str">
        <f t="shared" si="193"/>
        <v>11292</v>
      </c>
      <c r="D1370" t="s">
        <v>18</v>
      </c>
      <c r="E1370" t="str">
        <f t="shared" si="190"/>
        <v>25</v>
      </c>
      <c r="F1370">
        <v>28435</v>
      </c>
      <c r="G1370">
        <v>25720</v>
      </c>
      <c r="H1370">
        <v>837</v>
      </c>
      <c r="I1370" t="str">
        <f t="shared" si="191"/>
        <v>2</v>
      </c>
      <c r="J1370" t="str">
        <f t="shared" si="192"/>
        <v>N-VA</v>
      </c>
      <c r="K1370">
        <v>3762</v>
      </c>
      <c r="L1370">
        <v>5773</v>
      </c>
      <c r="M1370">
        <v>9535</v>
      </c>
      <c r="N1370">
        <v>8669</v>
      </c>
      <c r="O1370">
        <v>10</v>
      </c>
      <c r="P1370" t="str">
        <f>("21")</f>
        <v>21</v>
      </c>
      <c r="Q1370" t="str">
        <f>("WILLEMS Lauren")</f>
        <v>WILLEMS Lauren</v>
      </c>
      <c r="R1370">
        <v>209</v>
      </c>
      <c r="S1370" t="s">
        <v>44</v>
      </c>
      <c r="T1370">
        <v>0</v>
      </c>
      <c r="V1370">
        <v>4</v>
      </c>
      <c r="W1370">
        <v>209</v>
      </c>
      <c r="X1370">
        <v>0</v>
      </c>
    </row>
    <row r="1371" spans="1:24" x14ac:dyDescent="0.35">
      <c r="A1371" t="s">
        <v>8</v>
      </c>
      <c r="B1371" t="s">
        <v>9</v>
      </c>
      <c r="C1371" t="str">
        <f t="shared" si="193"/>
        <v>11292</v>
      </c>
      <c r="D1371" t="s">
        <v>18</v>
      </c>
      <c r="E1371" t="str">
        <f t="shared" si="190"/>
        <v>25</v>
      </c>
      <c r="F1371">
        <v>28435</v>
      </c>
      <c r="G1371">
        <v>25720</v>
      </c>
      <c r="H1371">
        <v>837</v>
      </c>
      <c r="I1371" t="str">
        <f t="shared" si="191"/>
        <v>2</v>
      </c>
      <c r="J1371" t="str">
        <f t="shared" si="192"/>
        <v>N-VA</v>
      </c>
      <c r="K1371">
        <v>3762</v>
      </c>
      <c r="L1371">
        <v>5773</v>
      </c>
      <c r="M1371">
        <v>9535</v>
      </c>
      <c r="N1371">
        <v>8669</v>
      </c>
      <c r="O1371">
        <v>10</v>
      </c>
      <c r="P1371" t="str">
        <f>("22")</f>
        <v>22</v>
      </c>
      <c r="Q1371" t="str">
        <f>("SPOELDERS Wendy")</f>
        <v>SPOELDERS Wendy</v>
      </c>
      <c r="R1371">
        <v>190</v>
      </c>
      <c r="S1371" t="s">
        <v>44</v>
      </c>
      <c r="T1371">
        <v>0</v>
      </c>
      <c r="V1371">
        <v>11</v>
      </c>
      <c r="W1371">
        <v>190</v>
      </c>
      <c r="X1371">
        <v>0</v>
      </c>
    </row>
    <row r="1372" spans="1:24" x14ac:dyDescent="0.35">
      <c r="A1372" t="s">
        <v>8</v>
      </c>
      <c r="B1372" t="s">
        <v>9</v>
      </c>
      <c r="C1372" t="str">
        <f t="shared" si="193"/>
        <v>11292</v>
      </c>
      <c r="D1372" t="s">
        <v>18</v>
      </c>
      <c r="E1372" t="str">
        <f t="shared" si="190"/>
        <v>25</v>
      </c>
      <c r="F1372">
        <v>28435</v>
      </c>
      <c r="G1372">
        <v>25720</v>
      </c>
      <c r="H1372">
        <v>837</v>
      </c>
      <c r="I1372" t="str">
        <f t="shared" si="191"/>
        <v>2</v>
      </c>
      <c r="J1372" t="str">
        <f t="shared" si="192"/>
        <v>N-VA</v>
      </c>
      <c r="K1372">
        <v>3762</v>
      </c>
      <c r="L1372">
        <v>5773</v>
      </c>
      <c r="M1372">
        <v>9535</v>
      </c>
      <c r="N1372">
        <v>8669</v>
      </c>
      <c r="O1372">
        <v>10</v>
      </c>
      <c r="P1372" t="str">
        <f>("23")</f>
        <v>23</v>
      </c>
      <c r="Q1372" t="str">
        <f>("VERBRUGGEN Inneke")</f>
        <v>VERBRUGGEN Inneke</v>
      </c>
      <c r="R1372">
        <v>201</v>
      </c>
      <c r="S1372" t="s">
        <v>44</v>
      </c>
      <c r="T1372">
        <v>0</v>
      </c>
      <c r="V1372">
        <v>8</v>
      </c>
      <c r="W1372">
        <v>201</v>
      </c>
      <c r="X1372">
        <v>0</v>
      </c>
    </row>
    <row r="1373" spans="1:24" x14ac:dyDescent="0.35">
      <c r="A1373" t="s">
        <v>8</v>
      </c>
      <c r="B1373" t="s">
        <v>9</v>
      </c>
      <c r="C1373" t="str">
        <f t="shared" si="193"/>
        <v>11292</v>
      </c>
      <c r="D1373" t="s">
        <v>18</v>
      </c>
      <c r="E1373" t="str">
        <f t="shared" si="190"/>
        <v>25</v>
      </c>
      <c r="F1373">
        <v>28435</v>
      </c>
      <c r="G1373">
        <v>25720</v>
      </c>
      <c r="H1373">
        <v>837</v>
      </c>
      <c r="I1373" t="str">
        <f t="shared" si="191"/>
        <v>2</v>
      </c>
      <c r="J1373" t="str">
        <f t="shared" si="192"/>
        <v>N-VA</v>
      </c>
      <c r="K1373">
        <v>3762</v>
      </c>
      <c r="L1373">
        <v>5773</v>
      </c>
      <c r="M1373">
        <v>9535</v>
      </c>
      <c r="N1373">
        <v>8669</v>
      </c>
      <c r="O1373">
        <v>10</v>
      </c>
      <c r="P1373" t="str">
        <f>("24")</f>
        <v>24</v>
      </c>
      <c r="Q1373" t="str">
        <f>("LATET Sam")</f>
        <v>LATET Sam</v>
      </c>
      <c r="R1373">
        <v>160</v>
      </c>
      <c r="S1373" t="s">
        <v>44</v>
      </c>
      <c r="T1373">
        <v>0</v>
      </c>
      <c r="V1373">
        <v>13</v>
      </c>
      <c r="W1373">
        <v>160</v>
      </c>
      <c r="X1373">
        <v>0</v>
      </c>
    </row>
    <row r="1374" spans="1:24" x14ac:dyDescent="0.35">
      <c r="A1374" t="s">
        <v>8</v>
      </c>
      <c r="B1374" t="s">
        <v>9</v>
      </c>
      <c r="C1374" t="str">
        <f t="shared" si="193"/>
        <v>11292</v>
      </c>
      <c r="D1374" t="s">
        <v>18</v>
      </c>
      <c r="E1374" t="str">
        <f t="shared" si="190"/>
        <v>25</v>
      </c>
      <c r="F1374">
        <v>28435</v>
      </c>
      <c r="G1374">
        <v>25720</v>
      </c>
      <c r="H1374">
        <v>837</v>
      </c>
      <c r="I1374" t="str">
        <f t="shared" si="191"/>
        <v>2</v>
      </c>
      <c r="J1374" t="str">
        <f t="shared" si="192"/>
        <v>N-VA</v>
      </c>
      <c r="K1374">
        <v>3762</v>
      </c>
      <c r="L1374">
        <v>5773</v>
      </c>
      <c r="M1374">
        <v>9535</v>
      </c>
      <c r="N1374">
        <v>8669</v>
      </c>
      <c r="O1374">
        <v>10</v>
      </c>
      <c r="P1374" t="str">
        <f>("25")</f>
        <v>25</v>
      </c>
      <c r="Q1374" t="str">
        <f>("HOMANS Liesbeth")</f>
        <v>HOMANS Liesbeth</v>
      </c>
      <c r="R1374">
        <v>1346</v>
      </c>
      <c r="S1374">
        <v>1346</v>
      </c>
      <c r="T1374">
        <v>0</v>
      </c>
      <c r="U1374">
        <v>3</v>
      </c>
    </row>
    <row r="1375" spans="1:24" x14ac:dyDescent="0.35">
      <c r="A1375" t="s">
        <v>8</v>
      </c>
      <c r="B1375" t="s">
        <v>9</v>
      </c>
      <c r="C1375" t="str">
        <f t="shared" si="193"/>
        <v>11292</v>
      </c>
      <c r="D1375" t="s">
        <v>18</v>
      </c>
      <c r="E1375" t="str">
        <f t="shared" si="190"/>
        <v>25</v>
      </c>
      <c r="F1375">
        <v>28435</v>
      </c>
      <c r="G1375">
        <v>25720</v>
      </c>
      <c r="H1375">
        <v>837</v>
      </c>
      <c r="I1375" t="str">
        <f t="shared" ref="I1375:I1399" si="194">("3")</f>
        <v>3</v>
      </c>
      <c r="J1375" t="str">
        <f t="shared" ref="J1375:J1399" si="195">("CD&amp;V")</f>
        <v>CD&amp;V</v>
      </c>
      <c r="K1375">
        <v>629</v>
      </c>
      <c r="L1375">
        <v>1874</v>
      </c>
      <c r="M1375">
        <v>2503</v>
      </c>
      <c r="N1375">
        <v>1669</v>
      </c>
      <c r="O1375">
        <v>2</v>
      </c>
      <c r="P1375" t="str">
        <f>("1")</f>
        <v>1</v>
      </c>
      <c r="Q1375" t="str">
        <f>("IDES Hans")</f>
        <v>IDES Hans</v>
      </c>
      <c r="R1375">
        <v>862</v>
      </c>
      <c r="S1375">
        <v>1282</v>
      </c>
      <c r="T1375">
        <v>0</v>
      </c>
      <c r="U1375">
        <v>1</v>
      </c>
    </row>
    <row r="1376" spans="1:24" x14ac:dyDescent="0.35">
      <c r="A1376" t="s">
        <v>8</v>
      </c>
      <c r="B1376" t="s">
        <v>9</v>
      </c>
      <c r="C1376" t="str">
        <f t="shared" si="193"/>
        <v>11292</v>
      </c>
      <c r="D1376" t="s">
        <v>18</v>
      </c>
      <c r="E1376" t="str">
        <f t="shared" si="190"/>
        <v>25</v>
      </c>
      <c r="F1376">
        <v>28435</v>
      </c>
      <c r="G1376">
        <v>25720</v>
      </c>
      <c r="H1376">
        <v>837</v>
      </c>
      <c r="I1376" t="str">
        <f t="shared" si="194"/>
        <v>3</v>
      </c>
      <c r="J1376" t="str">
        <f t="shared" si="195"/>
        <v>CD&amp;V</v>
      </c>
      <c r="K1376">
        <v>629</v>
      </c>
      <c r="L1376">
        <v>1874</v>
      </c>
      <c r="M1376">
        <v>2503</v>
      </c>
      <c r="N1376">
        <v>1669</v>
      </c>
      <c r="O1376">
        <v>2</v>
      </c>
      <c r="P1376" t="str">
        <f>("2")</f>
        <v>2</v>
      </c>
      <c r="Q1376" t="str">
        <f>("VERBRUGGEN Marleen")</f>
        <v>VERBRUGGEN Marleen</v>
      </c>
      <c r="R1376">
        <v>235</v>
      </c>
      <c r="S1376">
        <v>235</v>
      </c>
      <c r="T1376">
        <v>0</v>
      </c>
      <c r="U1376">
        <v>2</v>
      </c>
    </row>
    <row r="1377" spans="1:24" x14ac:dyDescent="0.35">
      <c r="A1377" t="s">
        <v>8</v>
      </c>
      <c r="B1377" t="s">
        <v>9</v>
      </c>
      <c r="C1377" t="str">
        <f t="shared" si="193"/>
        <v>11292</v>
      </c>
      <c r="D1377" t="s">
        <v>18</v>
      </c>
      <c r="E1377" t="str">
        <f t="shared" si="190"/>
        <v>25</v>
      </c>
      <c r="F1377">
        <v>28435</v>
      </c>
      <c r="G1377">
        <v>25720</v>
      </c>
      <c r="H1377">
        <v>837</v>
      </c>
      <c r="I1377" t="str">
        <f t="shared" si="194"/>
        <v>3</v>
      </c>
      <c r="J1377" t="str">
        <f t="shared" si="195"/>
        <v>CD&amp;V</v>
      </c>
      <c r="K1377">
        <v>629</v>
      </c>
      <c r="L1377">
        <v>1874</v>
      </c>
      <c r="M1377">
        <v>2503</v>
      </c>
      <c r="N1377">
        <v>1669</v>
      </c>
      <c r="O1377">
        <v>2</v>
      </c>
      <c r="P1377" t="str">
        <f>("3")</f>
        <v>3</v>
      </c>
      <c r="Q1377" t="str">
        <f>("VAN DEN BRANDE Thijs")</f>
        <v>VAN DEN BRANDE Thijs</v>
      </c>
      <c r="R1377">
        <v>135</v>
      </c>
      <c r="S1377" t="s">
        <v>44</v>
      </c>
      <c r="T1377">
        <v>0</v>
      </c>
      <c r="V1377">
        <v>1</v>
      </c>
      <c r="W1377">
        <v>555</v>
      </c>
      <c r="X1377">
        <v>0</v>
      </c>
    </row>
    <row r="1378" spans="1:24" x14ac:dyDescent="0.35">
      <c r="A1378" t="s">
        <v>8</v>
      </c>
      <c r="B1378" t="s">
        <v>9</v>
      </c>
      <c r="C1378" t="str">
        <f t="shared" si="193"/>
        <v>11292</v>
      </c>
      <c r="D1378" t="s">
        <v>18</v>
      </c>
      <c r="E1378" t="str">
        <f t="shared" si="190"/>
        <v>25</v>
      </c>
      <c r="F1378">
        <v>28435</v>
      </c>
      <c r="G1378">
        <v>25720</v>
      </c>
      <c r="H1378">
        <v>837</v>
      </c>
      <c r="I1378" t="str">
        <f t="shared" si="194"/>
        <v>3</v>
      </c>
      <c r="J1378" t="str">
        <f t="shared" si="195"/>
        <v>CD&amp;V</v>
      </c>
      <c r="K1378">
        <v>629</v>
      </c>
      <c r="L1378">
        <v>1874</v>
      </c>
      <c r="M1378">
        <v>2503</v>
      </c>
      <c r="N1378">
        <v>1669</v>
      </c>
      <c r="O1378">
        <v>2</v>
      </c>
      <c r="P1378" t="str">
        <f>("4")</f>
        <v>4</v>
      </c>
      <c r="Q1378" t="str">
        <f>("GEYSEMANS Sven")</f>
        <v>GEYSEMANS Sven</v>
      </c>
      <c r="R1378">
        <v>153</v>
      </c>
      <c r="S1378" t="s">
        <v>44</v>
      </c>
      <c r="T1378">
        <v>0</v>
      </c>
      <c r="V1378">
        <v>5</v>
      </c>
      <c r="W1378">
        <v>153</v>
      </c>
      <c r="X1378">
        <v>0</v>
      </c>
    </row>
    <row r="1379" spans="1:24" x14ac:dyDescent="0.35">
      <c r="A1379" t="s">
        <v>8</v>
      </c>
      <c r="B1379" t="s">
        <v>9</v>
      </c>
      <c r="C1379" t="str">
        <f t="shared" si="193"/>
        <v>11292</v>
      </c>
      <c r="D1379" t="s">
        <v>18</v>
      </c>
      <c r="E1379" t="str">
        <f t="shared" si="190"/>
        <v>25</v>
      </c>
      <c r="F1379">
        <v>28435</v>
      </c>
      <c r="G1379">
        <v>25720</v>
      </c>
      <c r="H1379">
        <v>837</v>
      </c>
      <c r="I1379" t="str">
        <f t="shared" si="194"/>
        <v>3</v>
      </c>
      <c r="J1379" t="str">
        <f t="shared" si="195"/>
        <v>CD&amp;V</v>
      </c>
      <c r="K1379">
        <v>629</v>
      </c>
      <c r="L1379">
        <v>1874</v>
      </c>
      <c r="M1379">
        <v>2503</v>
      </c>
      <c r="N1379">
        <v>1669</v>
      </c>
      <c r="O1379">
        <v>2</v>
      </c>
      <c r="P1379" t="str">
        <f>("5")</f>
        <v>5</v>
      </c>
      <c r="Q1379" t="str">
        <f>("WIJNS Christel")</f>
        <v>WIJNS Christel</v>
      </c>
      <c r="R1379">
        <v>139</v>
      </c>
      <c r="S1379" t="s">
        <v>44</v>
      </c>
      <c r="T1379">
        <v>0</v>
      </c>
      <c r="V1379">
        <v>6</v>
      </c>
      <c r="W1379">
        <v>139</v>
      </c>
      <c r="X1379">
        <v>0</v>
      </c>
    </row>
    <row r="1380" spans="1:24" x14ac:dyDescent="0.35">
      <c r="A1380" t="s">
        <v>8</v>
      </c>
      <c r="B1380" t="s">
        <v>9</v>
      </c>
      <c r="C1380" t="str">
        <f t="shared" si="193"/>
        <v>11292</v>
      </c>
      <c r="D1380" t="s">
        <v>18</v>
      </c>
      <c r="E1380" t="str">
        <f t="shared" si="190"/>
        <v>25</v>
      </c>
      <c r="F1380">
        <v>28435</v>
      </c>
      <c r="G1380">
        <v>25720</v>
      </c>
      <c r="H1380">
        <v>837</v>
      </c>
      <c r="I1380" t="str">
        <f t="shared" si="194"/>
        <v>3</v>
      </c>
      <c r="J1380" t="str">
        <f t="shared" si="195"/>
        <v>CD&amp;V</v>
      </c>
      <c r="K1380">
        <v>629</v>
      </c>
      <c r="L1380">
        <v>1874</v>
      </c>
      <c r="M1380">
        <v>2503</v>
      </c>
      <c r="N1380">
        <v>1669</v>
      </c>
      <c r="O1380">
        <v>2</v>
      </c>
      <c r="P1380" t="str">
        <f>("6")</f>
        <v>6</v>
      </c>
      <c r="Q1380" t="str">
        <f>("KIEBOOMS Damiaan")</f>
        <v>KIEBOOMS Damiaan</v>
      </c>
      <c r="R1380">
        <v>197</v>
      </c>
      <c r="S1380" t="s">
        <v>44</v>
      </c>
      <c r="T1380">
        <v>0</v>
      </c>
      <c r="V1380">
        <v>3</v>
      </c>
      <c r="W1380">
        <v>197</v>
      </c>
      <c r="X1380">
        <v>0</v>
      </c>
    </row>
    <row r="1381" spans="1:24" x14ac:dyDescent="0.35">
      <c r="A1381" t="s">
        <v>8</v>
      </c>
      <c r="B1381" t="s">
        <v>9</v>
      </c>
      <c r="C1381" t="str">
        <f t="shared" si="193"/>
        <v>11292</v>
      </c>
      <c r="D1381" t="s">
        <v>18</v>
      </c>
      <c r="E1381" t="str">
        <f t="shared" si="190"/>
        <v>25</v>
      </c>
      <c r="F1381">
        <v>28435</v>
      </c>
      <c r="G1381">
        <v>25720</v>
      </c>
      <c r="H1381">
        <v>837</v>
      </c>
      <c r="I1381" t="str">
        <f t="shared" si="194"/>
        <v>3</v>
      </c>
      <c r="J1381" t="str">
        <f t="shared" si="195"/>
        <v>CD&amp;V</v>
      </c>
      <c r="K1381">
        <v>629</v>
      </c>
      <c r="L1381">
        <v>1874</v>
      </c>
      <c r="M1381">
        <v>2503</v>
      </c>
      <c r="N1381">
        <v>1669</v>
      </c>
      <c r="O1381">
        <v>2</v>
      </c>
      <c r="P1381" t="str">
        <f>("7")</f>
        <v>7</v>
      </c>
      <c r="Q1381" t="str">
        <f>("VOETS Kira")</f>
        <v>VOETS Kira</v>
      </c>
      <c r="R1381">
        <v>81</v>
      </c>
      <c r="S1381" t="s">
        <v>44</v>
      </c>
      <c r="T1381">
        <v>0</v>
      </c>
      <c r="V1381">
        <v>11</v>
      </c>
      <c r="W1381">
        <v>81</v>
      </c>
      <c r="X1381">
        <v>0</v>
      </c>
    </row>
    <row r="1382" spans="1:24" x14ac:dyDescent="0.35">
      <c r="A1382" t="s">
        <v>8</v>
      </c>
      <c r="B1382" t="s">
        <v>9</v>
      </c>
      <c r="C1382" t="str">
        <f t="shared" si="193"/>
        <v>11292</v>
      </c>
      <c r="D1382" t="s">
        <v>18</v>
      </c>
      <c r="E1382" t="str">
        <f t="shared" si="190"/>
        <v>25</v>
      </c>
      <c r="F1382">
        <v>28435</v>
      </c>
      <c r="G1382">
        <v>25720</v>
      </c>
      <c r="H1382">
        <v>837</v>
      </c>
      <c r="I1382" t="str">
        <f t="shared" si="194"/>
        <v>3</v>
      </c>
      <c r="J1382" t="str">
        <f t="shared" si="195"/>
        <v>CD&amp;V</v>
      </c>
      <c r="K1382">
        <v>629</v>
      </c>
      <c r="L1382">
        <v>1874</v>
      </c>
      <c r="M1382">
        <v>2503</v>
      </c>
      <c r="N1382">
        <v>1669</v>
      </c>
      <c r="O1382">
        <v>2</v>
      </c>
      <c r="P1382" t="str">
        <f>("8")</f>
        <v>8</v>
      </c>
      <c r="Q1382" t="str">
        <f>("SMETS Leila")</f>
        <v>SMETS Leila</v>
      </c>
      <c r="R1382">
        <v>118</v>
      </c>
      <c r="S1382" t="s">
        <v>44</v>
      </c>
      <c r="T1382">
        <v>0</v>
      </c>
      <c r="V1382">
        <v>7</v>
      </c>
      <c r="W1382">
        <v>118</v>
      </c>
      <c r="X1382">
        <v>0</v>
      </c>
    </row>
    <row r="1383" spans="1:24" x14ac:dyDescent="0.35">
      <c r="A1383" t="s">
        <v>8</v>
      </c>
      <c r="B1383" t="s">
        <v>9</v>
      </c>
      <c r="C1383" t="str">
        <f t="shared" si="193"/>
        <v>11292</v>
      </c>
      <c r="D1383" t="s">
        <v>18</v>
      </c>
      <c r="E1383" t="str">
        <f t="shared" si="190"/>
        <v>25</v>
      </c>
      <c r="F1383">
        <v>28435</v>
      </c>
      <c r="G1383">
        <v>25720</v>
      </c>
      <c r="H1383">
        <v>837</v>
      </c>
      <c r="I1383" t="str">
        <f t="shared" si="194"/>
        <v>3</v>
      </c>
      <c r="J1383" t="str">
        <f t="shared" si="195"/>
        <v>CD&amp;V</v>
      </c>
      <c r="K1383">
        <v>629</v>
      </c>
      <c r="L1383">
        <v>1874</v>
      </c>
      <c r="M1383">
        <v>2503</v>
      </c>
      <c r="N1383">
        <v>1669</v>
      </c>
      <c r="O1383">
        <v>2</v>
      </c>
      <c r="P1383" t="str">
        <f>("9")</f>
        <v>9</v>
      </c>
      <c r="Q1383" t="str">
        <f>("SMETS Inez")</f>
        <v>SMETS Inez</v>
      </c>
      <c r="R1383">
        <v>72</v>
      </c>
      <c r="S1383" t="s">
        <v>44</v>
      </c>
      <c r="T1383">
        <v>0</v>
      </c>
      <c r="V1383">
        <v>14</v>
      </c>
      <c r="W1383">
        <v>72</v>
      </c>
      <c r="X1383">
        <v>0</v>
      </c>
    </row>
    <row r="1384" spans="1:24" x14ac:dyDescent="0.35">
      <c r="A1384" t="s">
        <v>8</v>
      </c>
      <c r="B1384" t="s">
        <v>9</v>
      </c>
      <c r="C1384" t="str">
        <f t="shared" si="193"/>
        <v>11292</v>
      </c>
      <c r="D1384" t="s">
        <v>18</v>
      </c>
      <c r="E1384" t="str">
        <f t="shared" si="190"/>
        <v>25</v>
      </c>
      <c r="F1384">
        <v>28435</v>
      </c>
      <c r="G1384">
        <v>25720</v>
      </c>
      <c r="H1384">
        <v>837</v>
      </c>
      <c r="I1384" t="str">
        <f t="shared" si="194"/>
        <v>3</v>
      </c>
      <c r="J1384" t="str">
        <f t="shared" si="195"/>
        <v>CD&amp;V</v>
      </c>
      <c r="K1384">
        <v>629</v>
      </c>
      <c r="L1384">
        <v>1874</v>
      </c>
      <c r="M1384">
        <v>2503</v>
      </c>
      <c r="N1384">
        <v>1669</v>
      </c>
      <c r="O1384">
        <v>2</v>
      </c>
      <c r="P1384" t="str">
        <f>("10")</f>
        <v>10</v>
      </c>
      <c r="Q1384" t="str">
        <f>("ROMMENS Gert")</f>
        <v>ROMMENS Gert</v>
      </c>
      <c r="R1384">
        <v>64</v>
      </c>
      <c r="S1384" t="s">
        <v>44</v>
      </c>
      <c r="T1384">
        <v>0</v>
      </c>
      <c r="V1384">
        <v>17</v>
      </c>
      <c r="W1384">
        <v>64</v>
      </c>
      <c r="X1384">
        <v>0</v>
      </c>
    </row>
    <row r="1385" spans="1:24" x14ac:dyDescent="0.35">
      <c r="A1385" t="s">
        <v>8</v>
      </c>
      <c r="B1385" t="s">
        <v>9</v>
      </c>
      <c r="C1385" t="str">
        <f t="shared" si="193"/>
        <v>11292</v>
      </c>
      <c r="D1385" t="s">
        <v>18</v>
      </c>
      <c r="E1385" t="str">
        <f t="shared" si="190"/>
        <v>25</v>
      </c>
      <c r="F1385">
        <v>28435</v>
      </c>
      <c r="G1385">
        <v>25720</v>
      </c>
      <c r="H1385">
        <v>837</v>
      </c>
      <c r="I1385" t="str">
        <f t="shared" si="194"/>
        <v>3</v>
      </c>
      <c r="J1385" t="str">
        <f t="shared" si="195"/>
        <v>CD&amp;V</v>
      </c>
      <c r="K1385">
        <v>629</v>
      </c>
      <c r="L1385">
        <v>1874</v>
      </c>
      <c r="M1385">
        <v>2503</v>
      </c>
      <c r="N1385">
        <v>1669</v>
      </c>
      <c r="O1385">
        <v>2</v>
      </c>
      <c r="P1385" t="str">
        <f>("11")</f>
        <v>11</v>
      </c>
      <c r="Q1385" t="str">
        <f>("VAN DE WEYER Pieter-Jan")</f>
        <v>VAN DE WEYER Pieter-Jan</v>
      </c>
      <c r="R1385">
        <v>115</v>
      </c>
      <c r="S1385" t="s">
        <v>44</v>
      </c>
      <c r="T1385">
        <v>0</v>
      </c>
      <c r="V1385">
        <v>8</v>
      </c>
      <c r="W1385">
        <v>115</v>
      </c>
      <c r="X1385">
        <v>0</v>
      </c>
    </row>
    <row r="1386" spans="1:24" x14ac:dyDescent="0.35">
      <c r="A1386" t="s">
        <v>8</v>
      </c>
      <c r="B1386" t="s">
        <v>9</v>
      </c>
      <c r="C1386" t="str">
        <f t="shared" si="193"/>
        <v>11292</v>
      </c>
      <c r="D1386" t="s">
        <v>18</v>
      </c>
      <c r="E1386" t="str">
        <f t="shared" si="190"/>
        <v>25</v>
      </c>
      <c r="F1386">
        <v>28435</v>
      </c>
      <c r="G1386">
        <v>25720</v>
      </c>
      <c r="H1386">
        <v>837</v>
      </c>
      <c r="I1386" t="str">
        <f t="shared" si="194"/>
        <v>3</v>
      </c>
      <c r="J1386" t="str">
        <f t="shared" si="195"/>
        <v>CD&amp;V</v>
      </c>
      <c r="K1386">
        <v>629</v>
      </c>
      <c r="L1386">
        <v>1874</v>
      </c>
      <c r="M1386">
        <v>2503</v>
      </c>
      <c r="N1386">
        <v>1669</v>
      </c>
      <c r="O1386">
        <v>2</v>
      </c>
      <c r="P1386" t="str">
        <f>("12")</f>
        <v>12</v>
      </c>
      <c r="Q1386" t="str">
        <f>("MEES Thomas")</f>
        <v>MEES Thomas</v>
      </c>
      <c r="R1386">
        <v>75</v>
      </c>
      <c r="S1386" t="s">
        <v>44</v>
      </c>
      <c r="T1386">
        <v>0</v>
      </c>
      <c r="V1386">
        <v>12</v>
      </c>
      <c r="W1386">
        <v>75</v>
      </c>
      <c r="X1386">
        <v>0</v>
      </c>
    </row>
    <row r="1387" spans="1:24" x14ac:dyDescent="0.35">
      <c r="A1387" t="s">
        <v>8</v>
      </c>
      <c r="B1387" t="s">
        <v>9</v>
      </c>
      <c r="C1387" t="str">
        <f t="shared" si="193"/>
        <v>11292</v>
      </c>
      <c r="D1387" t="s">
        <v>18</v>
      </c>
      <c r="E1387" t="str">
        <f t="shared" si="190"/>
        <v>25</v>
      </c>
      <c r="F1387">
        <v>28435</v>
      </c>
      <c r="G1387">
        <v>25720</v>
      </c>
      <c r="H1387">
        <v>837</v>
      </c>
      <c r="I1387" t="str">
        <f t="shared" si="194"/>
        <v>3</v>
      </c>
      <c r="J1387" t="str">
        <f t="shared" si="195"/>
        <v>CD&amp;V</v>
      </c>
      <c r="K1387">
        <v>629</v>
      </c>
      <c r="L1387">
        <v>1874</v>
      </c>
      <c r="M1387">
        <v>2503</v>
      </c>
      <c r="N1387">
        <v>1669</v>
      </c>
      <c r="O1387">
        <v>2</v>
      </c>
      <c r="P1387" t="str">
        <f>("13")</f>
        <v>13</v>
      </c>
      <c r="Q1387" t="str">
        <f>("JANSSENS Koen")</f>
        <v>JANSSENS Koen</v>
      </c>
      <c r="R1387">
        <v>207</v>
      </c>
      <c r="S1387" t="s">
        <v>44</v>
      </c>
      <c r="T1387">
        <v>0</v>
      </c>
      <c r="V1387">
        <v>2</v>
      </c>
      <c r="W1387">
        <v>207</v>
      </c>
      <c r="X1387">
        <v>0</v>
      </c>
    </row>
    <row r="1388" spans="1:24" x14ac:dyDescent="0.35">
      <c r="A1388" t="s">
        <v>8</v>
      </c>
      <c r="B1388" t="s">
        <v>9</v>
      </c>
      <c r="C1388" t="str">
        <f t="shared" si="193"/>
        <v>11292</v>
      </c>
      <c r="D1388" t="s">
        <v>18</v>
      </c>
      <c r="E1388" t="str">
        <f t="shared" si="190"/>
        <v>25</v>
      </c>
      <c r="F1388">
        <v>28435</v>
      </c>
      <c r="G1388">
        <v>25720</v>
      </c>
      <c r="H1388">
        <v>837</v>
      </c>
      <c r="I1388" t="str">
        <f t="shared" si="194"/>
        <v>3</v>
      </c>
      <c r="J1388" t="str">
        <f t="shared" si="195"/>
        <v>CD&amp;V</v>
      </c>
      <c r="K1388">
        <v>629</v>
      </c>
      <c r="L1388">
        <v>1874</v>
      </c>
      <c r="M1388">
        <v>2503</v>
      </c>
      <c r="N1388">
        <v>1669</v>
      </c>
      <c r="O1388">
        <v>2</v>
      </c>
      <c r="P1388" t="str">
        <f>("14")</f>
        <v>14</v>
      </c>
      <c r="Q1388" t="str">
        <f>("UGUR Melahat")</f>
        <v>UGUR Melahat</v>
      </c>
      <c r="R1388">
        <v>86</v>
      </c>
      <c r="S1388" t="s">
        <v>44</v>
      </c>
      <c r="T1388">
        <v>0</v>
      </c>
      <c r="V1388">
        <v>10</v>
      </c>
      <c r="W1388">
        <v>86</v>
      </c>
      <c r="X1388">
        <v>0</v>
      </c>
    </row>
    <row r="1389" spans="1:24" x14ac:dyDescent="0.35">
      <c r="A1389" t="s">
        <v>8</v>
      </c>
      <c r="B1389" t="s">
        <v>9</v>
      </c>
      <c r="C1389" t="str">
        <f t="shared" ref="C1389:C1420" si="196">("11292")</f>
        <v>11292</v>
      </c>
      <c r="D1389" t="s">
        <v>18</v>
      </c>
      <c r="E1389" t="str">
        <f t="shared" si="190"/>
        <v>25</v>
      </c>
      <c r="F1389">
        <v>28435</v>
      </c>
      <c r="G1389">
        <v>25720</v>
      </c>
      <c r="H1389">
        <v>837</v>
      </c>
      <c r="I1389" t="str">
        <f t="shared" si="194"/>
        <v>3</v>
      </c>
      <c r="J1389" t="str">
        <f t="shared" si="195"/>
        <v>CD&amp;V</v>
      </c>
      <c r="K1389">
        <v>629</v>
      </c>
      <c r="L1389">
        <v>1874</v>
      </c>
      <c r="M1389">
        <v>2503</v>
      </c>
      <c r="N1389">
        <v>1669</v>
      </c>
      <c r="O1389">
        <v>2</v>
      </c>
      <c r="P1389" t="str">
        <f>("15")</f>
        <v>15</v>
      </c>
      <c r="Q1389" t="str">
        <f>("KERREMANS Martina")</f>
        <v>KERREMANS Martina</v>
      </c>
      <c r="R1389">
        <v>97</v>
      </c>
      <c r="S1389" t="s">
        <v>44</v>
      </c>
      <c r="T1389">
        <v>0</v>
      </c>
      <c r="V1389">
        <v>9</v>
      </c>
      <c r="W1389">
        <v>97</v>
      </c>
      <c r="X1389">
        <v>0</v>
      </c>
    </row>
    <row r="1390" spans="1:24" x14ac:dyDescent="0.35">
      <c r="A1390" t="s">
        <v>8</v>
      </c>
      <c r="B1390" t="s">
        <v>9</v>
      </c>
      <c r="C1390" t="str">
        <f t="shared" si="196"/>
        <v>11292</v>
      </c>
      <c r="D1390" t="s">
        <v>18</v>
      </c>
      <c r="E1390" t="str">
        <f t="shared" si="190"/>
        <v>25</v>
      </c>
      <c r="F1390">
        <v>28435</v>
      </c>
      <c r="G1390">
        <v>25720</v>
      </c>
      <c r="H1390">
        <v>837</v>
      </c>
      <c r="I1390" t="str">
        <f t="shared" si="194"/>
        <v>3</v>
      </c>
      <c r="J1390" t="str">
        <f t="shared" si="195"/>
        <v>CD&amp;V</v>
      </c>
      <c r="K1390">
        <v>629</v>
      </c>
      <c r="L1390">
        <v>1874</v>
      </c>
      <c r="M1390">
        <v>2503</v>
      </c>
      <c r="N1390">
        <v>1669</v>
      </c>
      <c r="O1390">
        <v>2</v>
      </c>
      <c r="P1390" t="str">
        <f>("16")</f>
        <v>16</v>
      </c>
      <c r="Q1390" t="str">
        <f>("GEUNENS André")</f>
        <v>GEUNENS André</v>
      </c>
      <c r="R1390">
        <v>52</v>
      </c>
      <c r="S1390" t="s">
        <v>44</v>
      </c>
      <c r="T1390">
        <v>0</v>
      </c>
      <c r="V1390">
        <v>20</v>
      </c>
      <c r="W1390">
        <v>52</v>
      </c>
      <c r="X1390">
        <v>0</v>
      </c>
    </row>
    <row r="1391" spans="1:24" x14ac:dyDescent="0.35">
      <c r="A1391" t="s">
        <v>8</v>
      </c>
      <c r="B1391" t="s">
        <v>9</v>
      </c>
      <c r="C1391" t="str">
        <f t="shared" si="196"/>
        <v>11292</v>
      </c>
      <c r="D1391" t="s">
        <v>18</v>
      </c>
      <c r="E1391" t="str">
        <f t="shared" si="190"/>
        <v>25</v>
      </c>
      <c r="F1391">
        <v>28435</v>
      </c>
      <c r="G1391">
        <v>25720</v>
      </c>
      <c r="H1391">
        <v>837</v>
      </c>
      <c r="I1391" t="str">
        <f t="shared" si="194"/>
        <v>3</v>
      </c>
      <c r="J1391" t="str">
        <f t="shared" si="195"/>
        <v>CD&amp;V</v>
      </c>
      <c r="K1391">
        <v>629</v>
      </c>
      <c r="L1391">
        <v>1874</v>
      </c>
      <c r="M1391">
        <v>2503</v>
      </c>
      <c r="N1391">
        <v>1669</v>
      </c>
      <c r="O1391">
        <v>2</v>
      </c>
      <c r="P1391" t="str">
        <f>("17")</f>
        <v>17</v>
      </c>
      <c r="Q1391" t="str">
        <f>("HANDENHOVE-VANDOUSSELAERE Chris")</f>
        <v>HANDENHOVE-VANDOUSSELAERE Chris</v>
      </c>
      <c r="R1391">
        <v>73</v>
      </c>
      <c r="S1391" t="s">
        <v>44</v>
      </c>
      <c r="T1391">
        <v>0</v>
      </c>
      <c r="V1391">
        <v>13</v>
      </c>
      <c r="W1391">
        <v>73</v>
      </c>
      <c r="X1391">
        <v>0</v>
      </c>
    </row>
    <row r="1392" spans="1:24" x14ac:dyDescent="0.35">
      <c r="A1392" t="s">
        <v>8</v>
      </c>
      <c r="B1392" t="s">
        <v>9</v>
      </c>
      <c r="C1392" t="str">
        <f t="shared" si="196"/>
        <v>11292</v>
      </c>
      <c r="D1392" t="s">
        <v>18</v>
      </c>
      <c r="E1392" t="str">
        <f t="shared" si="190"/>
        <v>25</v>
      </c>
      <c r="F1392">
        <v>28435</v>
      </c>
      <c r="G1392">
        <v>25720</v>
      </c>
      <c r="H1392">
        <v>837</v>
      </c>
      <c r="I1392" t="str">
        <f t="shared" si="194"/>
        <v>3</v>
      </c>
      <c r="J1392" t="str">
        <f t="shared" si="195"/>
        <v>CD&amp;V</v>
      </c>
      <c r="K1392">
        <v>629</v>
      </c>
      <c r="L1392">
        <v>1874</v>
      </c>
      <c r="M1392">
        <v>2503</v>
      </c>
      <c r="N1392">
        <v>1669</v>
      </c>
      <c r="O1392">
        <v>2</v>
      </c>
      <c r="P1392" t="str">
        <f>("18")</f>
        <v>18</v>
      </c>
      <c r="Q1392" t="str">
        <f>("TEN Tatyana")</f>
        <v>TEN Tatyana</v>
      </c>
      <c r="R1392">
        <v>39</v>
      </c>
      <c r="S1392" t="s">
        <v>44</v>
      </c>
      <c r="T1392">
        <v>0</v>
      </c>
      <c r="V1392">
        <v>22</v>
      </c>
      <c r="W1392">
        <v>39</v>
      </c>
      <c r="X1392">
        <v>0</v>
      </c>
    </row>
    <row r="1393" spans="1:24" x14ac:dyDescent="0.35">
      <c r="A1393" t="s">
        <v>8</v>
      </c>
      <c r="B1393" t="s">
        <v>9</v>
      </c>
      <c r="C1393" t="str">
        <f t="shared" si="196"/>
        <v>11292</v>
      </c>
      <c r="D1393" t="s">
        <v>18</v>
      </c>
      <c r="E1393" t="str">
        <f t="shared" si="190"/>
        <v>25</v>
      </c>
      <c r="F1393">
        <v>28435</v>
      </c>
      <c r="G1393">
        <v>25720</v>
      </c>
      <c r="H1393">
        <v>837</v>
      </c>
      <c r="I1393" t="str">
        <f t="shared" si="194"/>
        <v>3</v>
      </c>
      <c r="J1393" t="str">
        <f t="shared" si="195"/>
        <v>CD&amp;V</v>
      </c>
      <c r="K1393">
        <v>629</v>
      </c>
      <c r="L1393">
        <v>1874</v>
      </c>
      <c r="M1393">
        <v>2503</v>
      </c>
      <c r="N1393">
        <v>1669</v>
      </c>
      <c r="O1393">
        <v>2</v>
      </c>
      <c r="P1393" t="str">
        <f>("19")</f>
        <v>19</v>
      </c>
      <c r="Q1393" t="str">
        <f>("BAECK Lydia")</f>
        <v>BAECK Lydia</v>
      </c>
      <c r="R1393">
        <v>71</v>
      </c>
      <c r="S1393" t="s">
        <v>44</v>
      </c>
      <c r="T1393">
        <v>0</v>
      </c>
      <c r="V1393">
        <v>15</v>
      </c>
      <c r="W1393">
        <v>71</v>
      </c>
      <c r="X1393">
        <v>0</v>
      </c>
    </row>
    <row r="1394" spans="1:24" x14ac:dyDescent="0.35">
      <c r="A1394" t="s">
        <v>8</v>
      </c>
      <c r="B1394" t="s">
        <v>9</v>
      </c>
      <c r="C1394" t="str">
        <f t="shared" si="196"/>
        <v>11292</v>
      </c>
      <c r="D1394" t="s">
        <v>18</v>
      </c>
      <c r="E1394" t="str">
        <f t="shared" si="190"/>
        <v>25</v>
      </c>
      <c r="F1394">
        <v>28435</v>
      </c>
      <c r="G1394">
        <v>25720</v>
      </c>
      <c r="H1394">
        <v>837</v>
      </c>
      <c r="I1394" t="str">
        <f t="shared" si="194"/>
        <v>3</v>
      </c>
      <c r="J1394" t="str">
        <f t="shared" si="195"/>
        <v>CD&amp;V</v>
      </c>
      <c r="K1394">
        <v>629</v>
      </c>
      <c r="L1394">
        <v>1874</v>
      </c>
      <c r="M1394">
        <v>2503</v>
      </c>
      <c r="N1394">
        <v>1669</v>
      </c>
      <c r="O1394">
        <v>2</v>
      </c>
      <c r="P1394" t="str">
        <f>("20")</f>
        <v>20</v>
      </c>
      <c r="Q1394" t="str">
        <f>("FRANZEN Michel")</f>
        <v>FRANZEN Michel</v>
      </c>
      <c r="R1394">
        <v>67</v>
      </c>
      <c r="S1394" t="s">
        <v>44</v>
      </c>
      <c r="T1394">
        <v>0</v>
      </c>
      <c r="V1394">
        <v>16</v>
      </c>
      <c r="W1394">
        <v>67</v>
      </c>
      <c r="X1394">
        <v>0</v>
      </c>
    </row>
    <row r="1395" spans="1:24" x14ac:dyDescent="0.35">
      <c r="A1395" t="s">
        <v>8</v>
      </c>
      <c r="B1395" t="s">
        <v>9</v>
      </c>
      <c r="C1395" t="str">
        <f t="shared" si="196"/>
        <v>11292</v>
      </c>
      <c r="D1395" t="s">
        <v>18</v>
      </c>
      <c r="E1395" t="str">
        <f t="shared" si="190"/>
        <v>25</v>
      </c>
      <c r="F1395">
        <v>28435</v>
      </c>
      <c r="G1395">
        <v>25720</v>
      </c>
      <c r="H1395">
        <v>837</v>
      </c>
      <c r="I1395" t="str">
        <f t="shared" si="194"/>
        <v>3</v>
      </c>
      <c r="J1395" t="str">
        <f t="shared" si="195"/>
        <v>CD&amp;V</v>
      </c>
      <c r="K1395">
        <v>629</v>
      </c>
      <c r="L1395">
        <v>1874</v>
      </c>
      <c r="M1395">
        <v>2503</v>
      </c>
      <c r="N1395">
        <v>1669</v>
      </c>
      <c r="O1395">
        <v>2</v>
      </c>
      <c r="P1395" t="str">
        <f>("21")</f>
        <v>21</v>
      </c>
      <c r="Q1395" t="str">
        <f>("DE KEYSER Vinciane")</f>
        <v>DE KEYSER Vinciane</v>
      </c>
      <c r="R1395">
        <v>42</v>
      </c>
      <c r="S1395" t="s">
        <v>44</v>
      </c>
      <c r="T1395">
        <v>0</v>
      </c>
      <c r="V1395">
        <v>21</v>
      </c>
      <c r="W1395">
        <v>42</v>
      </c>
      <c r="X1395">
        <v>0</v>
      </c>
    </row>
    <row r="1396" spans="1:24" x14ac:dyDescent="0.35">
      <c r="A1396" t="s">
        <v>8</v>
      </c>
      <c r="B1396" t="s">
        <v>9</v>
      </c>
      <c r="C1396" t="str">
        <f t="shared" si="196"/>
        <v>11292</v>
      </c>
      <c r="D1396" t="s">
        <v>18</v>
      </c>
      <c r="E1396" t="str">
        <f t="shared" si="190"/>
        <v>25</v>
      </c>
      <c r="F1396">
        <v>28435</v>
      </c>
      <c r="G1396">
        <v>25720</v>
      </c>
      <c r="H1396">
        <v>837</v>
      </c>
      <c r="I1396" t="str">
        <f t="shared" si="194"/>
        <v>3</v>
      </c>
      <c r="J1396" t="str">
        <f t="shared" si="195"/>
        <v>CD&amp;V</v>
      </c>
      <c r="K1396">
        <v>629</v>
      </c>
      <c r="L1396">
        <v>1874</v>
      </c>
      <c r="M1396">
        <v>2503</v>
      </c>
      <c r="N1396">
        <v>1669</v>
      </c>
      <c r="O1396">
        <v>2</v>
      </c>
      <c r="P1396" t="str">
        <f>("22")</f>
        <v>22</v>
      </c>
      <c r="Q1396" t="str">
        <f>("MEERT Ria")</f>
        <v>MEERT Ria</v>
      </c>
      <c r="R1396">
        <v>36</v>
      </c>
      <c r="S1396" t="s">
        <v>44</v>
      </c>
      <c r="T1396">
        <v>0</v>
      </c>
      <c r="V1396">
        <v>23</v>
      </c>
      <c r="W1396">
        <v>36</v>
      </c>
      <c r="X1396">
        <v>0</v>
      </c>
    </row>
    <row r="1397" spans="1:24" x14ac:dyDescent="0.35">
      <c r="A1397" t="s">
        <v>8</v>
      </c>
      <c r="B1397" t="s">
        <v>9</v>
      </c>
      <c r="C1397" t="str">
        <f t="shared" si="196"/>
        <v>11292</v>
      </c>
      <c r="D1397" t="s">
        <v>18</v>
      </c>
      <c r="E1397" t="str">
        <f t="shared" si="190"/>
        <v>25</v>
      </c>
      <c r="F1397">
        <v>28435</v>
      </c>
      <c r="G1397">
        <v>25720</v>
      </c>
      <c r="H1397">
        <v>837</v>
      </c>
      <c r="I1397" t="str">
        <f t="shared" si="194"/>
        <v>3</v>
      </c>
      <c r="J1397" t="str">
        <f t="shared" si="195"/>
        <v>CD&amp;V</v>
      </c>
      <c r="K1397">
        <v>629</v>
      </c>
      <c r="L1397">
        <v>1874</v>
      </c>
      <c r="M1397">
        <v>2503</v>
      </c>
      <c r="N1397">
        <v>1669</v>
      </c>
      <c r="O1397">
        <v>2</v>
      </c>
      <c r="P1397" t="str">
        <f>("23")</f>
        <v>23</v>
      </c>
      <c r="Q1397" t="str">
        <f>("VAN DAMME Stan")</f>
        <v>VAN DAMME Stan</v>
      </c>
      <c r="R1397">
        <v>59</v>
      </c>
      <c r="S1397" t="s">
        <v>44</v>
      </c>
      <c r="T1397">
        <v>0</v>
      </c>
      <c r="V1397">
        <v>18</v>
      </c>
      <c r="W1397">
        <v>59</v>
      </c>
      <c r="X1397">
        <v>0</v>
      </c>
    </row>
    <row r="1398" spans="1:24" x14ac:dyDescent="0.35">
      <c r="A1398" t="s">
        <v>8</v>
      </c>
      <c r="B1398" t="s">
        <v>9</v>
      </c>
      <c r="C1398" t="str">
        <f t="shared" si="196"/>
        <v>11292</v>
      </c>
      <c r="D1398" t="s">
        <v>18</v>
      </c>
      <c r="E1398" t="str">
        <f t="shared" si="190"/>
        <v>25</v>
      </c>
      <c r="F1398">
        <v>28435</v>
      </c>
      <c r="G1398">
        <v>25720</v>
      </c>
      <c r="H1398">
        <v>837</v>
      </c>
      <c r="I1398" t="str">
        <f t="shared" si="194"/>
        <v>3</v>
      </c>
      <c r="J1398" t="str">
        <f t="shared" si="195"/>
        <v>CD&amp;V</v>
      </c>
      <c r="K1398">
        <v>629</v>
      </c>
      <c r="L1398">
        <v>1874</v>
      </c>
      <c r="M1398">
        <v>2503</v>
      </c>
      <c r="N1398">
        <v>1669</v>
      </c>
      <c r="O1398">
        <v>2</v>
      </c>
      <c r="P1398" t="str">
        <f>("24")</f>
        <v>24</v>
      </c>
      <c r="Q1398" t="str">
        <f>("SHRESTHA Shyam")</f>
        <v>SHRESTHA Shyam</v>
      </c>
      <c r="R1398">
        <v>57</v>
      </c>
      <c r="S1398" t="s">
        <v>44</v>
      </c>
      <c r="T1398">
        <v>0</v>
      </c>
      <c r="V1398">
        <v>19</v>
      </c>
      <c r="W1398">
        <v>57</v>
      </c>
      <c r="X1398">
        <v>0</v>
      </c>
    </row>
    <row r="1399" spans="1:24" x14ac:dyDescent="0.35">
      <c r="A1399" t="s">
        <v>8</v>
      </c>
      <c r="B1399" t="s">
        <v>9</v>
      </c>
      <c r="C1399" t="str">
        <f t="shared" si="196"/>
        <v>11292</v>
      </c>
      <c r="D1399" t="s">
        <v>18</v>
      </c>
      <c r="E1399" t="str">
        <f t="shared" ref="E1399:E1462" si="197">("25")</f>
        <v>25</v>
      </c>
      <c r="F1399">
        <v>28435</v>
      </c>
      <c r="G1399">
        <v>25720</v>
      </c>
      <c r="H1399">
        <v>837</v>
      </c>
      <c r="I1399" t="str">
        <f t="shared" si="194"/>
        <v>3</v>
      </c>
      <c r="J1399" t="str">
        <f t="shared" si="195"/>
        <v>CD&amp;V</v>
      </c>
      <c r="K1399">
        <v>629</v>
      </c>
      <c r="L1399">
        <v>1874</v>
      </c>
      <c r="M1399">
        <v>2503</v>
      </c>
      <c r="N1399">
        <v>1669</v>
      </c>
      <c r="O1399">
        <v>2</v>
      </c>
      <c r="P1399" t="str">
        <f>("25")</f>
        <v>25</v>
      </c>
      <c r="Q1399" t="str">
        <f>("MATTHIJSSENS-RYCKMANS Kris")</f>
        <v>MATTHIJSSENS-RYCKMANS Kris</v>
      </c>
      <c r="R1399">
        <v>185</v>
      </c>
      <c r="S1399" t="s">
        <v>44</v>
      </c>
      <c r="T1399">
        <v>0</v>
      </c>
      <c r="V1399">
        <v>4</v>
      </c>
      <c r="W1399">
        <v>185</v>
      </c>
      <c r="X1399">
        <v>0</v>
      </c>
    </row>
    <row r="1400" spans="1:24" x14ac:dyDescent="0.35">
      <c r="A1400" t="s">
        <v>8</v>
      </c>
      <c r="B1400" t="s">
        <v>9</v>
      </c>
      <c r="C1400" t="str">
        <f t="shared" si="196"/>
        <v>11292</v>
      </c>
      <c r="D1400" t="s">
        <v>18</v>
      </c>
      <c r="E1400" t="str">
        <f t="shared" si="197"/>
        <v>25</v>
      </c>
      <c r="F1400">
        <v>28435</v>
      </c>
      <c r="G1400">
        <v>25720</v>
      </c>
      <c r="H1400">
        <v>837</v>
      </c>
      <c r="I1400" t="str">
        <f t="shared" ref="I1400:I1424" si="198">("4")</f>
        <v>4</v>
      </c>
      <c r="J1400" t="str">
        <f t="shared" ref="J1400:J1424" si="199">("Groen")</f>
        <v>Groen</v>
      </c>
      <c r="K1400">
        <v>1592</v>
      </c>
      <c r="L1400">
        <v>2074</v>
      </c>
      <c r="M1400">
        <v>3666</v>
      </c>
      <c r="N1400">
        <v>2933</v>
      </c>
      <c r="O1400">
        <v>4</v>
      </c>
      <c r="P1400" t="str">
        <f>("1")</f>
        <v>1</v>
      </c>
      <c r="Q1400" t="str">
        <f>("AVONTS Dirk")</f>
        <v>AVONTS Dirk</v>
      </c>
      <c r="R1400">
        <v>762</v>
      </c>
      <c r="S1400">
        <v>2885</v>
      </c>
      <c r="T1400">
        <v>0</v>
      </c>
      <c r="U1400">
        <v>1</v>
      </c>
    </row>
    <row r="1401" spans="1:24" x14ac:dyDescent="0.35">
      <c r="A1401" t="s">
        <v>8</v>
      </c>
      <c r="B1401" t="s">
        <v>9</v>
      </c>
      <c r="C1401" t="str">
        <f t="shared" si="196"/>
        <v>11292</v>
      </c>
      <c r="D1401" t="s">
        <v>18</v>
      </c>
      <c r="E1401" t="str">
        <f t="shared" si="197"/>
        <v>25</v>
      </c>
      <c r="F1401">
        <v>28435</v>
      </c>
      <c r="G1401">
        <v>25720</v>
      </c>
      <c r="H1401">
        <v>837</v>
      </c>
      <c r="I1401" t="str">
        <f t="shared" si="198"/>
        <v>4</v>
      </c>
      <c r="J1401" t="str">
        <f t="shared" si="199"/>
        <v>Groen</v>
      </c>
      <c r="K1401">
        <v>1592</v>
      </c>
      <c r="L1401">
        <v>2074</v>
      </c>
      <c r="M1401">
        <v>3666</v>
      </c>
      <c r="N1401">
        <v>2933</v>
      </c>
      <c r="O1401">
        <v>4</v>
      </c>
      <c r="P1401" t="str">
        <f>("2")</f>
        <v>2</v>
      </c>
      <c r="Q1401" t="str">
        <f>("DECKX Peggy")</f>
        <v>DECKX Peggy</v>
      </c>
      <c r="R1401">
        <v>318</v>
      </c>
      <c r="S1401">
        <v>318</v>
      </c>
      <c r="T1401">
        <v>0</v>
      </c>
      <c r="U1401">
        <v>3</v>
      </c>
    </row>
    <row r="1402" spans="1:24" x14ac:dyDescent="0.35">
      <c r="A1402" t="s">
        <v>8</v>
      </c>
      <c r="B1402" t="s">
        <v>9</v>
      </c>
      <c r="C1402" t="str">
        <f t="shared" si="196"/>
        <v>11292</v>
      </c>
      <c r="D1402" t="s">
        <v>18</v>
      </c>
      <c r="E1402" t="str">
        <f t="shared" si="197"/>
        <v>25</v>
      </c>
      <c r="F1402">
        <v>28435</v>
      </c>
      <c r="G1402">
        <v>25720</v>
      </c>
      <c r="H1402">
        <v>837</v>
      </c>
      <c r="I1402" t="str">
        <f t="shared" si="198"/>
        <v>4</v>
      </c>
      <c r="J1402" t="str">
        <f t="shared" si="199"/>
        <v>Groen</v>
      </c>
      <c r="K1402">
        <v>1592</v>
      </c>
      <c r="L1402">
        <v>2074</v>
      </c>
      <c r="M1402">
        <v>3666</v>
      </c>
      <c r="N1402">
        <v>2933</v>
      </c>
      <c r="O1402">
        <v>4</v>
      </c>
      <c r="P1402" t="str">
        <f>("3")</f>
        <v>3</v>
      </c>
      <c r="Q1402" t="str">
        <f>("HAYANI Azeddine")</f>
        <v>HAYANI Azeddine</v>
      </c>
      <c r="R1402">
        <v>414</v>
      </c>
      <c r="S1402">
        <v>414</v>
      </c>
      <c r="T1402">
        <v>0</v>
      </c>
      <c r="U1402">
        <v>2</v>
      </c>
    </row>
    <row r="1403" spans="1:24" x14ac:dyDescent="0.35">
      <c r="A1403" t="s">
        <v>8</v>
      </c>
      <c r="B1403" t="s">
        <v>9</v>
      </c>
      <c r="C1403" t="str">
        <f t="shared" si="196"/>
        <v>11292</v>
      </c>
      <c r="D1403" t="s">
        <v>18</v>
      </c>
      <c r="E1403" t="str">
        <f t="shared" si="197"/>
        <v>25</v>
      </c>
      <c r="F1403">
        <v>28435</v>
      </c>
      <c r="G1403">
        <v>25720</v>
      </c>
      <c r="H1403">
        <v>837</v>
      </c>
      <c r="I1403" t="str">
        <f t="shared" si="198"/>
        <v>4</v>
      </c>
      <c r="J1403" t="str">
        <f t="shared" si="199"/>
        <v>Groen</v>
      </c>
      <c r="K1403">
        <v>1592</v>
      </c>
      <c r="L1403">
        <v>2074</v>
      </c>
      <c r="M1403">
        <v>3666</v>
      </c>
      <c r="N1403">
        <v>2933</v>
      </c>
      <c r="O1403">
        <v>4</v>
      </c>
      <c r="P1403" t="str">
        <f>("4")</f>
        <v>4</v>
      </c>
      <c r="Q1403" t="str">
        <f>("DAMAN Laura")</f>
        <v>DAMAN Laura</v>
      </c>
      <c r="R1403">
        <v>259</v>
      </c>
      <c r="S1403">
        <v>259</v>
      </c>
      <c r="T1403">
        <v>0</v>
      </c>
      <c r="U1403">
        <v>4</v>
      </c>
    </row>
    <row r="1404" spans="1:24" x14ac:dyDescent="0.35">
      <c r="A1404" t="s">
        <v>8</v>
      </c>
      <c r="B1404" t="s">
        <v>9</v>
      </c>
      <c r="C1404" t="str">
        <f t="shared" si="196"/>
        <v>11292</v>
      </c>
      <c r="D1404" t="s">
        <v>18</v>
      </c>
      <c r="E1404" t="str">
        <f t="shared" si="197"/>
        <v>25</v>
      </c>
      <c r="F1404">
        <v>28435</v>
      </c>
      <c r="G1404">
        <v>25720</v>
      </c>
      <c r="H1404">
        <v>837</v>
      </c>
      <c r="I1404" t="str">
        <f t="shared" si="198"/>
        <v>4</v>
      </c>
      <c r="J1404" t="str">
        <f t="shared" si="199"/>
        <v>Groen</v>
      </c>
      <c r="K1404">
        <v>1592</v>
      </c>
      <c r="L1404">
        <v>2074</v>
      </c>
      <c r="M1404">
        <v>3666</v>
      </c>
      <c r="N1404">
        <v>2933</v>
      </c>
      <c r="O1404">
        <v>4</v>
      </c>
      <c r="P1404" t="str">
        <f>("5")</f>
        <v>5</v>
      </c>
      <c r="Q1404" t="str">
        <f>("ELIAERTS Luc")</f>
        <v>ELIAERTS Luc</v>
      </c>
      <c r="R1404">
        <v>119</v>
      </c>
      <c r="S1404" t="s">
        <v>44</v>
      </c>
      <c r="T1404">
        <v>0</v>
      </c>
      <c r="V1404">
        <v>1</v>
      </c>
      <c r="W1404">
        <v>2242</v>
      </c>
      <c r="X1404">
        <v>0</v>
      </c>
    </row>
    <row r="1405" spans="1:24" x14ac:dyDescent="0.35">
      <c r="A1405" t="s">
        <v>8</v>
      </c>
      <c r="B1405" t="s">
        <v>9</v>
      </c>
      <c r="C1405" t="str">
        <f t="shared" si="196"/>
        <v>11292</v>
      </c>
      <c r="D1405" t="s">
        <v>18</v>
      </c>
      <c r="E1405" t="str">
        <f t="shared" si="197"/>
        <v>25</v>
      </c>
      <c r="F1405">
        <v>28435</v>
      </c>
      <c r="G1405">
        <v>25720</v>
      </c>
      <c r="H1405">
        <v>837</v>
      </c>
      <c r="I1405" t="str">
        <f t="shared" si="198"/>
        <v>4</v>
      </c>
      <c r="J1405" t="str">
        <f t="shared" si="199"/>
        <v>Groen</v>
      </c>
      <c r="K1405">
        <v>1592</v>
      </c>
      <c r="L1405">
        <v>2074</v>
      </c>
      <c r="M1405">
        <v>3666</v>
      </c>
      <c r="N1405">
        <v>2933</v>
      </c>
      <c r="O1405">
        <v>4</v>
      </c>
      <c r="P1405" t="str">
        <f>("6")</f>
        <v>6</v>
      </c>
      <c r="Q1405" t="str">
        <f>("DE FRAGA VILAÇA Regina")</f>
        <v>DE FRAGA VILAÇA Regina</v>
      </c>
      <c r="R1405">
        <v>156</v>
      </c>
      <c r="S1405" t="s">
        <v>44</v>
      </c>
      <c r="T1405">
        <v>0</v>
      </c>
      <c r="V1405">
        <v>5</v>
      </c>
      <c r="W1405">
        <v>156</v>
      </c>
      <c r="X1405">
        <v>0</v>
      </c>
    </row>
    <row r="1406" spans="1:24" x14ac:dyDescent="0.35">
      <c r="A1406" t="s">
        <v>8</v>
      </c>
      <c r="B1406" t="s">
        <v>9</v>
      </c>
      <c r="C1406" t="str">
        <f t="shared" si="196"/>
        <v>11292</v>
      </c>
      <c r="D1406" t="s">
        <v>18</v>
      </c>
      <c r="E1406" t="str">
        <f t="shared" si="197"/>
        <v>25</v>
      </c>
      <c r="F1406">
        <v>28435</v>
      </c>
      <c r="G1406">
        <v>25720</v>
      </c>
      <c r="H1406">
        <v>837</v>
      </c>
      <c r="I1406" t="str">
        <f t="shared" si="198"/>
        <v>4</v>
      </c>
      <c r="J1406" t="str">
        <f t="shared" si="199"/>
        <v>Groen</v>
      </c>
      <c r="K1406">
        <v>1592</v>
      </c>
      <c r="L1406">
        <v>2074</v>
      </c>
      <c r="M1406">
        <v>3666</v>
      </c>
      <c r="N1406">
        <v>2933</v>
      </c>
      <c r="O1406">
        <v>4</v>
      </c>
      <c r="P1406" t="str">
        <f>("7")</f>
        <v>7</v>
      </c>
      <c r="Q1406" t="str">
        <f>("VANDERKINDERE Thierry")</f>
        <v>VANDERKINDERE Thierry</v>
      </c>
      <c r="R1406">
        <v>134</v>
      </c>
      <c r="S1406" t="s">
        <v>44</v>
      </c>
      <c r="T1406">
        <v>0</v>
      </c>
      <c r="V1406">
        <v>7</v>
      </c>
      <c r="W1406">
        <v>134</v>
      </c>
      <c r="X1406">
        <v>0</v>
      </c>
    </row>
    <row r="1407" spans="1:24" x14ac:dyDescent="0.35">
      <c r="A1407" t="s">
        <v>8</v>
      </c>
      <c r="B1407" t="s">
        <v>9</v>
      </c>
      <c r="C1407" t="str">
        <f t="shared" si="196"/>
        <v>11292</v>
      </c>
      <c r="D1407" t="s">
        <v>18</v>
      </c>
      <c r="E1407" t="str">
        <f t="shared" si="197"/>
        <v>25</v>
      </c>
      <c r="F1407">
        <v>28435</v>
      </c>
      <c r="G1407">
        <v>25720</v>
      </c>
      <c r="H1407">
        <v>837</v>
      </c>
      <c r="I1407" t="str">
        <f t="shared" si="198"/>
        <v>4</v>
      </c>
      <c r="J1407" t="str">
        <f t="shared" si="199"/>
        <v>Groen</v>
      </c>
      <c r="K1407">
        <v>1592</v>
      </c>
      <c r="L1407">
        <v>2074</v>
      </c>
      <c r="M1407">
        <v>3666</v>
      </c>
      <c r="N1407">
        <v>2933</v>
      </c>
      <c r="O1407">
        <v>4</v>
      </c>
      <c r="P1407" t="str">
        <f>("8")</f>
        <v>8</v>
      </c>
      <c r="Q1407" t="str">
        <f>("MAES Oona")</f>
        <v>MAES Oona</v>
      </c>
      <c r="R1407">
        <v>160</v>
      </c>
      <c r="S1407" t="s">
        <v>44</v>
      </c>
      <c r="T1407">
        <v>0</v>
      </c>
      <c r="V1407">
        <v>4</v>
      </c>
      <c r="W1407">
        <v>160</v>
      </c>
      <c r="X1407">
        <v>0</v>
      </c>
    </row>
    <row r="1408" spans="1:24" x14ac:dyDescent="0.35">
      <c r="A1408" t="s">
        <v>8</v>
      </c>
      <c r="B1408" t="s">
        <v>9</v>
      </c>
      <c r="C1408" t="str">
        <f t="shared" si="196"/>
        <v>11292</v>
      </c>
      <c r="D1408" t="s">
        <v>18</v>
      </c>
      <c r="E1408" t="str">
        <f t="shared" si="197"/>
        <v>25</v>
      </c>
      <c r="F1408">
        <v>28435</v>
      </c>
      <c r="G1408">
        <v>25720</v>
      </c>
      <c r="H1408">
        <v>837</v>
      </c>
      <c r="I1408" t="str">
        <f t="shared" si="198"/>
        <v>4</v>
      </c>
      <c r="J1408" t="str">
        <f t="shared" si="199"/>
        <v>Groen</v>
      </c>
      <c r="K1408">
        <v>1592</v>
      </c>
      <c r="L1408">
        <v>2074</v>
      </c>
      <c r="M1408">
        <v>3666</v>
      </c>
      <c r="N1408">
        <v>2933</v>
      </c>
      <c r="O1408">
        <v>4</v>
      </c>
      <c r="P1408" t="str">
        <f>("9")</f>
        <v>9</v>
      </c>
      <c r="Q1408" t="str">
        <f>("BAERT Axel")</f>
        <v>BAERT Axel</v>
      </c>
      <c r="R1408">
        <v>81</v>
      </c>
      <c r="S1408" t="s">
        <v>44</v>
      </c>
      <c r="T1408">
        <v>0</v>
      </c>
      <c r="V1408">
        <v>17</v>
      </c>
      <c r="W1408">
        <v>81</v>
      </c>
      <c r="X1408">
        <v>0</v>
      </c>
    </row>
    <row r="1409" spans="1:24" x14ac:dyDescent="0.35">
      <c r="A1409" t="s">
        <v>8</v>
      </c>
      <c r="B1409" t="s">
        <v>9</v>
      </c>
      <c r="C1409" t="str">
        <f t="shared" si="196"/>
        <v>11292</v>
      </c>
      <c r="D1409" t="s">
        <v>18</v>
      </c>
      <c r="E1409" t="str">
        <f t="shared" si="197"/>
        <v>25</v>
      </c>
      <c r="F1409">
        <v>28435</v>
      </c>
      <c r="G1409">
        <v>25720</v>
      </c>
      <c r="H1409">
        <v>837</v>
      </c>
      <c r="I1409" t="str">
        <f t="shared" si="198"/>
        <v>4</v>
      </c>
      <c r="J1409" t="str">
        <f t="shared" si="199"/>
        <v>Groen</v>
      </c>
      <c r="K1409">
        <v>1592</v>
      </c>
      <c r="L1409">
        <v>2074</v>
      </c>
      <c r="M1409">
        <v>3666</v>
      </c>
      <c r="N1409">
        <v>2933</v>
      </c>
      <c r="O1409">
        <v>4</v>
      </c>
      <c r="P1409" t="str">
        <f>("10")</f>
        <v>10</v>
      </c>
      <c r="Q1409" t="str">
        <f>("FRANCQ Kristine")</f>
        <v>FRANCQ Kristine</v>
      </c>
      <c r="R1409">
        <v>114</v>
      </c>
      <c r="S1409" t="s">
        <v>44</v>
      </c>
      <c r="T1409">
        <v>0</v>
      </c>
      <c r="V1409">
        <v>12</v>
      </c>
      <c r="W1409">
        <v>114</v>
      </c>
      <c r="X1409">
        <v>0</v>
      </c>
    </row>
    <row r="1410" spans="1:24" x14ac:dyDescent="0.35">
      <c r="A1410" t="s">
        <v>8</v>
      </c>
      <c r="B1410" t="s">
        <v>9</v>
      </c>
      <c r="C1410" t="str">
        <f t="shared" si="196"/>
        <v>11292</v>
      </c>
      <c r="D1410" t="s">
        <v>18</v>
      </c>
      <c r="E1410" t="str">
        <f t="shared" si="197"/>
        <v>25</v>
      </c>
      <c r="F1410">
        <v>28435</v>
      </c>
      <c r="G1410">
        <v>25720</v>
      </c>
      <c r="H1410">
        <v>837</v>
      </c>
      <c r="I1410" t="str">
        <f t="shared" si="198"/>
        <v>4</v>
      </c>
      <c r="J1410" t="str">
        <f t="shared" si="199"/>
        <v>Groen</v>
      </c>
      <c r="K1410">
        <v>1592</v>
      </c>
      <c r="L1410">
        <v>2074</v>
      </c>
      <c r="M1410">
        <v>3666</v>
      </c>
      <c r="N1410">
        <v>2933</v>
      </c>
      <c r="O1410">
        <v>4</v>
      </c>
      <c r="P1410" t="str">
        <f>("11")</f>
        <v>11</v>
      </c>
      <c r="Q1410" t="str">
        <f>("WIEME Stephan")</f>
        <v>WIEME Stephan</v>
      </c>
      <c r="R1410">
        <v>76</v>
      </c>
      <c r="S1410" t="s">
        <v>44</v>
      </c>
      <c r="T1410">
        <v>0</v>
      </c>
      <c r="V1410">
        <v>18</v>
      </c>
      <c r="W1410">
        <v>76</v>
      </c>
      <c r="X1410">
        <v>0</v>
      </c>
    </row>
    <row r="1411" spans="1:24" x14ac:dyDescent="0.35">
      <c r="A1411" t="s">
        <v>8</v>
      </c>
      <c r="B1411" t="s">
        <v>9</v>
      </c>
      <c r="C1411" t="str">
        <f t="shared" si="196"/>
        <v>11292</v>
      </c>
      <c r="D1411" t="s">
        <v>18</v>
      </c>
      <c r="E1411" t="str">
        <f t="shared" si="197"/>
        <v>25</v>
      </c>
      <c r="F1411">
        <v>28435</v>
      </c>
      <c r="G1411">
        <v>25720</v>
      </c>
      <c r="H1411">
        <v>837</v>
      </c>
      <c r="I1411" t="str">
        <f t="shared" si="198"/>
        <v>4</v>
      </c>
      <c r="J1411" t="str">
        <f t="shared" si="199"/>
        <v>Groen</v>
      </c>
      <c r="K1411">
        <v>1592</v>
      </c>
      <c r="L1411">
        <v>2074</v>
      </c>
      <c r="M1411">
        <v>3666</v>
      </c>
      <c r="N1411">
        <v>2933</v>
      </c>
      <c r="O1411">
        <v>4</v>
      </c>
      <c r="P1411" t="str">
        <f>("12")</f>
        <v>12</v>
      </c>
      <c r="Q1411" t="str">
        <f>("VAN DEN BRANDE Annelies")</f>
        <v>VAN DEN BRANDE Annelies</v>
      </c>
      <c r="R1411">
        <v>181</v>
      </c>
      <c r="S1411" t="s">
        <v>44</v>
      </c>
      <c r="T1411">
        <v>0</v>
      </c>
      <c r="V1411">
        <v>3</v>
      </c>
      <c r="W1411">
        <v>181</v>
      </c>
      <c r="X1411">
        <v>0</v>
      </c>
    </row>
    <row r="1412" spans="1:24" x14ac:dyDescent="0.35">
      <c r="A1412" t="s">
        <v>8</v>
      </c>
      <c r="B1412" t="s">
        <v>9</v>
      </c>
      <c r="C1412" t="str">
        <f t="shared" si="196"/>
        <v>11292</v>
      </c>
      <c r="D1412" t="s">
        <v>18</v>
      </c>
      <c r="E1412" t="str">
        <f t="shared" si="197"/>
        <v>25</v>
      </c>
      <c r="F1412">
        <v>28435</v>
      </c>
      <c r="G1412">
        <v>25720</v>
      </c>
      <c r="H1412">
        <v>837</v>
      </c>
      <c r="I1412" t="str">
        <f t="shared" si="198"/>
        <v>4</v>
      </c>
      <c r="J1412" t="str">
        <f t="shared" si="199"/>
        <v>Groen</v>
      </c>
      <c r="K1412">
        <v>1592</v>
      </c>
      <c r="L1412">
        <v>2074</v>
      </c>
      <c r="M1412">
        <v>3666</v>
      </c>
      <c r="N1412">
        <v>2933</v>
      </c>
      <c r="O1412">
        <v>4</v>
      </c>
      <c r="P1412" t="str">
        <f>("13")</f>
        <v>13</v>
      </c>
      <c r="Q1412" t="str">
        <f>("VANCOPPENOLLE Steven")</f>
        <v>VANCOPPENOLLE Steven</v>
      </c>
      <c r="R1412">
        <v>126</v>
      </c>
      <c r="S1412" t="s">
        <v>44</v>
      </c>
      <c r="T1412">
        <v>0</v>
      </c>
      <c r="V1412">
        <v>9</v>
      </c>
      <c r="W1412">
        <v>126</v>
      </c>
      <c r="X1412">
        <v>0</v>
      </c>
    </row>
    <row r="1413" spans="1:24" x14ac:dyDescent="0.35">
      <c r="A1413" t="s">
        <v>8</v>
      </c>
      <c r="B1413" t="s">
        <v>9</v>
      </c>
      <c r="C1413" t="str">
        <f t="shared" si="196"/>
        <v>11292</v>
      </c>
      <c r="D1413" t="s">
        <v>18</v>
      </c>
      <c r="E1413" t="str">
        <f t="shared" si="197"/>
        <v>25</v>
      </c>
      <c r="F1413">
        <v>28435</v>
      </c>
      <c r="G1413">
        <v>25720</v>
      </c>
      <c r="H1413">
        <v>837</v>
      </c>
      <c r="I1413" t="str">
        <f t="shared" si="198"/>
        <v>4</v>
      </c>
      <c r="J1413" t="str">
        <f t="shared" si="199"/>
        <v>Groen</v>
      </c>
      <c r="K1413">
        <v>1592</v>
      </c>
      <c r="L1413">
        <v>2074</v>
      </c>
      <c r="M1413">
        <v>3666</v>
      </c>
      <c r="N1413">
        <v>2933</v>
      </c>
      <c r="O1413">
        <v>4</v>
      </c>
      <c r="P1413" t="str">
        <f>("14")</f>
        <v>14</v>
      </c>
      <c r="Q1413" t="str">
        <f>("NDABACEKURE Yvette")</f>
        <v>NDABACEKURE Yvette</v>
      </c>
      <c r="R1413">
        <v>110</v>
      </c>
      <c r="S1413" t="s">
        <v>44</v>
      </c>
      <c r="T1413">
        <v>0</v>
      </c>
      <c r="V1413">
        <v>13</v>
      </c>
      <c r="W1413">
        <v>110</v>
      </c>
      <c r="X1413">
        <v>0</v>
      </c>
    </row>
    <row r="1414" spans="1:24" x14ac:dyDescent="0.35">
      <c r="A1414" t="s">
        <v>8</v>
      </c>
      <c r="B1414" t="s">
        <v>9</v>
      </c>
      <c r="C1414" t="str">
        <f t="shared" si="196"/>
        <v>11292</v>
      </c>
      <c r="D1414" t="s">
        <v>18</v>
      </c>
      <c r="E1414" t="str">
        <f t="shared" si="197"/>
        <v>25</v>
      </c>
      <c r="F1414">
        <v>28435</v>
      </c>
      <c r="G1414">
        <v>25720</v>
      </c>
      <c r="H1414">
        <v>837</v>
      </c>
      <c r="I1414" t="str">
        <f t="shared" si="198"/>
        <v>4</v>
      </c>
      <c r="J1414" t="str">
        <f t="shared" si="199"/>
        <v>Groen</v>
      </c>
      <c r="K1414">
        <v>1592</v>
      </c>
      <c r="L1414">
        <v>2074</v>
      </c>
      <c r="M1414">
        <v>3666</v>
      </c>
      <c r="N1414">
        <v>2933</v>
      </c>
      <c r="O1414">
        <v>4</v>
      </c>
      <c r="P1414" t="str">
        <f>("15")</f>
        <v>15</v>
      </c>
      <c r="Q1414" t="str">
        <f>("DE PELSENEER Ward")</f>
        <v>DE PELSENEER Ward</v>
      </c>
      <c r="R1414">
        <v>66</v>
      </c>
      <c r="S1414" t="s">
        <v>44</v>
      </c>
      <c r="T1414">
        <v>0</v>
      </c>
      <c r="V1414">
        <v>21</v>
      </c>
      <c r="W1414">
        <v>66</v>
      </c>
      <c r="X1414">
        <v>0</v>
      </c>
    </row>
    <row r="1415" spans="1:24" x14ac:dyDescent="0.35">
      <c r="A1415" t="s">
        <v>8</v>
      </c>
      <c r="B1415" t="s">
        <v>9</v>
      </c>
      <c r="C1415" t="str">
        <f t="shared" si="196"/>
        <v>11292</v>
      </c>
      <c r="D1415" t="s">
        <v>18</v>
      </c>
      <c r="E1415" t="str">
        <f t="shared" si="197"/>
        <v>25</v>
      </c>
      <c r="F1415">
        <v>28435</v>
      </c>
      <c r="G1415">
        <v>25720</v>
      </c>
      <c r="H1415">
        <v>837</v>
      </c>
      <c r="I1415" t="str">
        <f t="shared" si="198"/>
        <v>4</v>
      </c>
      <c r="J1415" t="str">
        <f t="shared" si="199"/>
        <v>Groen</v>
      </c>
      <c r="K1415">
        <v>1592</v>
      </c>
      <c r="L1415">
        <v>2074</v>
      </c>
      <c r="M1415">
        <v>3666</v>
      </c>
      <c r="N1415">
        <v>2933</v>
      </c>
      <c r="O1415">
        <v>4</v>
      </c>
      <c r="P1415" t="str">
        <f>("16")</f>
        <v>16</v>
      </c>
      <c r="Q1415" t="str">
        <f>("STAES Nicole")</f>
        <v>STAES Nicole</v>
      </c>
      <c r="R1415">
        <v>115</v>
      </c>
      <c r="S1415" t="s">
        <v>44</v>
      </c>
      <c r="T1415">
        <v>0</v>
      </c>
      <c r="V1415">
        <v>11</v>
      </c>
      <c r="W1415">
        <v>115</v>
      </c>
      <c r="X1415">
        <v>0</v>
      </c>
    </row>
    <row r="1416" spans="1:24" x14ac:dyDescent="0.35">
      <c r="A1416" t="s">
        <v>8</v>
      </c>
      <c r="B1416" t="s">
        <v>9</v>
      </c>
      <c r="C1416" t="str">
        <f t="shared" si="196"/>
        <v>11292</v>
      </c>
      <c r="D1416" t="s">
        <v>18</v>
      </c>
      <c r="E1416" t="str">
        <f t="shared" si="197"/>
        <v>25</v>
      </c>
      <c r="F1416">
        <v>28435</v>
      </c>
      <c r="G1416">
        <v>25720</v>
      </c>
      <c r="H1416">
        <v>837</v>
      </c>
      <c r="I1416" t="str">
        <f t="shared" si="198"/>
        <v>4</v>
      </c>
      <c r="J1416" t="str">
        <f t="shared" si="199"/>
        <v>Groen</v>
      </c>
      <c r="K1416">
        <v>1592</v>
      </c>
      <c r="L1416">
        <v>2074</v>
      </c>
      <c r="M1416">
        <v>3666</v>
      </c>
      <c r="N1416">
        <v>2933</v>
      </c>
      <c r="O1416">
        <v>4</v>
      </c>
      <c r="P1416" t="str">
        <f>("17")</f>
        <v>17</v>
      </c>
      <c r="Q1416" t="str">
        <f>("ET TALIE Yordan")</f>
        <v>ET TALIE Yordan</v>
      </c>
      <c r="R1416">
        <v>86</v>
      </c>
      <c r="S1416" t="s">
        <v>44</v>
      </c>
      <c r="T1416">
        <v>0</v>
      </c>
      <c r="V1416">
        <v>16</v>
      </c>
      <c r="W1416">
        <v>86</v>
      </c>
      <c r="X1416">
        <v>0</v>
      </c>
    </row>
    <row r="1417" spans="1:24" x14ac:dyDescent="0.35">
      <c r="A1417" t="s">
        <v>8</v>
      </c>
      <c r="B1417" t="s">
        <v>9</v>
      </c>
      <c r="C1417" t="str">
        <f t="shared" si="196"/>
        <v>11292</v>
      </c>
      <c r="D1417" t="s">
        <v>18</v>
      </c>
      <c r="E1417" t="str">
        <f t="shared" si="197"/>
        <v>25</v>
      </c>
      <c r="F1417">
        <v>28435</v>
      </c>
      <c r="G1417">
        <v>25720</v>
      </c>
      <c r="H1417">
        <v>837</v>
      </c>
      <c r="I1417" t="str">
        <f t="shared" si="198"/>
        <v>4</v>
      </c>
      <c r="J1417" t="str">
        <f t="shared" si="199"/>
        <v>Groen</v>
      </c>
      <c r="K1417">
        <v>1592</v>
      </c>
      <c r="L1417">
        <v>2074</v>
      </c>
      <c r="M1417">
        <v>3666</v>
      </c>
      <c r="N1417">
        <v>2933</v>
      </c>
      <c r="O1417">
        <v>4</v>
      </c>
      <c r="P1417" t="str">
        <f>("18")</f>
        <v>18</v>
      </c>
      <c r="Q1417" t="str">
        <f>("VANDENHOUTEN Diane")</f>
        <v>VANDENHOUTEN Diane</v>
      </c>
      <c r="R1417">
        <v>107</v>
      </c>
      <c r="S1417" t="s">
        <v>44</v>
      </c>
      <c r="T1417">
        <v>0</v>
      </c>
      <c r="V1417">
        <v>14</v>
      </c>
      <c r="W1417">
        <v>107</v>
      </c>
      <c r="X1417">
        <v>0</v>
      </c>
    </row>
    <row r="1418" spans="1:24" x14ac:dyDescent="0.35">
      <c r="A1418" t="s">
        <v>8</v>
      </c>
      <c r="B1418" t="s">
        <v>9</v>
      </c>
      <c r="C1418" t="str">
        <f t="shared" si="196"/>
        <v>11292</v>
      </c>
      <c r="D1418" t="s">
        <v>18</v>
      </c>
      <c r="E1418" t="str">
        <f t="shared" si="197"/>
        <v>25</v>
      </c>
      <c r="F1418">
        <v>28435</v>
      </c>
      <c r="G1418">
        <v>25720</v>
      </c>
      <c r="H1418">
        <v>837</v>
      </c>
      <c r="I1418" t="str">
        <f t="shared" si="198"/>
        <v>4</v>
      </c>
      <c r="J1418" t="str">
        <f t="shared" si="199"/>
        <v>Groen</v>
      </c>
      <c r="K1418">
        <v>1592</v>
      </c>
      <c r="L1418">
        <v>2074</v>
      </c>
      <c r="M1418">
        <v>3666</v>
      </c>
      <c r="N1418">
        <v>2933</v>
      </c>
      <c r="O1418">
        <v>4</v>
      </c>
      <c r="P1418" t="str">
        <f>("19")</f>
        <v>19</v>
      </c>
      <c r="Q1418" t="str">
        <f>("DECKERS Bruno")</f>
        <v>DECKERS Bruno</v>
      </c>
      <c r="R1418">
        <v>74</v>
      </c>
      <c r="S1418" t="s">
        <v>44</v>
      </c>
      <c r="T1418">
        <v>0</v>
      </c>
      <c r="V1418">
        <v>19</v>
      </c>
      <c r="W1418">
        <v>74</v>
      </c>
      <c r="X1418">
        <v>0</v>
      </c>
    </row>
    <row r="1419" spans="1:24" x14ac:dyDescent="0.35">
      <c r="A1419" t="s">
        <v>8</v>
      </c>
      <c r="B1419" t="s">
        <v>9</v>
      </c>
      <c r="C1419" t="str">
        <f t="shared" si="196"/>
        <v>11292</v>
      </c>
      <c r="D1419" t="s">
        <v>18</v>
      </c>
      <c r="E1419" t="str">
        <f t="shared" si="197"/>
        <v>25</v>
      </c>
      <c r="F1419">
        <v>28435</v>
      </c>
      <c r="G1419">
        <v>25720</v>
      </c>
      <c r="H1419">
        <v>837</v>
      </c>
      <c r="I1419" t="str">
        <f t="shared" si="198"/>
        <v>4</v>
      </c>
      <c r="J1419" t="str">
        <f t="shared" si="199"/>
        <v>Groen</v>
      </c>
      <c r="K1419">
        <v>1592</v>
      </c>
      <c r="L1419">
        <v>2074</v>
      </c>
      <c r="M1419">
        <v>3666</v>
      </c>
      <c r="N1419">
        <v>2933</v>
      </c>
      <c r="O1419">
        <v>4</v>
      </c>
      <c r="P1419" t="str">
        <f>("20")</f>
        <v>20</v>
      </c>
      <c r="Q1419" t="str">
        <f>("GEENS Wendy")</f>
        <v>GEENS Wendy</v>
      </c>
      <c r="R1419">
        <v>131</v>
      </c>
      <c r="S1419" t="s">
        <v>44</v>
      </c>
      <c r="T1419">
        <v>0</v>
      </c>
      <c r="V1419">
        <v>8</v>
      </c>
      <c r="W1419">
        <v>131</v>
      </c>
      <c r="X1419">
        <v>0</v>
      </c>
    </row>
    <row r="1420" spans="1:24" x14ac:dyDescent="0.35">
      <c r="A1420" t="s">
        <v>8</v>
      </c>
      <c r="B1420" t="s">
        <v>9</v>
      </c>
      <c r="C1420" t="str">
        <f t="shared" si="196"/>
        <v>11292</v>
      </c>
      <c r="D1420" t="s">
        <v>18</v>
      </c>
      <c r="E1420" t="str">
        <f t="shared" si="197"/>
        <v>25</v>
      </c>
      <c r="F1420">
        <v>28435</v>
      </c>
      <c r="G1420">
        <v>25720</v>
      </c>
      <c r="H1420">
        <v>837</v>
      </c>
      <c r="I1420" t="str">
        <f t="shared" si="198"/>
        <v>4</v>
      </c>
      <c r="J1420" t="str">
        <f t="shared" si="199"/>
        <v>Groen</v>
      </c>
      <c r="K1420">
        <v>1592</v>
      </c>
      <c r="L1420">
        <v>2074</v>
      </c>
      <c r="M1420">
        <v>3666</v>
      </c>
      <c r="N1420">
        <v>2933</v>
      </c>
      <c r="O1420">
        <v>4</v>
      </c>
      <c r="P1420" t="str">
        <f>("21")</f>
        <v>21</v>
      </c>
      <c r="Q1420" t="str">
        <f>("VAN DEN BOSSCHE Bart")</f>
        <v>VAN DEN BOSSCHE Bart</v>
      </c>
      <c r="R1420">
        <v>103</v>
      </c>
      <c r="S1420" t="s">
        <v>44</v>
      </c>
      <c r="T1420">
        <v>0</v>
      </c>
      <c r="V1420">
        <v>15</v>
      </c>
      <c r="W1420">
        <v>103</v>
      </c>
      <c r="X1420">
        <v>0</v>
      </c>
    </row>
    <row r="1421" spans="1:24" x14ac:dyDescent="0.35">
      <c r="A1421" t="s">
        <v>8</v>
      </c>
      <c r="B1421" t="s">
        <v>9</v>
      </c>
      <c r="C1421" t="str">
        <f t="shared" ref="C1421:C1452" si="200">("11292")</f>
        <v>11292</v>
      </c>
      <c r="D1421" t="s">
        <v>18</v>
      </c>
      <c r="E1421" t="str">
        <f t="shared" si="197"/>
        <v>25</v>
      </c>
      <c r="F1421">
        <v>28435</v>
      </c>
      <c r="G1421">
        <v>25720</v>
      </c>
      <c r="H1421">
        <v>837</v>
      </c>
      <c r="I1421" t="str">
        <f t="shared" si="198"/>
        <v>4</v>
      </c>
      <c r="J1421" t="str">
        <f t="shared" si="199"/>
        <v>Groen</v>
      </c>
      <c r="K1421">
        <v>1592</v>
      </c>
      <c r="L1421">
        <v>2074</v>
      </c>
      <c r="M1421">
        <v>3666</v>
      </c>
      <c r="N1421">
        <v>2933</v>
      </c>
      <c r="O1421">
        <v>4</v>
      </c>
      <c r="P1421" t="str">
        <f>("22")</f>
        <v>22</v>
      </c>
      <c r="Q1421" t="str">
        <f>("VANHAEVRE Hilde")</f>
        <v>VANHAEVRE Hilde</v>
      </c>
      <c r="R1421">
        <v>151</v>
      </c>
      <c r="S1421" t="s">
        <v>44</v>
      </c>
      <c r="T1421">
        <v>0</v>
      </c>
      <c r="V1421">
        <v>6</v>
      </c>
      <c r="W1421">
        <v>151</v>
      </c>
      <c r="X1421">
        <v>0</v>
      </c>
    </row>
    <row r="1422" spans="1:24" x14ac:dyDescent="0.35">
      <c r="A1422" t="s">
        <v>8</v>
      </c>
      <c r="B1422" t="s">
        <v>9</v>
      </c>
      <c r="C1422" t="str">
        <f t="shared" si="200"/>
        <v>11292</v>
      </c>
      <c r="D1422" t="s">
        <v>18</v>
      </c>
      <c r="E1422" t="str">
        <f t="shared" si="197"/>
        <v>25</v>
      </c>
      <c r="F1422">
        <v>28435</v>
      </c>
      <c r="G1422">
        <v>25720</v>
      </c>
      <c r="H1422">
        <v>837</v>
      </c>
      <c r="I1422" t="str">
        <f t="shared" si="198"/>
        <v>4</v>
      </c>
      <c r="J1422" t="str">
        <f t="shared" si="199"/>
        <v>Groen</v>
      </c>
      <c r="K1422">
        <v>1592</v>
      </c>
      <c r="L1422">
        <v>2074</v>
      </c>
      <c r="M1422">
        <v>3666</v>
      </c>
      <c r="N1422">
        <v>2933</v>
      </c>
      <c r="O1422">
        <v>4</v>
      </c>
      <c r="P1422" t="str">
        <f>("23")</f>
        <v>23</v>
      </c>
      <c r="Q1422" t="str">
        <f>("PEUSKENS Geert")</f>
        <v>PEUSKENS Geert</v>
      </c>
      <c r="R1422">
        <v>68</v>
      </c>
      <c r="S1422" t="s">
        <v>44</v>
      </c>
      <c r="T1422">
        <v>0</v>
      </c>
      <c r="V1422">
        <v>20</v>
      </c>
      <c r="W1422">
        <v>68</v>
      </c>
      <c r="X1422">
        <v>0</v>
      </c>
    </row>
    <row r="1423" spans="1:24" x14ac:dyDescent="0.35">
      <c r="A1423" t="s">
        <v>8</v>
      </c>
      <c r="B1423" t="s">
        <v>9</v>
      </c>
      <c r="C1423" t="str">
        <f t="shared" si="200"/>
        <v>11292</v>
      </c>
      <c r="D1423" t="s">
        <v>18</v>
      </c>
      <c r="E1423" t="str">
        <f t="shared" si="197"/>
        <v>25</v>
      </c>
      <c r="F1423">
        <v>28435</v>
      </c>
      <c r="G1423">
        <v>25720</v>
      </c>
      <c r="H1423">
        <v>837</v>
      </c>
      <c r="I1423" t="str">
        <f t="shared" si="198"/>
        <v>4</v>
      </c>
      <c r="J1423" t="str">
        <f t="shared" si="199"/>
        <v>Groen</v>
      </c>
      <c r="K1423">
        <v>1592</v>
      </c>
      <c r="L1423">
        <v>2074</v>
      </c>
      <c r="M1423">
        <v>3666</v>
      </c>
      <c r="N1423">
        <v>2933</v>
      </c>
      <c r="O1423">
        <v>4</v>
      </c>
      <c r="P1423" t="str">
        <f>("24")</f>
        <v>24</v>
      </c>
      <c r="Q1423" t="str">
        <f>("LELIEUR Beatrijs")</f>
        <v>LELIEUR Beatrijs</v>
      </c>
      <c r="R1423">
        <v>118</v>
      </c>
      <c r="S1423" t="s">
        <v>44</v>
      </c>
      <c r="T1423">
        <v>0</v>
      </c>
      <c r="V1423">
        <v>10</v>
      </c>
      <c r="W1423">
        <v>118</v>
      </c>
      <c r="X1423">
        <v>0</v>
      </c>
    </row>
    <row r="1424" spans="1:24" x14ac:dyDescent="0.35">
      <c r="A1424" t="s">
        <v>8</v>
      </c>
      <c r="B1424" t="s">
        <v>9</v>
      </c>
      <c r="C1424" t="str">
        <f t="shared" si="200"/>
        <v>11292</v>
      </c>
      <c r="D1424" t="s">
        <v>18</v>
      </c>
      <c r="E1424" t="str">
        <f t="shared" si="197"/>
        <v>25</v>
      </c>
      <c r="F1424">
        <v>28435</v>
      </c>
      <c r="G1424">
        <v>25720</v>
      </c>
      <c r="H1424">
        <v>837</v>
      </c>
      <c r="I1424" t="str">
        <f t="shared" si="198"/>
        <v>4</v>
      </c>
      <c r="J1424" t="str">
        <f t="shared" si="199"/>
        <v>Groen</v>
      </c>
      <c r="K1424">
        <v>1592</v>
      </c>
      <c r="L1424">
        <v>2074</v>
      </c>
      <c r="M1424">
        <v>3666</v>
      </c>
      <c r="N1424">
        <v>2933</v>
      </c>
      <c r="O1424">
        <v>4</v>
      </c>
      <c r="P1424" t="str">
        <f>("25")</f>
        <v>25</v>
      </c>
      <c r="Q1424" t="str">
        <f>("VAN DEN BRANDE Karel")</f>
        <v>VAN DEN BRANDE Karel</v>
      </c>
      <c r="R1424">
        <v>218</v>
      </c>
      <c r="S1424" t="s">
        <v>44</v>
      </c>
      <c r="T1424">
        <v>0</v>
      </c>
      <c r="V1424">
        <v>2</v>
      </c>
      <c r="W1424">
        <v>218</v>
      </c>
      <c r="X1424">
        <v>0</v>
      </c>
    </row>
    <row r="1425" spans="1:24" x14ac:dyDescent="0.35">
      <c r="A1425" t="s">
        <v>8</v>
      </c>
      <c r="B1425" t="s">
        <v>9</v>
      </c>
      <c r="C1425" t="str">
        <f t="shared" si="200"/>
        <v>11292</v>
      </c>
      <c r="D1425" t="s">
        <v>18</v>
      </c>
      <c r="E1425" t="str">
        <f t="shared" si="197"/>
        <v>25</v>
      </c>
      <c r="F1425">
        <v>28435</v>
      </c>
      <c r="G1425">
        <v>25720</v>
      </c>
      <c r="H1425">
        <v>837</v>
      </c>
      <c r="I1425" t="str">
        <f t="shared" ref="I1425:I1449" si="201">("5")</f>
        <v>5</v>
      </c>
      <c r="J1425" t="str">
        <f t="shared" ref="J1425:J1449" si="202">("VLAAMS BELANG")</f>
        <v>VLAAMS BELANG</v>
      </c>
      <c r="K1425">
        <v>801</v>
      </c>
      <c r="L1425">
        <v>1869</v>
      </c>
      <c r="M1425">
        <v>2670</v>
      </c>
      <c r="N1425">
        <v>2003</v>
      </c>
      <c r="O1425">
        <v>3</v>
      </c>
      <c r="P1425" t="str">
        <f>("1")</f>
        <v>1</v>
      </c>
      <c r="Q1425" t="str">
        <f>("VAN DERMEERSCH Anke")</f>
        <v>VAN DERMEERSCH Anke</v>
      </c>
      <c r="R1425">
        <v>1365</v>
      </c>
      <c r="S1425">
        <v>2003</v>
      </c>
      <c r="T1425">
        <v>163</v>
      </c>
      <c r="U1425">
        <v>1</v>
      </c>
    </row>
    <row r="1426" spans="1:24" x14ac:dyDescent="0.35">
      <c r="A1426" t="s">
        <v>8</v>
      </c>
      <c r="B1426" t="s">
        <v>9</v>
      </c>
      <c r="C1426" t="str">
        <f t="shared" si="200"/>
        <v>11292</v>
      </c>
      <c r="D1426" t="s">
        <v>18</v>
      </c>
      <c r="E1426" t="str">
        <f t="shared" si="197"/>
        <v>25</v>
      </c>
      <c r="F1426">
        <v>28435</v>
      </c>
      <c r="G1426">
        <v>25720</v>
      </c>
      <c r="H1426">
        <v>837</v>
      </c>
      <c r="I1426" t="str">
        <f t="shared" si="201"/>
        <v>5</v>
      </c>
      <c r="J1426" t="str">
        <f t="shared" si="202"/>
        <v>VLAAMS BELANG</v>
      </c>
      <c r="K1426">
        <v>801</v>
      </c>
      <c r="L1426">
        <v>1869</v>
      </c>
      <c r="M1426">
        <v>2670</v>
      </c>
      <c r="N1426">
        <v>2003</v>
      </c>
      <c r="O1426">
        <v>3</v>
      </c>
      <c r="P1426" t="str">
        <f>("2")</f>
        <v>2</v>
      </c>
      <c r="Q1426" t="str">
        <f>("HUIJBRECHTS Eric")</f>
        <v>HUIJBRECHTS Eric</v>
      </c>
      <c r="R1426">
        <v>104</v>
      </c>
      <c r="S1426">
        <v>267</v>
      </c>
      <c r="T1426">
        <v>0</v>
      </c>
      <c r="U1426">
        <v>2</v>
      </c>
    </row>
    <row r="1427" spans="1:24" x14ac:dyDescent="0.35">
      <c r="A1427" t="s">
        <v>8</v>
      </c>
      <c r="B1427" t="s">
        <v>9</v>
      </c>
      <c r="C1427" t="str">
        <f t="shared" si="200"/>
        <v>11292</v>
      </c>
      <c r="D1427" t="s">
        <v>18</v>
      </c>
      <c r="E1427" t="str">
        <f t="shared" si="197"/>
        <v>25</v>
      </c>
      <c r="F1427">
        <v>28435</v>
      </c>
      <c r="G1427">
        <v>25720</v>
      </c>
      <c r="H1427">
        <v>837</v>
      </c>
      <c r="I1427" t="str">
        <f t="shared" si="201"/>
        <v>5</v>
      </c>
      <c r="J1427" t="str">
        <f t="shared" si="202"/>
        <v>VLAAMS BELANG</v>
      </c>
      <c r="K1427">
        <v>801</v>
      </c>
      <c r="L1427">
        <v>1869</v>
      </c>
      <c r="M1427">
        <v>2670</v>
      </c>
      <c r="N1427">
        <v>2003</v>
      </c>
      <c r="O1427">
        <v>3</v>
      </c>
      <c r="P1427" t="str">
        <f>("3")</f>
        <v>3</v>
      </c>
      <c r="Q1427" t="str">
        <f>("DE GRES Werner")</f>
        <v>DE GRES Werner</v>
      </c>
      <c r="R1427">
        <v>160</v>
      </c>
      <c r="S1427">
        <v>160</v>
      </c>
      <c r="T1427">
        <v>0</v>
      </c>
      <c r="U1427">
        <v>3</v>
      </c>
    </row>
    <row r="1428" spans="1:24" x14ac:dyDescent="0.35">
      <c r="A1428" t="s">
        <v>8</v>
      </c>
      <c r="B1428" t="s">
        <v>9</v>
      </c>
      <c r="C1428" t="str">
        <f t="shared" si="200"/>
        <v>11292</v>
      </c>
      <c r="D1428" t="s">
        <v>18</v>
      </c>
      <c r="E1428" t="str">
        <f t="shared" si="197"/>
        <v>25</v>
      </c>
      <c r="F1428">
        <v>28435</v>
      </c>
      <c r="G1428">
        <v>25720</v>
      </c>
      <c r="H1428">
        <v>837</v>
      </c>
      <c r="I1428" t="str">
        <f t="shared" si="201"/>
        <v>5</v>
      </c>
      <c r="J1428" t="str">
        <f t="shared" si="202"/>
        <v>VLAAMS BELANG</v>
      </c>
      <c r="K1428">
        <v>801</v>
      </c>
      <c r="L1428">
        <v>1869</v>
      </c>
      <c r="M1428">
        <v>2670</v>
      </c>
      <c r="N1428">
        <v>2003</v>
      </c>
      <c r="O1428">
        <v>3</v>
      </c>
      <c r="P1428" t="str">
        <f>("4")</f>
        <v>4</v>
      </c>
      <c r="Q1428" t="str">
        <f>("PEETERS Maxime")</f>
        <v>PEETERS Maxime</v>
      </c>
      <c r="R1428">
        <v>68</v>
      </c>
      <c r="S1428" t="s">
        <v>44</v>
      </c>
      <c r="T1428">
        <v>0</v>
      </c>
      <c r="V1428">
        <v>1</v>
      </c>
      <c r="W1428">
        <v>869</v>
      </c>
      <c r="X1428">
        <v>0</v>
      </c>
    </row>
    <row r="1429" spans="1:24" x14ac:dyDescent="0.35">
      <c r="A1429" t="s">
        <v>8</v>
      </c>
      <c r="B1429" t="s">
        <v>9</v>
      </c>
      <c r="C1429" t="str">
        <f t="shared" si="200"/>
        <v>11292</v>
      </c>
      <c r="D1429" t="s">
        <v>18</v>
      </c>
      <c r="E1429" t="str">
        <f t="shared" si="197"/>
        <v>25</v>
      </c>
      <c r="F1429">
        <v>28435</v>
      </c>
      <c r="G1429">
        <v>25720</v>
      </c>
      <c r="H1429">
        <v>837</v>
      </c>
      <c r="I1429" t="str">
        <f t="shared" si="201"/>
        <v>5</v>
      </c>
      <c r="J1429" t="str">
        <f t="shared" si="202"/>
        <v>VLAAMS BELANG</v>
      </c>
      <c r="K1429">
        <v>801</v>
      </c>
      <c r="L1429">
        <v>1869</v>
      </c>
      <c r="M1429">
        <v>2670</v>
      </c>
      <c r="N1429">
        <v>2003</v>
      </c>
      <c r="O1429">
        <v>3</v>
      </c>
      <c r="P1429" t="str">
        <f>("5")</f>
        <v>5</v>
      </c>
      <c r="Q1429" t="str">
        <f>("DE CLERCQ Maddy")</f>
        <v>DE CLERCQ Maddy</v>
      </c>
      <c r="R1429">
        <v>64</v>
      </c>
      <c r="S1429" t="s">
        <v>44</v>
      </c>
      <c r="T1429">
        <v>0</v>
      </c>
      <c r="V1429">
        <v>6</v>
      </c>
      <c r="W1429">
        <v>64</v>
      </c>
      <c r="X1429">
        <v>0</v>
      </c>
    </row>
    <row r="1430" spans="1:24" x14ac:dyDescent="0.35">
      <c r="A1430" t="s">
        <v>8</v>
      </c>
      <c r="B1430" t="s">
        <v>9</v>
      </c>
      <c r="C1430" t="str">
        <f t="shared" si="200"/>
        <v>11292</v>
      </c>
      <c r="D1430" t="s">
        <v>18</v>
      </c>
      <c r="E1430" t="str">
        <f t="shared" si="197"/>
        <v>25</v>
      </c>
      <c r="F1430">
        <v>28435</v>
      </c>
      <c r="G1430">
        <v>25720</v>
      </c>
      <c r="H1430">
        <v>837</v>
      </c>
      <c r="I1430" t="str">
        <f t="shared" si="201"/>
        <v>5</v>
      </c>
      <c r="J1430" t="str">
        <f t="shared" si="202"/>
        <v>VLAAMS BELANG</v>
      </c>
      <c r="K1430">
        <v>801</v>
      </c>
      <c r="L1430">
        <v>1869</v>
      </c>
      <c r="M1430">
        <v>2670</v>
      </c>
      <c r="N1430">
        <v>2003</v>
      </c>
      <c r="O1430">
        <v>3</v>
      </c>
      <c r="P1430" t="str">
        <f>("6")</f>
        <v>6</v>
      </c>
      <c r="Q1430" t="str">
        <f>("VAN DER PUT Jos")</f>
        <v>VAN DER PUT Jos</v>
      </c>
      <c r="R1430">
        <v>39</v>
      </c>
      <c r="S1430" t="s">
        <v>44</v>
      </c>
      <c r="T1430">
        <v>0</v>
      </c>
      <c r="V1430">
        <v>12</v>
      </c>
      <c r="W1430">
        <v>39</v>
      </c>
      <c r="X1430">
        <v>0</v>
      </c>
    </row>
    <row r="1431" spans="1:24" x14ac:dyDescent="0.35">
      <c r="A1431" t="s">
        <v>8</v>
      </c>
      <c r="B1431" t="s">
        <v>9</v>
      </c>
      <c r="C1431" t="str">
        <f t="shared" si="200"/>
        <v>11292</v>
      </c>
      <c r="D1431" t="s">
        <v>18</v>
      </c>
      <c r="E1431" t="str">
        <f t="shared" si="197"/>
        <v>25</v>
      </c>
      <c r="F1431">
        <v>28435</v>
      </c>
      <c r="G1431">
        <v>25720</v>
      </c>
      <c r="H1431">
        <v>837</v>
      </c>
      <c r="I1431" t="str">
        <f t="shared" si="201"/>
        <v>5</v>
      </c>
      <c r="J1431" t="str">
        <f t="shared" si="202"/>
        <v>VLAAMS BELANG</v>
      </c>
      <c r="K1431">
        <v>801</v>
      </c>
      <c r="L1431">
        <v>1869</v>
      </c>
      <c r="M1431">
        <v>2670</v>
      </c>
      <c r="N1431">
        <v>2003</v>
      </c>
      <c r="O1431">
        <v>3</v>
      </c>
      <c r="P1431" t="str">
        <f>("7")</f>
        <v>7</v>
      </c>
      <c r="Q1431" t="str">
        <f>("DE KEYSER Sharon")</f>
        <v>DE KEYSER Sharon</v>
      </c>
      <c r="R1431">
        <v>76</v>
      </c>
      <c r="S1431" t="s">
        <v>44</v>
      </c>
      <c r="T1431">
        <v>0</v>
      </c>
      <c r="V1431">
        <v>3</v>
      </c>
      <c r="W1431">
        <v>76</v>
      </c>
      <c r="X1431">
        <v>0</v>
      </c>
    </row>
    <row r="1432" spans="1:24" x14ac:dyDescent="0.35">
      <c r="A1432" t="s">
        <v>8</v>
      </c>
      <c r="B1432" t="s">
        <v>9</v>
      </c>
      <c r="C1432" t="str">
        <f t="shared" si="200"/>
        <v>11292</v>
      </c>
      <c r="D1432" t="s">
        <v>18</v>
      </c>
      <c r="E1432" t="str">
        <f t="shared" si="197"/>
        <v>25</v>
      </c>
      <c r="F1432">
        <v>28435</v>
      </c>
      <c r="G1432">
        <v>25720</v>
      </c>
      <c r="H1432">
        <v>837</v>
      </c>
      <c r="I1432" t="str">
        <f t="shared" si="201"/>
        <v>5</v>
      </c>
      <c r="J1432" t="str">
        <f t="shared" si="202"/>
        <v>VLAAMS BELANG</v>
      </c>
      <c r="K1432">
        <v>801</v>
      </c>
      <c r="L1432">
        <v>1869</v>
      </c>
      <c r="M1432">
        <v>2670</v>
      </c>
      <c r="N1432">
        <v>2003</v>
      </c>
      <c r="O1432">
        <v>3</v>
      </c>
      <c r="P1432" t="str">
        <f>("8")</f>
        <v>8</v>
      </c>
      <c r="Q1432" t="str">
        <f>("VAN HAM Sven")</f>
        <v>VAN HAM Sven</v>
      </c>
      <c r="R1432">
        <v>61</v>
      </c>
      <c r="S1432" t="s">
        <v>44</v>
      </c>
      <c r="T1432">
        <v>0</v>
      </c>
      <c r="V1432">
        <v>7</v>
      </c>
      <c r="W1432">
        <v>61</v>
      </c>
      <c r="X1432">
        <v>0</v>
      </c>
    </row>
    <row r="1433" spans="1:24" x14ac:dyDescent="0.35">
      <c r="A1433" t="s">
        <v>8</v>
      </c>
      <c r="B1433" t="s">
        <v>9</v>
      </c>
      <c r="C1433" t="str">
        <f t="shared" si="200"/>
        <v>11292</v>
      </c>
      <c r="D1433" t="s">
        <v>18</v>
      </c>
      <c r="E1433" t="str">
        <f t="shared" si="197"/>
        <v>25</v>
      </c>
      <c r="F1433">
        <v>28435</v>
      </c>
      <c r="G1433">
        <v>25720</v>
      </c>
      <c r="H1433">
        <v>837</v>
      </c>
      <c r="I1433" t="str">
        <f t="shared" si="201"/>
        <v>5</v>
      </c>
      <c r="J1433" t="str">
        <f t="shared" si="202"/>
        <v>VLAAMS BELANG</v>
      </c>
      <c r="K1433">
        <v>801</v>
      </c>
      <c r="L1433">
        <v>1869</v>
      </c>
      <c r="M1433">
        <v>2670</v>
      </c>
      <c r="N1433">
        <v>2003</v>
      </c>
      <c r="O1433">
        <v>3</v>
      </c>
      <c r="P1433" t="str">
        <f>("9")</f>
        <v>9</v>
      </c>
      <c r="Q1433" t="str">
        <f>("VAN GORP Christel")</f>
        <v>VAN GORP Christel</v>
      </c>
      <c r="R1433">
        <v>39</v>
      </c>
      <c r="S1433" t="s">
        <v>44</v>
      </c>
      <c r="T1433">
        <v>0</v>
      </c>
      <c r="V1433">
        <v>13</v>
      </c>
      <c r="W1433">
        <v>39</v>
      </c>
      <c r="X1433">
        <v>0</v>
      </c>
    </row>
    <row r="1434" spans="1:24" x14ac:dyDescent="0.35">
      <c r="A1434" t="s">
        <v>8</v>
      </c>
      <c r="B1434" t="s">
        <v>9</v>
      </c>
      <c r="C1434" t="str">
        <f t="shared" si="200"/>
        <v>11292</v>
      </c>
      <c r="D1434" t="s">
        <v>18</v>
      </c>
      <c r="E1434" t="str">
        <f t="shared" si="197"/>
        <v>25</v>
      </c>
      <c r="F1434">
        <v>28435</v>
      </c>
      <c r="G1434">
        <v>25720</v>
      </c>
      <c r="H1434">
        <v>837</v>
      </c>
      <c r="I1434" t="str">
        <f t="shared" si="201"/>
        <v>5</v>
      </c>
      <c r="J1434" t="str">
        <f t="shared" si="202"/>
        <v>VLAAMS BELANG</v>
      </c>
      <c r="K1434">
        <v>801</v>
      </c>
      <c r="L1434">
        <v>1869</v>
      </c>
      <c r="M1434">
        <v>2670</v>
      </c>
      <c r="N1434">
        <v>2003</v>
      </c>
      <c r="O1434">
        <v>3</v>
      </c>
      <c r="P1434" t="str">
        <f>("10")</f>
        <v>10</v>
      </c>
      <c r="Q1434" t="str">
        <f>("PEETERS Leo")</f>
        <v>PEETERS Leo</v>
      </c>
      <c r="R1434">
        <v>40</v>
      </c>
      <c r="S1434" t="s">
        <v>44</v>
      </c>
      <c r="T1434">
        <v>0</v>
      </c>
      <c r="V1434">
        <v>10</v>
      </c>
      <c r="W1434">
        <v>40</v>
      </c>
      <c r="X1434">
        <v>0</v>
      </c>
    </row>
    <row r="1435" spans="1:24" x14ac:dyDescent="0.35">
      <c r="A1435" t="s">
        <v>8</v>
      </c>
      <c r="B1435" t="s">
        <v>9</v>
      </c>
      <c r="C1435" t="str">
        <f t="shared" si="200"/>
        <v>11292</v>
      </c>
      <c r="D1435" t="s">
        <v>18</v>
      </c>
      <c r="E1435" t="str">
        <f t="shared" si="197"/>
        <v>25</v>
      </c>
      <c r="F1435">
        <v>28435</v>
      </c>
      <c r="G1435">
        <v>25720</v>
      </c>
      <c r="H1435">
        <v>837</v>
      </c>
      <c r="I1435" t="str">
        <f t="shared" si="201"/>
        <v>5</v>
      </c>
      <c r="J1435" t="str">
        <f t="shared" si="202"/>
        <v>VLAAMS BELANG</v>
      </c>
      <c r="K1435">
        <v>801</v>
      </c>
      <c r="L1435">
        <v>1869</v>
      </c>
      <c r="M1435">
        <v>2670</v>
      </c>
      <c r="N1435">
        <v>2003</v>
      </c>
      <c r="O1435">
        <v>3</v>
      </c>
      <c r="P1435" t="str">
        <f>("11")</f>
        <v>11</v>
      </c>
      <c r="Q1435" t="str">
        <f>("VAN DEN BERGH Maria")</f>
        <v>VAN DEN BERGH Maria</v>
      </c>
      <c r="R1435">
        <v>37</v>
      </c>
      <c r="S1435" t="s">
        <v>44</v>
      </c>
      <c r="T1435">
        <v>0</v>
      </c>
      <c r="V1435">
        <v>14</v>
      </c>
      <c r="W1435">
        <v>37</v>
      </c>
      <c r="X1435">
        <v>0</v>
      </c>
    </row>
    <row r="1436" spans="1:24" x14ac:dyDescent="0.35">
      <c r="A1436" t="s">
        <v>8</v>
      </c>
      <c r="B1436" t="s">
        <v>9</v>
      </c>
      <c r="C1436" t="str">
        <f t="shared" si="200"/>
        <v>11292</v>
      </c>
      <c r="D1436" t="s">
        <v>18</v>
      </c>
      <c r="E1436" t="str">
        <f t="shared" si="197"/>
        <v>25</v>
      </c>
      <c r="F1436">
        <v>28435</v>
      </c>
      <c r="G1436">
        <v>25720</v>
      </c>
      <c r="H1436">
        <v>837</v>
      </c>
      <c r="I1436" t="str">
        <f t="shared" si="201"/>
        <v>5</v>
      </c>
      <c r="J1436" t="str">
        <f t="shared" si="202"/>
        <v>VLAAMS BELANG</v>
      </c>
      <c r="K1436">
        <v>801</v>
      </c>
      <c r="L1436">
        <v>1869</v>
      </c>
      <c r="M1436">
        <v>2670</v>
      </c>
      <c r="N1436">
        <v>2003</v>
      </c>
      <c r="O1436">
        <v>3</v>
      </c>
      <c r="P1436" t="str">
        <f>("12")</f>
        <v>12</v>
      </c>
      <c r="Q1436" t="str">
        <f>("PUTTEMANS Georges")</f>
        <v>PUTTEMANS Georges</v>
      </c>
      <c r="R1436">
        <v>33</v>
      </c>
      <c r="S1436" t="s">
        <v>44</v>
      </c>
      <c r="T1436">
        <v>0</v>
      </c>
      <c r="V1436">
        <v>19</v>
      </c>
      <c r="W1436">
        <v>33</v>
      </c>
      <c r="X1436">
        <v>0</v>
      </c>
    </row>
    <row r="1437" spans="1:24" x14ac:dyDescent="0.35">
      <c r="A1437" t="s">
        <v>8</v>
      </c>
      <c r="B1437" t="s">
        <v>9</v>
      </c>
      <c r="C1437" t="str">
        <f t="shared" si="200"/>
        <v>11292</v>
      </c>
      <c r="D1437" t="s">
        <v>18</v>
      </c>
      <c r="E1437" t="str">
        <f t="shared" si="197"/>
        <v>25</v>
      </c>
      <c r="F1437">
        <v>28435</v>
      </c>
      <c r="G1437">
        <v>25720</v>
      </c>
      <c r="H1437">
        <v>837</v>
      </c>
      <c r="I1437" t="str">
        <f t="shared" si="201"/>
        <v>5</v>
      </c>
      <c r="J1437" t="str">
        <f t="shared" si="202"/>
        <v>VLAAMS BELANG</v>
      </c>
      <c r="K1437">
        <v>801</v>
      </c>
      <c r="L1437">
        <v>1869</v>
      </c>
      <c r="M1437">
        <v>2670</v>
      </c>
      <c r="N1437">
        <v>2003</v>
      </c>
      <c r="O1437">
        <v>3</v>
      </c>
      <c r="P1437" t="str">
        <f>("13")</f>
        <v>13</v>
      </c>
      <c r="Q1437" t="str">
        <f>("WALSCHAERTS Wim")</f>
        <v>WALSCHAERTS Wim</v>
      </c>
      <c r="R1437">
        <v>74</v>
      </c>
      <c r="S1437" t="s">
        <v>44</v>
      </c>
      <c r="T1437">
        <v>0</v>
      </c>
      <c r="V1437">
        <v>4</v>
      </c>
      <c r="W1437">
        <v>74</v>
      </c>
      <c r="X1437">
        <v>0</v>
      </c>
    </row>
    <row r="1438" spans="1:24" x14ac:dyDescent="0.35">
      <c r="A1438" t="s">
        <v>8</v>
      </c>
      <c r="B1438" t="s">
        <v>9</v>
      </c>
      <c r="C1438" t="str">
        <f t="shared" si="200"/>
        <v>11292</v>
      </c>
      <c r="D1438" t="s">
        <v>18</v>
      </c>
      <c r="E1438" t="str">
        <f t="shared" si="197"/>
        <v>25</v>
      </c>
      <c r="F1438">
        <v>28435</v>
      </c>
      <c r="G1438">
        <v>25720</v>
      </c>
      <c r="H1438">
        <v>837</v>
      </c>
      <c r="I1438" t="str">
        <f t="shared" si="201"/>
        <v>5</v>
      </c>
      <c r="J1438" t="str">
        <f t="shared" si="202"/>
        <v>VLAAMS BELANG</v>
      </c>
      <c r="K1438">
        <v>801</v>
      </c>
      <c r="L1438">
        <v>1869</v>
      </c>
      <c r="M1438">
        <v>2670</v>
      </c>
      <c r="N1438">
        <v>2003</v>
      </c>
      <c r="O1438">
        <v>3</v>
      </c>
      <c r="P1438" t="str">
        <f>("14")</f>
        <v>14</v>
      </c>
      <c r="Q1438" t="str">
        <f>("DE CLERCQ Monique")</f>
        <v>DE CLERCQ Monique</v>
      </c>
      <c r="R1438">
        <v>40</v>
      </c>
      <c r="S1438" t="s">
        <v>44</v>
      </c>
      <c r="T1438">
        <v>0</v>
      </c>
      <c r="V1438">
        <v>11</v>
      </c>
      <c r="W1438">
        <v>40</v>
      </c>
      <c r="X1438">
        <v>0</v>
      </c>
    </row>
    <row r="1439" spans="1:24" x14ac:dyDescent="0.35">
      <c r="A1439" t="s">
        <v>8</v>
      </c>
      <c r="B1439" t="s">
        <v>9</v>
      </c>
      <c r="C1439" t="str">
        <f t="shared" si="200"/>
        <v>11292</v>
      </c>
      <c r="D1439" t="s">
        <v>18</v>
      </c>
      <c r="E1439" t="str">
        <f t="shared" si="197"/>
        <v>25</v>
      </c>
      <c r="F1439">
        <v>28435</v>
      </c>
      <c r="G1439">
        <v>25720</v>
      </c>
      <c r="H1439">
        <v>837</v>
      </c>
      <c r="I1439" t="str">
        <f t="shared" si="201"/>
        <v>5</v>
      </c>
      <c r="J1439" t="str">
        <f t="shared" si="202"/>
        <v>VLAAMS BELANG</v>
      </c>
      <c r="K1439">
        <v>801</v>
      </c>
      <c r="L1439">
        <v>1869</v>
      </c>
      <c r="M1439">
        <v>2670</v>
      </c>
      <c r="N1439">
        <v>2003</v>
      </c>
      <c r="O1439">
        <v>3</v>
      </c>
      <c r="P1439" t="str">
        <f>("15")</f>
        <v>15</v>
      </c>
      <c r="Q1439" t="str">
        <f>("VAN HAM Fons")</f>
        <v>VAN HAM Fons</v>
      </c>
      <c r="R1439">
        <v>35</v>
      </c>
      <c r="S1439" t="s">
        <v>44</v>
      </c>
      <c r="T1439">
        <v>0</v>
      </c>
      <c r="V1439">
        <v>16</v>
      </c>
      <c r="W1439">
        <v>35</v>
      </c>
      <c r="X1439">
        <v>0</v>
      </c>
    </row>
    <row r="1440" spans="1:24" x14ac:dyDescent="0.35">
      <c r="A1440" t="s">
        <v>8</v>
      </c>
      <c r="B1440" t="s">
        <v>9</v>
      </c>
      <c r="C1440" t="str">
        <f t="shared" si="200"/>
        <v>11292</v>
      </c>
      <c r="D1440" t="s">
        <v>18</v>
      </c>
      <c r="E1440" t="str">
        <f t="shared" si="197"/>
        <v>25</v>
      </c>
      <c r="F1440">
        <v>28435</v>
      </c>
      <c r="G1440">
        <v>25720</v>
      </c>
      <c r="H1440">
        <v>837</v>
      </c>
      <c r="I1440" t="str">
        <f t="shared" si="201"/>
        <v>5</v>
      </c>
      <c r="J1440" t="str">
        <f t="shared" si="202"/>
        <v>VLAAMS BELANG</v>
      </c>
      <c r="K1440">
        <v>801</v>
      </c>
      <c r="L1440">
        <v>1869</v>
      </c>
      <c r="M1440">
        <v>2670</v>
      </c>
      <c r="N1440">
        <v>2003</v>
      </c>
      <c r="O1440">
        <v>3</v>
      </c>
      <c r="P1440" t="str">
        <f>("16")</f>
        <v>16</v>
      </c>
      <c r="Q1440" t="str">
        <f>("ROBBERECHT Greet")</f>
        <v>ROBBERECHT Greet</v>
      </c>
      <c r="R1440">
        <v>33</v>
      </c>
      <c r="S1440" t="s">
        <v>44</v>
      </c>
      <c r="T1440">
        <v>0</v>
      </c>
      <c r="V1440">
        <v>20</v>
      </c>
      <c r="W1440">
        <v>33</v>
      </c>
      <c r="X1440">
        <v>0</v>
      </c>
    </row>
    <row r="1441" spans="1:24" x14ac:dyDescent="0.35">
      <c r="A1441" t="s">
        <v>8</v>
      </c>
      <c r="B1441" t="s">
        <v>9</v>
      </c>
      <c r="C1441" t="str">
        <f t="shared" si="200"/>
        <v>11292</v>
      </c>
      <c r="D1441" t="s">
        <v>18</v>
      </c>
      <c r="E1441" t="str">
        <f t="shared" si="197"/>
        <v>25</v>
      </c>
      <c r="F1441">
        <v>28435</v>
      </c>
      <c r="G1441">
        <v>25720</v>
      </c>
      <c r="H1441">
        <v>837</v>
      </c>
      <c r="I1441" t="str">
        <f t="shared" si="201"/>
        <v>5</v>
      </c>
      <c r="J1441" t="str">
        <f t="shared" si="202"/>
        <v>VLAAMS BELANG</v>
      </c>
      <c r="K1441">
        <v>801</v>
      </c>
      <c r="L1441">
        <v>1869</v>
      </c>
      <c r="M1441">
        <v>2670</v>
      </c>
      <c r="N1441">
        <v>2003</v>
      </c>
      <c r="O1441">
        <v>3</v>
      </c>
      <c r="P1441" t="str">
        <f>("17")</f>
        <v>17</v>
      </c>
      <c r="Q1441" t="str">
        <f>("MORRIENS Henk")</f>
        <v>MORRIENS Henk</v>
      </c>
      <c r="R1441">
        <v>48</v>
      </c>
      <c r="S1441" t="s">
        <v>44</v>
      </c>
      <c r="T1441">
        <v>0</v>
      </c>
      <c r="V1441">
        <v>8</v>
      </c>
      <c r="W1441">
        <v>48</v>
      </c>
      <c r="X1441">
        <v>0</v>
      </c>
    </row>
    <row r="1442" spans="1:24" x14ac:dyDescent="0.35">
      <c r="A1442" t="s">
        <v>8</v>
      </c>
      <c r="B1442" t="s">
        <v>9</v>
      </c>
      <c r="C1442" t="str">
        <f t="shared" si="200"/>
        <v>11292</v>
      </c>
      <c r="D1442" t="s">
        <v>18</v>
      </c>
      <c r="E1442" t="str">
        <f t="shared" si="197"/>
        <v>25</v>
      </c>
      <c r="F1442">
        <v>28435</v>
      </c>
      <c r="G1442">
        <v>25720</v>
      </c>
      <c r="H1442">
        <v>837</v>
      </c>
      <c r="I1442" t="str">
        <f t="shared" si="201"/>
        <v>5</v>
      </c>
      <c r="J1442" t="str">
        <f t="shared" si="202"/>
        <v>VLAAMS BELANG</v>
      </c>
      <c r="K1442">
        <v>801</v>
      </c>
      <c r="L1442">
        <v>1869</v>
      </c>
      <c r="M1442">
        <v>2670</v>
      </c>
      <c r="N1442">
        <v>2003</v>
      </c>
      <c r="O1442">
        <v>3</v>
      </c>
      <c r="P1442" t="str">
        <f>("18")</f>
        <v>18</v>
      </c>
      <c r="Q1442" t="str">
        <f>("GOOSSENS Jeanine")</f>
        <v>GOOSSENS Jeanine</v>
      </c>
      <c r="R1442">
        <v>37</v>
      </c>
      <c r="S1442" t="s">
        <v>44</v>
      </c>
      <c r="T1442">
        <v>0</v>
      </c>
      <c r="V1442">
        <v>15</v>
      </c>
      <c r="W1442">
        <v>37</v>
      </c>
      <c r="X1442">
        <v>0</v>
      </c>
    </row>
    <row r="1443" spans="1:24" x14ac:dyDescent="0.35">
      <c r="A1443" t="s">
        <v>8</v>
      </c>
      <c r="B1443" t="s">
        <v>9</v>
      </c>
      <c r="C1443" t="str">
        <f t="shared" si="200"/>
        <v>11292</v>
      </c>
      <c r="D1443" t="s">
        <v>18</v>
      </c>
      <c r="E1443" t="str">
        <f t="shared" si="197"/>
        <v>25</v>
      </c>
      <c r="F1443">
        <v>28435</v>
      </c>
      <c r="G1443">
        <v>25720</v>
      </c>
      <c r="H1443">
        <v>837</v>
      </c>
      <c r="I1443" t="str">
        <f t="shared" si="201"/>
        <v>5</v>
      </c>
      <c r="J1443" t="str">
        <f t="shared" si="202"/>
        <v>VLAAMS BELANG</v>
      </c>
      <c r="K1443">
        <v>801</v>
      </c>
      <c r="L1443">
        <v>1869</v>
      </c>
      <c r="M1443">
        <v>2670</v>
      </c>
      <c r="N1443">
        <v>2003</v>
      </c>
      <c r="O1443">
        <v>3</v>
      </c>
      <c r="P1443" t="str">
        <f>("19")</f>
        <v>19</v>
      </c>
      <c r="Q1443" t="str">
        <f>("MINTJENS Raymond")</f>
        <v>MINTJENS Raymond</v>
      </c>
      <c r="R1443">
        <v>34</v>
      </c>
      <c r="S1443" t="s">
        <v>44</v>
      </c>
      <c r="T1443">
        <v>0</v>
      </c>
      <c r="V1443">
        <v>17</v>
      </c>
      <c r="W1443">
        <v>34</v>
      </c>
      <c r="X1443">
        <v>0</v>
      </c>
    </row>
    <row r="1444" spans="1:24" x14ac:dyDescent="0.35">
      <c r="A1444" t="s">
        <v>8</v>
      </c>
      <c r="B1444" t="s">
        <v>9</v>
      </c>
      <c r="C1444" t="str">
        <f t="shared" si="200"/>
        <v>11292</v>
      </c>
      <c r="D1444" t="s">
        <v>18</v>
      </c>
      <c r="E1444" t="str">
        <f t="shared" si="197"/>
        <v>25</v>
      </c>
      <c r="F1444">
        <v>28435</v>
      </c>
      <c r="G1444">
        <v>25720</v>
      </c>
      <c r="H1444">
        <v>837</v>
      </c>
      <c r="I1444" t="str">
        <f t="shared" si="201"/>
        <v>5</v>
      </c>
      <c r="J1444" t="str">
        <f t="shared" si="202"/>
        <v>VLAAMS BELANG</v>
      </c>
      <c r="K1444">
        <v>801</v>
      </c>
      <c r="L1444">
        <v>1869</v>
      </c>
      <c r="M1444">
        <v>2670</v>
      </c>
      <c r="N1444">
        <v>2003</v>
      </c>
      <c r="O1444">
        <v>3</v>
      </c>
      <c r="P1444" t="str">
        <f>("20")</f>
        <v>20</v>
      </c>
      <c r="Q1444" t="str">
        <f>("VAN TRIER Maria")</f>
        <v>VAN TRIER Maria</v>
      </c>
      <c r="R1444">
        <v>34</v>
      </c>
      <c r="S1444" t="s">
        <v>44</v>
      </c>
      <c r="T1444">
        <v>0</v>
      </c>
      <c r="V1444">
        <v>18</v>
      </c>
      <c r="W1444">
        <v>34</v>
      </c>
      <c r="X1444">
        <v>0</v>
      </c>
    </row>
    <row r="1445" spans="1:24" x14ac:dyDescent="0.35">
      <c r="A1445" t="s">
        <v>8</v>
      </c>
      <c r="B1445" t="s">
        <v>9</v>
      </c>
      <c r="C1445" t="str">
        <f t="shared" si="200"/>
        <v>11292</v>
      </c>
      <c r="D1445" t="s">
        <v>18</v>
      </c>
      <c r="E1445" t="str">
        <f t="shared" si="197"/>
        <v>25</v>
      </c>
      <c r="F1445">
        <v>28435</v>
      </c>
      <c r="G1445">
        <v>25720</v>
      </c>
      <c r="H1445">
        <v>837</v>
      </c>
      <c r="I1445" t="str">
        <f t="shared" si="201"/>
        <v>5</v>
      </c>
      <c r="J1445" t="str">
        <f t="shared" si="202"/>
        <v>VLAAMS BELANG</v>
      </c>
      <c r="K1445">
        <v>801</v>
      </c>
      <c r="L1445">
        <v>1869</v>
      </c>
      <c r="M1445">
        <v>2670</v>
      </c>
      <c r="N1445">
        <v>2003</v>
      </c>
      <c r="O1445">
        <v>3</v>
      </c>
      <c r="P1445" t="str">
        <f>("21")</f>
        <v>21</v>
      </c>
      <c r="Q1445" t="str">
        <f>("CARETTE Anne")</f>
        <v>CARETTE Anne</v>
      </c>
      <c r="R1445">
        <v>30</v>
      </c>
      <c r="S1445" t="s">
        <v>44</v>
      </c>
      <c r="T1445">
        <v>0</v>
      </c>
      <c r="V1445">
        <v>21</v>
      </c>
      <c r="W1445">
        <v>30</v>
      </c>
      <c r="X1445">
        <v>0</v>
      </c>
    </row>
    <row r="1446" spans="1:24" x14ac:dyDescent="0.35">
      <c r="A1446" t="s">
        <v>8</v>
      </c>
      <c r="B1446" t="s">
        <v>9</v>
      </c>
      <c r="C1446" t="str">
        <f t="shared" si="200"/>
        <v>11292</v>
      </c>
      <c r="D1446" t="s">
        <v>18</v>
      </c>
      <c r="E1446" t="str">
        <f t="shared" si="197"/>
        <v>25</v>
      </c>
      <c r="F1446">
        <v>28435</v>
      </c>
      <c r="G1446">
        <v>25720</v>
      </c>
      <c r="H1446">
        <v>837</v>
      </c>
      <c r="I1446" t="str">
        <f t="shared" si="201"/>
        <v>5</v>
      </c>
      <c r="J1446" t="str">
        <f t="shared" si="202"/>
        <v>VLAAMS BELANG</v>
      </c>
      <c r="K1446">
        <v>801</v>
      </c>
      <c r="L1446">
        <v>1869</v>
      </c>
      <c r="M1446">
        <v>2670</v>
      </c>
      <c r="N1446">
        <v>2003</v>
      </c>
      <c r="O1446">
        <v>3</v>
      </c>
      <c r="P1446" t="str">
        <f>("22")</f>
        <v>22</v>
      </c>
      <c r="Q1446" t="str">
        <f>("BOLLANSÉE Gunther")</f>
        <v>BOLLANSÉE Gunther</v>
      </c>
      <c r="R1446">
        <v>25</v>
      </c>
      <c r="S1446" t="s">
        <v>44</v>
      </c>
      <c r="T1446">
        <v>0</v>
      </c>
      <c r="V1446">
        <v>22</v>
      </c>
      <c r="W1446">
        <v>25</v>
      </c>
      <c r="X1446">
        <v>0</v>
      </c>
    </row>
    <row r="1447" spans="1:24" x14ac:dyDescent="0.35">
      <c r="A1447" t="s">
        <v>8</v>
      </c>
      <c r="B1447" t="s">
        <v>9</v>
      </c>
      <c r="C1447" t="str">
        <f t="shared" si="200"/>
        <v>11292</v>
      </c>
      <c r="D1447" t="s">
        <v>18</v>
      </c>
      <c r="E1447" t="str">
        <f t="shared" si="197"/>
        <v>25</v>
      </c>
      <c r="F1447">
        <v>28435</v>
      </c>
      <c r="G1447">
        <v>25720</v>
      </c>
      <c r="H1447">
        <v>837</v>
      </c>
      <c r="I1447" t="str">
        <f t="shared" si="201"/>
        <v>5</v>
      </c>
      <c r="J1447" t="str">
        <f t="shared" si="202"/>
        <v>VLAAMS BELANG</v>
      </c>
      <c r="K1447">
        <v>801</v>
      </c>
      <c r="L1447">
        <v>1869</v>
      </c>
      <c r="M1447">
        <v>2670</v>
      </c>
      <c r="N1447">
        <v>2003</v>
      </c>
      <c r="O1447">
        <v>3</v>
      </c>
      <c r="P1447" t="str">
        <f>("23")</f>
        <v>23</v>
      </c>
      <c r="Q1447" t="str">
        <f>("VAN DER REETH Anita")</f>
        <v>VAN DER REETH Anita</v>
      </c>
      <c r="R1447">
        <v>46</v>
      </c>
      <c r="S1447" t="s">
        <v>44</v>
      </c>
      <c r="T1447">
        <v>0</v>
      </c>
      <c r="V1447">
        <v>9</v>
      </c>
      <c r="W1447">
        <v>46</v>
      </c>
      <c r="X1447">
        <v>0</v>
      </c>
    </row>
    <row r="1448" spans="1:24" x14ac:dyDescent="0.35">
      <c r="A1448" t="s">
        <v>8</v>
      </c>
      <c r="B1448" t="s">
        <v>9</v>
      </c>
      <c r="C1448" t="str">
        <f t="shared" si="200"/>
        <v>11292</v>
      </c>
      <c r="D1448" t="s">
        <v>18</v>
      </c>
      <c r="E1448" t="str">
        <f t="shared" si="197"/>
        <v>25</v>
      </c>
      <c r="F1448">
        <v>28435</v>
      </c>
      <c r="G1448">
        <v>25720</v>
      </c>
      <c r="H1448">
        <v>837</v>
      </c>
      <c r="I1448" t="str">
        <f t="shared" si="201"/>
        <v>5</v>
      </c>
      <c r="J1448" t="str">
        <f t="shared" si="202"/>
        <v>VLAAMS BELANG</v>
      </c>
      <c r="K1448">
        <v>801</v>
      </c>
      <c r="L1448">
        <v>1869</v>
      </c>
      <c r="M1448">
        <v>2670</v>
      </c>
      <c r="N1448">
        <v>2003</v>
      </c>
      <c r="O1448">
        <v>3</v>
      </c>
      <c r="P1448" t="str">
        <f>("24")</f>
        <v>24</v>
      </c>
      <c r="Q1448" t="str">
        <f>("VALKENIERS Bruno")</f>
        <v>VALKENIERS Bruno</v>
      </c>
      <c r="R1448">
        <v>103</v>
      </c>
      <c r="S1448" t="s">
        <v>44</v>
      </c>
      <c r="T1448">
        <v>0</v>
      </c>
      <c r="V1448">
        <v>2</v>
      </c>
      <c r="W1448">
        <v>103</v>
      </c>
      <c r="X1448">
        <v>0</v>
      </c>
    </row>
    <row r="1449" spans="1:24" x14ac:dyDescent="0.35">
      <c r="A1449" t="s">
        <v>8</v>
      </c>
      <c r="B1449" t="s">
        <v>9</v>
      </c>
      <c r="C1449" t="str">
        <f t="shared" si="200"/>
        <v>11292</v>
      </c>
      <c r="D1449" t="s">
        <v>18</v>
      </c>
      <c r="E1449" t="str">
        <f t="shared" si="197"/>
        <v>25</v>
      </c>
      <c r="F1449">
        <v>28435</v>
      </c>
      <c r="G1449">
        <v>25720</v>
      </c>
      <c r="H1449">
        <v>837</v>
      </c>
      <c r="I1449" t="str">
        <f t="shared" si="201"/>
        <v>5</v>
      </c>
      <c r="J1449" t="str">
        <f t="shared" si="202"/>
        <v>VLAAMS BELANG</v>
      </c>
      <c r="K1449">
        <v>801</v>
      </c>
      <c r="L1449">
        <v>1869</v>
      </c>
      <c r="M1449">
        <v>2670</v>
      </c>
      <c r="N1449">
        <v>2003</v>
      </c>
      <c r="O1449">
        <v>3</v>
      </c>
      <c r="P1449" t="str">
        <f>("25")</f>
        <v>25</v>
      </c>
      <c r="Q1449" t="str">
        <f>("ROUCHET Leopold")</f>
        <v>ROUCHET Leopold</v>
      </c>
      <c r="R1449">
        <v>68</v>
      </c>
      <c r="S1449" t="s">
        <v>44</v>
      </c>
      <c r="T1449">
        <v>0</v>
      </c>
      <c r="V1449">
        <v>5</v>
      </c>
      <c r="W1449">
        <v>68</v>
      </c>
      <c r="X1449">
        <v>0</v>
      </c>
    </row>
    <row r="1450" spans="1:24" x14ac:dyDescent="0.35">
      <c r="A1450" t="s">
        <v>8</v>
      </c>
      <c r="B1450" t="s">
        <v>9</v>
      </c>
      <c r="C1450" t="str">
        <f t="shared" si="200"/>
        <v>11292</v>
      </c>
      <c r="D1450" t="s">
        <v>18</v>
      </c>
      <c r="E1450" t="str">
        <f t="shared" si="197"/>
        <v>25</v>
      </c>
      <c r="F1450">
        <v>28435</v>
      </c>
      <c r="G1450">
        <v>25720</v>
      </c>
      <c r="H1450">
        <v>837</v>
      </c>
      <c r="I1450" t="str">
        <f t="shared" ref="I1450:I1474" si="203">("6")</f>
        <v>6</v>
      </c>
      <c r="J1450" t="str">
        <f t="shared" ref="J1450:J1474" si="204">("Open Vld")</f>
        <v>Open Vld</v>
      </c>
      <c r="K1450">
        <v>719</v>
      </c>
      <c r="L1450">
        <v>1360</v>
      </c>
      <c r="M1450">
        <v>2079</v>
      </c>
      <c r="N1450">
        <v>1386</v>
      </c>
      <c r="O1450">
        <v>2</v>
      </c>
      <c r="P1450" t="str">
        <f>("1")</f>
        <v>1</v>
      </c>
      <c r="Q1450" t="str">
        <f>("THEUNS Werner")</f>
        <v>THEUNS Werner</v>
      </c>
      <c r="R1450">
        <v>395</v>
      </c>
      <c r="S1450">
        <v>875</v>
      </c>
      <c r="T1450">
        <v>0</v>
      </c>
      <c r="U1450">
        <v>1</v>
      </c>
    </row>
    <row r="1451" spans="1:24" x14ac:dyDescent="0.35">
      <c r="A1451" t="s">
        <v>8</v>
      </c>
      <c r="B1451" t="s">
        <v>9</v>
      </c>
      <c r="C1451" t="str">
        <f t="shared" si="200"/>
        <v>11292</v>
      </c>
      <c r="D1451" t="s">
        <v>18</v>
      </c>
      <c r="E1451" t="str">
        <f t="shared" si="197"/>
        <v>25</v>
      </c>
      <c r="F1451">
        <v>28435</v>
      </c>
      <c r="G1451">
        <v>25720</v>
      </c>
      <c r="H1451">
        <v>837</v>
      </c>
      <c r="I1451" t="str">
        <f t="shared" si="203"/>
        <v>6</v>
      </c>
      <c r="J1451" t="str">
        <f t="shared" si="204"/>
        <v>Open Vld</v>
      </c>
      <c r="K1451">
        <v>719</v>
      </c>
      <c r="L1451">
        <v>1360</v>
      </c>
      <c r="M1451">
        <v>2079</v>
      </c>
      <c r="N1451">
        <v>1386</v>
      </c>
      <c r="O1451">
        <v>2</v>
      </c>
      <c r="P1451" t="str">
        <f>("2")</f>
        <v>2</v>
      </c>
      <c r="Q1451" t="str">
        <f>("D'ARCHAMBEAU Alexandra")</f>
        <v>D'ARCHAMBEAU Alexandra</v>
      </c>
      <c r="R1451">
        <v>523</v>
      </c>
      <c r="S1451">
        <v>523</v>
      </c>
      <c r="T1451">
        <v>0</v>
      </c>
      <c r="U1451">
        <v>2</v>
      </c>
    </row>
    <row r="1452" spans="1:24" x14ac:dyDescent="0.35">
      <c r="A1452" t="s">
        <v>8</v>
      </c>
      <c r="B1452" t="s">
        <v>9</v>
      </c>
      <c r="C1452" t="str">
        <f t="shared" si="200"/>
        <v>11292</v>
      </c>
      <c r="D1452" t="s">
        <v>18</v>
      </c>
      <c r="E1452" t="str">
        <f t="shared" si="197"/>
        <v>25</v>
      </c>
      <c r="F1452">
        <v>28435</v>
      </c>
      <c r="G1452">
        <v>25720</v>
      </c>
      <c r="H1452">
        <v>837</v>
      </c>
      <c r="I1452" t="str">
        <f t="shared" si="203"/>
        <v>6</v>
      </c>
      <c r="J1452" t="str">
        <f t="shared" si="204"/>
        <v>Open Vld</v>
      </c>
      <c r="K1452">
        <v>719</v>
      </c>
      <c r="L1452">
        <v>1360</v>
      </c>
      <c r="M1452">
        <v>2079</v>
      </c>
      <c r="N1452">
        <v>1386</v>
      </c>
      <c r="O1452">
        <v>2</v>
      </c>
      <c r="P1452" t="str">
        <f>("3")</f>
        <v>3</v>
      </c>
      <c r="Q1452" t="str">
        <f>("VERREYKEN Wim")</f>
        <v>VERREYKEN Wim</v>
      </c>
      <c r="R1452">
        <v>88</v>
      </c>
      <c r="S1452" t="s">
        <v>44</v>
      </c>
      <c r="T1452">
        <v>0</v>
      </c>
      <c r="V1452">
        <v>1</v>
      </c>
      <c r="W1452">
        <v>568</v>
      </c>
      <c r="X1452">
        <v>0</v>
      </c>
    </row>
    <row r="1453" spans="1:24" x14ac:dyDescent="0.35">
      <c r="A1453" t="s">
        <v>8</v>
      </c>
      <c r="B1453" t="s">
        <v>9</v>
      </c>
      <c r="C1453" t="str">
        <f t="shared" ref="C1453:C1484" si="205">("11292")</f>
        <v>11292</v>
      </c>
      <c r="D1453" t="s">
        <v>18</v>
      </c>
      <c r="E1453" t="str">
        <f t="shared" si="197"/>
        <v>25</v>
      </c>
      <c r="F1453">
        <v>28435</v>
      </c>
      <c r="G1453">
        <v>25720</v>
      </c>
      <c r="H1453">
        <v>837</v>
      </c>
      <c r="I1453" t="str">
        <f t="shared" si="203"/>
        <v>6</v>
      </c>
      <c r="J1453" t="str">
        <f t="shared" si="204"/>
        <v>Open Vld</v>
      </c>
      <c r="K1453">
        <v>719</v>
      </c>
      <c r="L1453">
        <v>1360</v>
      </c>
      <c r="M1453">
        <v>2079</v>
      </c>
      <c r="N1453">
        <v>1386</v>
      </c>
      <c r="O1453">
        <v>2</v>
      </c>
      <c r="P1453" t="str">
        <f>("4")</f>
        <v>4</v>
      </c>
      <c r="Q1453" t="str">
        <f>("VERCAMMEN-HAENEN Diane")</f>
        <v>VERCAMMEN-HAENEN Diane</v>
      </c>
      <c r="R1453">
        <v>95</v>
      </c>
      <c r="S1453" t="s">
        <v>44</v>
      </c>
      <c r="T1453">
        <v>0</v>
      </c>
      <c r="V1453">
        <v>5</v>
      </c>
      <c r="W1453">
        <v>95</v>
      </c>
      <c r="X1453">
        <v>0</v>
      </c>
    </row>
    <row r="1454" spans="1:24" x14ac:dyDescent="0.35">
      <c r="A1454" t="s">
        <v>8</v>
      </c>
      <c r="B1454" t="s">
        <v>9</v>
      </c>
      <c r="C1454" t="str">
        <f t="shared" si="205"/>
        <v>11292</v>
      </c>
      <c r="D1454" t="s">
        <v>18</v>
      </c>
      <c r="E1454" t="str">
        <f t="shared" si="197"/>
        <v>25</v>
      </c>
      <c r="F1454">
        <v>28435</v>
      </c>
      <c r="G1454">
        <v>25720</v>
      </c>
      <c r="H1454">
        <v>837</v>
      </c>
      <c r="I1454" t="str">
        <f t="shared" si="203"/>
        <v>6</v>
      </c>
      <c r="J1454" t="str">
        <f t="shared" si="204"/>
        <v>Open Vld</v>
      </c>
      <c r="K1454">
        <v>719</v>
      </c>
      <c r="L1454">
        <v>1360</v>
      </c>
      <c r="M1454">
        <v>2079</v>
      </c>
      <c r="N1454">
        <v>1386</v>
      </c>
      <c r="O1454">
        <v>2</v>
      </c>
      <c r="P1454" t="str">
        <f>("5")</f>
        <v>5</v>
      </c>
      <c r="Q1454" t="str">
        <f>("VERMEIREN Liesbet")</f>
        <v>VERMEIREN Liesbet</v>
      </c>
      <c r="R1454">
        <v>115</v>
      </c>
      <c r="S1454" t="s">
        <v>44</v>
      </c>
      <c r="T1454">
        <v>0</v>
      </c>
      <c r="V1454">
        <v>2</v>
      </c>
      <c r="W1454">
        <v>115</v>
      </c>
      <c r="X1454">
        <v>0</v>
      </c>
    </row>
    <row r="1455" spans="1:24" x14ac:dyDescent="0.35">
      <c r="A1455" t="s">
        <v>8</v>
      </c>
      <c r="B1455" t="s">
        <v>9</v>
      </c>
      <c r="C1455" t="str">
        <f t="shared" si="205"/>
        <v>11292</v>
      </c>
      <c r="D1455" t="s">
        <v>18</v>
      </c>
      <c r="E1455" t="str">
        <f t="shared" si="197"/>
        <v>25</v>
      </c>
      <c r="F1455">
        <v>28435</v>
      </c>
      <c r="G1455">
        <v>25720</v>
      </c>
      <c r="H1455">
        <v>837</v>
      </c>
      <c r="I1455" t="str">
        <f t="shared" si="203"/>
        <v>6</v>
      </c>
      <c r="J1455" t="str">
        <f t="shared" si="204"/>
        <v>Open Vld</v>
      </c>
      <c r="K1455">
        <v>719</v>
      </c>
      <c r="L1455">
        <v>1360</v>
      </c>
      <c r="M1455">
        <v>2079</v>
      </c>
      <c r="N1455">
        <v>1386</v>
      </c>
      <c r="O1455">
        <v>2</v>
      </c>
      <c r="P1455" t="str">
        <f>("6")</f>
        <v>6</v>
      </c>
      <c r="Q1455" t="str">
        <f>("SMITS Maddy")</f>
        <v>SMITS Maddy</v>
      </c>
      <c r="R1455">
        <v>63</v>
      </c>
      <c r="S1455" t="s">
        <v>44</v>
      </c>
      <c r="T1455">
        <v>0</v>
      </c>
      <c r="V1455">
        <v>11</v>
      </c>
      <c r="W1455">
        <v>63</v>
      </c>
      <c r="X1455">
        <v>0</v>
      </c>
    </row>
    <row r="1456" spans="1:24" x14ac:dyDescent="0.35">
      <c r="A1456" t="s">
        <v>8</v>
      </c>
      <c r="B1456" t="s">
        <v>9</v>
      </c>
      <c r="C1456" t="str">
        <f t="shared" si="205"/>
        <v>11292</v>
      </c>
      <c r="D1456" t="s">
        <v>18</v>
      </c>
      <c r="E1456" t="str">
        <f t="shared" si="197"/>
        <v>25</v>
      </c>
      <c r="F1456">
        <v>28435</v>
      </c>
      <c r="G1456">
        <v>25720</v>
      </c>
      <c r="H1456">
        <v>837</v>
      </c>
      <c r="I1456" t="str">
        <f t="shared" si="203"/>
        <v>6</v>
      </c>
      <c r="J1456" t="str">
        <f t="shared" si="204"/>
        <v>Open Vld</v>
      </c>
      <c r="K1456">
        <v>719</v>
      </c>
      <c r="L1456">
        <v>1360</v>
      </c>
      <c r="M1456">
        <v>2079</v>
      </c>
      <c r="N1456">
        <v>1386</v>
      </c>
      <c r="O1456">
        <v>2</v>
      </c>
      <c r="P1456" t="str">
        <f>("7")</f>
        <v>7</v>
      </c>
      <c r="Q1456" t="str">
        <f>("CHOKSI Sonal")</f>
        <v>CHOKSI Sonal</v>
      </c>
      <c r="R1456">
        <v>74</v>
      </c>
      <c r="S1456" t="s">
        <v>44</v>
      </c>
      <c r="T1456">
        <v>0</v>
      </c>
      <c r="V1456">
        <v>8</v>
      </c>
      <c r="W1456">
        <v>74</v>
      </c>
      <c r="X1456">
        <v>0</v>
      </c>
    </row>
    <row r="1457" spans="1:24" x14ac:dyDescent="0.35">
      <c r="A1457" t="s">
        <v>8</v>
      </c>
      <c r="B1457" t="s">
        <v>9</v>
      </c>
      <c r="C1457" t="str">
        <f t="shared" si="205"/>
        <v>11292</v>
      </c>
      <c r="D1457" t="s">
        <v>18</v>
      </c>
      <c r="E1457" t="str">
        <f t="shared" si="197"/>
        <v>25</v>
      </c>
      <c r="F1457">
        <v>28435</v>
      </c>
      <c r="G1457">
        <v>25720</v>
      </c>
      <c r="H1457">
        <v>837</v>
      </c>
      <c r="I1457" t="str">
        <f t="shared" si="203"/>
        <v>6</v>
      </c>
      <c r="J1457" t="str">
        <f t="shared" si="204"/>
        <v>Open Vld</v>
      </c>
      <c r="K1457">
        <v>719</v>
      </c>
      <c r="L1457">
        <v>1360</v>
      </c>
      <c r="M1457">
        <v>2079</v>
      </c>
      <c r="N1457">
        <v>1386</v>
      </c>
      <c r="O1457">
        <v>2</v>
      </c>
      <c r="P1457" t="str">
        <f>("8")</f>
        <v>8</v>
      </c>
      <c r="Q1457" t="str">
        <f>("VAN DEUREN Tobias")</f>
        <v>VAN DEUREN Tobias</v>
      </c>
      <c r="R1457">
        <v>38</v>
      </c>
      <c r="S1457" t="s">
        <v>44</v>
      </c>
      <c r="T1457">
        <v>0</v>
      </c>
      <c r="V1457">
        <v>23</v>
      </c>
      <c r="W1457">
        <v>38</v>
      </c>
      <c r="X1457">
        <v>0</v>
      </c>
    </row>
    <row r="1458" spans="1:24" x14ac:dyDescent="0.35">
      <c r="A1458" t="s">
        <v>8</v>
      </c>
      <c r="B1458" t="s">
        <v>9</v>
      </c>
      <c r="C1458" t="str">
        <f t="shared" si="205"/>
        <v>11292</v>
      </c>
      <c r="D1458" t="s">
        <v>18</v>
      </c>
      <c r="E1458" t="str">
        <f t="shared" si="197"/>
        <v>25</v>
      </c>
      <c r="F1458">
        <v>28435</v>
      </c>
      <c r="G1458">
        <v>25720</v>
      </c>
      <c r="H1458">
        <v>837</v>
      </c>
      <c r="I1458" t="str">
        <f t="shared" si="203"/>
        <v>6</v>
      </c>
      <c r="J1458" t="str">
        <f t="shared" si="204"/>
        <v>Open Vld</v>
      </c>
      <c r="K1458">
        <v>719</v>
      </c>
      <c r="L1458">
        <v>1360</v>
      </c>
      <c r="M1458">
        <v>2079</v>
      </c>
      <c r="N1458">
        <v>1386</v>
      </c>
      <c r="O1458">
        <v>2</v>
      </c>
      <c r="P1458" t="str">
        <f>("9")</f>
        <v>9</v>
      </c>
      <c r="Q1458" t="str">
        <f>("STEURS Dirk")</f>
        <v>STEURS Dirk</v>
      </c>
      <c r="R1458">
        <v>53</v>
      </c>
      <c r="S1458" t="s">
        <v>44</v>
      </c>
      <c r="T1458">
        <v>0</v>
      </c>
      <c r="V1458">
        <v>17</v>
      </c>
      <c r="W1458">
        <v>53</v>
      </c>
      <c r="X1458">
        <v>0</v>
      </c>
    </row>
    <row r="1459" spans="1:24" x14ac:dyDescent="0.35">
      <c r="A1459" t="s">
        <v>8</v>
      </c>
      <c r="B1459" t="s">
        <v>9</v>
      </c>
      <c r="C1459" t="str">
        <f t="shared" si="205"/>
        <v>11292</v>
      </c>
      <c r="D1459" t="s">
        <v>18</v>
      </c>
      <c r="E1459" t="str">
        <f t="shared" si="197"/>
        <v>25</v>
      </c>
      <c r="F1459">
        <v>28435</v>
      </c>
      <c r="G1459">
        <v>25720</v>
      </c>
      <c r="H1459">
        <v>837</v>
      </c>
      <c r="I1459" t="str">
        <f t="shared" si="203"/>
        <v>6</v>
      </c>
      <c r="J1459" t="str">
        <f t="shared" si="204"/>
        <v>Open Vld</v>
      </c>
      <c r="K1459">
        <v>719</v>
      </c>
      <c r="L1459">
        <v>1360</v>
      </c>
      <c r="M1459">
        <v>2079</v>
      </c>
      <c r="N1459">
        <v>1386</v>
      </c>
      <c r="O1459">
        <v>2</v>
      </c>
      <c r="P1459" t="str">
        <f>("10")</f>
        <v>10</v>
      </c>
      <c r="Q1459" t="str">
        <f>("KACHICHIAN Nathalie")</f>
        <v>KACHICHIAN Nathalie</v>
      </c>
      <c r="R1459">
        <v>76</v>
      </c>
      <c r="S1459" t="s">
        <v>44</v>
      </c>
      <c r="T1459">
        <v>0</v>
      </c>
      <c r="V1459">
        <v>7</v>
      </c>
      <c r="W1459">
        <v>76</v>
      </c>
      <c r="X1459">
        <v>0</v>
      </c>
    </row>
    <row r="1460" spans="1:24" x14ac:dyDescent="0.35">
      <c r="A1460" t="s">
        <v>8</v>
      </c>
      <c r="B1460" t="s">
        <v>9</v>
      </c>
      <c r="C1460" t="str">
        <f t="shared" si="205"/>
        <v>11292</v>
      </c>
      <c r="D1460" t="s">
        <v>18</v>
      </c>
      <c r="E1460" t="str">
        <f t="shared" si="197"/>
        <v>25</v>
      </c>
      <c r="F1460">
        <v>28435</v>
      </c>
      <c r="G1460">
        <v>25720</v>
      </c>
      <c r="H1460">
        <v>837</v>
      </c>
      <c r="I1460" t="str">
        <f t="shared" si="203"/>
        <v>6</v>
      </c>
      <c r="J1460" t="str">
        <f t="shared" si="204"/>
        <v>Open Vld</v>
      </c>
      <c r="K1460">
        <v>719</v>
      </c>
      <c r="L1460">
        <v>1360</v>
      </c>
      <c r="M1460">
        <v>2079</v>
      </c>
      <c r="N1460">
        <v>1386</v>
      </c>
      <c r="O1460">
        <v>2</v>
      </c>
      <c r="P1460" t="str">
        <f>("11")</f>
        <v>11</v>
      </c>
      <c r="Q1460" t="str">
        <f>("COOLS Aryane")</f>
        <v>COOLS Aryane</v>
      </c>
      <c r="R1460">
        <v>65</v>
      </c>
      <c r="S1460" t="s">
        <v>44</v>
      </c>
      <c r="T1460">
        <v>0</v>
      </c>
      <c r="V1460">
        <v>10</v>
      </c>
      <c r="W1460">
        <v>65</v>
      </c>
      <c r="X1460">
        <v>0</v>
      </c>
    </row>
    <row r="1461" spans="1:24" x14ac:dyDescent="0.35">
      <c r="A1461" t="s">
        <v>8</v>
      </c>
      <c r="B1461" t="s">
        <v>9</v>
      </c>
      <c r="C1461" t="str">
        <f t="shared" si="205"/>
        <v>11292</v>
      </c>
      <c r="D1461" t="s">
        <v>18</v>
      </c>
      <c r="E1461" t="str">
        <f t="shared" si="197"/>
        <v>25</v>
      </c>
      <c r="F1461">
        <v>28435</v>
      </c>
      <c r="G1461">
        <v>25720</v>
      </c>
      <c r="H1461">
        <v>837</v>
      </c>
      <c r="I1461" t="str">
        <f t="shared" si="203"/>
        <v>6</v>
      </c>
      <c r="J1461" t="str">
        <f t="shared" si="204"/>
        <v>Open Vld</v>
      </c>
      <c r="K1461">
        <v>719</v>
      </c>
      <c r="L1461">
        <v>1360</v>
      </c>
      <c r="M1461">
        <v>2079</v>
      </c>
      <c r="N1461">
        <v>1386</v>
      </c>
      <c r="O1461">
        <v>2</v>
      </c>
      <c r="P1461" t="str">
        <f>("12")</f>
        <v>12</v>
      </c>
      <c r="Q1461" t="str">
        <f>("DE MAEYER Tom")</f>
        <v>DE MAEYER Tom</v>
      </c>
      <c r="R1461">
        <v>80</v>
      </c>
      <c r="S1461" t="s">
        <v>44</v>
      </c>
      <c r="T1461">
        <v>0</v>
      </c>
      <c r="V1461">
        <v>6</v>
      </c>
      <c r="W1461">
        <v>80</v>
      </c>
      <c r="X1461">
        <v>0</v>
      </c>
    </row>
    <row r="1462" spans="1:24" x14ac:dyDescent="0.35">
      <c r="A1462" t="s">
        <v>8</v>
      </c>
      <c r="B1462" t="s">
        <v>9</v>
      </c>
      <c r="C1462" t="str">
        <f t="shared" si="205"/>
        <v>11292</v>
      </c>
      <c r="D1462" t="s">
        <v>18</v>
      </c>
      <c r="E1462" t="str">
        <f t="shared" si="197"/>
        <v>25</v>
      </c>
      <c r="F1462">
        <v>28435</v>
      </c>
      <c r="G1462">
        <v>25720</v>
      </c>
      <c r="H1462">
        <v>837</v>
      </c>
      <c r="I1462" t="str">
        <f t="shared" si="203"/>
        <v>6</v>
      </c>
      <c r="J1462" t="str">
        <f t="shared" si="204"/>
        <v>Open Vld</v>
      </c>
      <c r="K1462">
        <v>719</v>
      </c>
      <c r="L1462">
        <v>1360</v>
      </c>
      <c r="M1462">
        <v>2079</v>
      </c>
      <c r="N1462">
        <v>1386</v>
      </c>
      <c r="O1462">
        <v>2</v>
      </c>
      <c r="P1462" t="str">
        <f>("13")</f>
        <v>13</v>
      </c>
      <c r="Q1462" t="str">
        <f>("PAUWELS Mathieu")</f>
        <v>PAUWELS Mathieu</v>
      </c>
      <c r="R1462">
        <v>103</v>
      </c>
      <c r="S1462" t="s">
        <v>44</v>
      </c>
      <c r="T1462">
        <v>0</v>
      </c>
      <c r="V1462">
        <v>3</v>
      </c>
      <c r="W1462">
        <v>103</v>
      </c>
      <c r="X1462">
        <v>0</v>
      </c>
    </row>
    <row r="1463" spans="1:24" x14ac:dyDescent="0.35">
      <c r="A1463" t="s">
        <v>8</v>
      </c>
      <c r="B1463" t="s">
        <v>9</v>
      </c>
      <c r="C1463" t="str">
        <f t="shared" si="205"/>
        <v>11292</v>
      </c>
      <c r="D1463" t="s">
        <v>18</v>
      </c>
      <c r="E1463" t="str">
        <f t="shared" ref="E1463:E1503" si="206">("25")</f>
        <v>25</v>
      </c>
      <c r="F1463">
        <v>28435</v>
      </c>
      <c r="G1463">
        <v>25720</v>
      </c>
      <c r="H1463">
        <v>837</v>
      </c>
      <c r="I1463" t="str">
        <f t="shared" si="203"/>
        <v>6</v>
      </c>
      <c r="J1463" t="str">
        <f t="shared" si="204"/>
        <v>Open Vld</v>
      </c>
      <c r="K1463">
        <v>719</v>
      </c>
      <c r="L1463">
        <v>1360</v>
      </c>
      <c r="M1463">
        <v>2079</v>
      </c>
      <c r="N1463">
        <v>1386</v>
      </c>
      <c r="O1463">
        <v>2</v>
      </c>
      <c r="P1463" t="str">
        <f>("14")</f>
        <v>14</v>
      </c>
      <c r="Q1463" t="str">
        <f>("DE CUIS Tessa")</f>
        <v>DE CUIS Tessa</v>
      </c>
      <c r="R1463">
        <v>62</v>
      </c>
      <c r="S1463" t="s">
        <v>44</v>
      </c>
      <c r="T1463">
        <v>0</v>
      </c>
      <c r="V1463">
        <v>12</v>
      </c>
      <c r="W1463">
        <v>62</v>
      </c>
      <c r="X1463">
        <v>0</v>
      </c>
    </row>
    <row r="1464" spans="1:24" x14ac:dyDescent="0.35">
      <c r="A1464" t="s">
        <v>8</v>
      </c>
      <c r="B1464" t="s">
        <v>9</v>
      </c>
      <c r="C1464" t="str">
        <f t="shared" si="205"/>
        <v>11292</v>
      </c>
      <c r="D1464" t="s">
        <v>18</v>
      </c>
      <c r="E1464" t="str">
        <f t="shared" si="206"/>
        <v>25</v>
      </c>
      <c r="F1464">
        <v>28435</v>
      </c>
      <c r="G1464">
        <v>25720</v>
      </c>
      <c r="H1464">
        <v>837</v>
      </c>
      <c r="I1464" t="str">
        <f t="shared" si="203"/>
        <v>6</v>
      </c>
      <c r="J1464" t="str">
        <f t="shared" si="204"/>
        <v>Open Vld</v>
      </c>
      <c r="K1464">
        <v>719</v>
      </c>
      <c r="L1464">
        <v>1360</v>
      </c>
      <c r="M1464">
        <v>2079</v>
      </c>
      <c r="N1464">
        <v>1386</v>
      </c>
      <c r="O1464">
        <v>2</v>
      </c>
      <c r="P1464" t="str">
        <f>("15")</f>
        <v>15</v>
      </c>
      <c r="Q1464" t="str">
        <f>("WOUTERS Steven")</f>
        <v>WOUTERS Steven</v>
      </c>
      <c r="R1464">
        <v>42</v>
      </c>
      <c r="S1464" t="s">
        <v>44</v>
      </c>
      <c r="T1464">
        <v>0</v>
      </c>
      <c r="V1464">
        <v>20</v>
      </c>
      <c r="W1464">
        <v>42</v>
      </c>
      <c r="X1464">
        <v>0</v>
      </c>
    </row>
    <row r="1465" spans="1:24" x14ac:dyDescent="0.35">
      <c r="A1465" t="s">
        <v>8</v>
      </c>
      <c r="B1465" t="s">
        <v>9</v>
      </c>
      <c r="C1465" t="str">
        <f t="shared" si="205"/>
        <v>11292</v>
      </c>
      <c r="D1465" t="s">
        <v>18</v>
      </c>
      <c r="E1465" t="str">
        <f t="shared" si="206"/>
        <v>25</v>
      </c>
      <c r="F1465">
        <v>28435</v>
      </c>
      <c r="G1465">
        <v>25720</v>
      </c>
      <c r="H1465">
        <v>837</v>
      </c>
      <c r="I1465" t="str">
        <f t="shared" si="203"/>
        <v>6</v>
      </c>
      <c r="J1465" t="str">
        <f t="shared" si="204"/>
        <v>Open Vld</v>
      </c>
      <c r="K1465">
        <v>719</v>
      </c>
      <c r="L1465">
        <v>1360</v>
      </c>
      <c r="M1465">
        <v>2079</v>
      </c>
      <c r="N1465">
        <v>1386</v>
      </c>
      <c r="O1465">
        <v>2</v>
      </c>
      <c r="P1465" t="str">
        <f>("16")</f>
        <v>16</v>
      </c>
      <c r="Q1465" t="str">
        <f>("DALEMANS Tom")</f>
        <v>DALEMANS Tom</v>
      </c>
      <c r="R1465">
        <v>60</v>
      </c>
      <c r="S1465" t="s">
        <v>44</v>
      </c>
      <c r="T1465">
        <v>0</v>
      </c>
      <c r="V1465">
        <v>14</v>
      </c>
      <c r="W1465">
        <v>60</v>
      </c>
      <c r="X1465">
        <v>0</v>
      </c>
    </row>
    <row r="1466" spans="1:24" x14ac:dyDescent="0.35">
      <c r="A1466" t="s">
        <v>8</v>
      </c>
      <c r="B1466" t="s">
        <v>9</v>
      </c>
      <c r="C1466" t="str">
        <f t="shared" si="205"/>
        <v>11292</v>
      </c>
      <c r="D1466" t="s">
        <v>18</v>
      </c>
      <c r="E1466" t="str">
        <f t="shared" si="206"/>
        <v>25</v>
      </c>
      <c r="F1466">
        <v>28435</v>
      </c>
      <c r="G1466">
        <v>25720</v>
      </c>
      <c r="H1466">
        <v>837</v>
      </c>
      <c r="I1466" t="str">
        <f t="shared" si="203"/>
        <v>6</v>
      </c>
      <c r="J1466" t="str">
        <f t="shared" si="204"/>
        <v>Open Vld</v>
      </c>
      <c r="K1466">
        <v>719</v>
      </c>
      <c r="L1466">
        <v>1360</v>
      </c>
      <c r="M1466">
        <v>2079</v>
      </c>
      <c r="N1466">
        <v>1386</v>
      </c>
      <c r="O1466">
        <v>2</v>
      </c>
      <c r="P1466" t="str">
        <f>("17")</f>
        <v>17</v>
      </c>
      <c r="Q1466" t="str">
        <f>("TOEBOSCH Katia")</f>
        <v>TOEBOSCH Katia</v>
      </c>
      <c r="R1466">
        <v>56</v>
      </c>
      <c r="S1466" t="s">
        <v>44</v>
      </c>
      <c r="T1466">
        <v>0</v>
      </c>
      <c r="V1466">
        <v>16</v>
      </c>
      <c r="W1466">
        <v>56</v>
      </c>
      <c r="X1466">
        <v>0</v>
      </c>
    </row>
    <row r="1467" spans="1:24" x14ac:dyDescent="0.35">
      <c r="A1467" t="s">
        <v>8</v>
      </c>
      <c r="B1467" t="s">
        <v>9</v>
      </c>
      <c r="C1467" t="str">
        <f t="shared" si="205"/>
        <v>11292</v>
      </c>
      <c r="D1467" t="s">
        <v>18</v>
      </c>
      <c r="E1467" t="str">
        <f t="shared" si="206"/>
        <v>25</v>
      </c>
      <c r="F1467">
        <v>28435</v>
      </c>
      <c r="G1467">
        <v>25720</v>
      </c>
      <c r="H1467">
        <v>837</v>
      </c>
      <c r="I1467" t="str">
        <f t="shared" si="203"/>
        <v>6</v>
      </c>
      <c r="J1467" t="str">
        <f t="shared" si="204"/>
        <v>Open Vld</v>
      </c>
      <c r="K1467">
        <v>719</v>
      </c>
      <c r="L1467">
        <v>1360</v>
      </c>
      <c r="M1467">
        <v>2079</v>
      </c>
      <c r="N1467">
        <v>1386</v>
      </c>
      <c r="O1467">
        <v>2</v>
      </c>
      <c r="P1467" t="str">
        <f>("18")</f>
        <v>18</v>
      </c>
      <c r="Q1467" t="str">
        <f>("VOS Zeen")</f>
        <v>VOS Zeen</v>
      </c>
      <c r="R1467">
        <v>39</v>
      </c>
      <c r="S1467" t="s">
        <v>44</v>
      </c>
      <c r="T1467">
        <v>0</v>
      </c>
      <c r="V1467">
        <v>22</v>
      </c>
      <c r="W1467">
        <v>39</v>
      </c>
      <c r="X1467">
        <v>0</v>
      </c>
    </row>
    <row r="1468" spans="1:24" x14ac:dyDescent="0.35">
      <c r="A1468" t="s">
        <v>8</v>
      </c>
      <c r="B1468" t="s">
        <v>9</v>
      </c>
      <c r="C1468" t="str">
        <f t="shared" si="205"/>
        <v>11292</v>
      </c>
      <c r="D1468" t="s">
        <v>18</v>
      </c>
      <c r="E1468" t="str">
        <f t="shared" si="206"/>
        <v>25</v>
      </c>
      <c r="F1468">
        <v>28435</v>
      </c>
      <c r="G1468">
        <v>25720</v>
      </c>
      <c r="H1468">
        <v>837</v>
      </c>
      <c r="I1468" t="str">
        <f t="shared" si="203"/>
        <v>6</v>
      </c>
      <c r="J1468" t="str">
        <f t="shared" si="204"/>
        <v>Open Vld</v>
      </c>
      <c r="K1468">
        <v>719</v>
      </c>
      <c r="L1468">
        <v>1360</v>
      </c>
      <c r="M1468">
        <v>2079</v>
      </c>
      <c r="N1468">
        <v>1386</v>
      </c>
      <c r="O1468">
        <v>2</v>
      </c>
      <c r="P1468" t="str">
        <f>("19")</f>
        <v>19</v>
      </c>
      <c r="Q1468" t="str">
        <f>("GOEMAN Paul")</f>
        <v>GOEMAN Paul</v>
      </c>
      <c r="R1468">
        <v>60</v>
      </c>
      <c r="S1468" t="s">
        <v>44</v>
      </c>
      <c r="T1468">
        <v>0</v>
      </c>
      <c r="V1468">
        <v>15</v>
      </c>
      <c r="W1468">
        <v>60</v>
      </c>
      <c r="X1468">
        <v>0</v>
      </c>
    </row>
    <row r="1469" spans="1:24" x14ac:dyDescent="0.35">
      <c r="A1469" t="s">
        <v>8</v>
      </c>
      <c r="B1469" t="s">
        <v>9</v>
      </c>
      <c r="C1469" t="str">
        <f t="shared" si="205"/>
        <v>11292</v>
      </c>
      <c r="D1469" t="s">
        <v>18</v>
      </c>
      <c r="E1469" t="str">
        <f t="shared" si="206"/>
        <v>25</v>
      </c>
      <c r="F1469">
        <v>28435</v>
      </c>
      <c r="G1469">
        <v>25720</v>
      </c>
      <c r="H1469">
        <v>837</v>
      </c>
      <c r="I1469" t="str">
        <f t="shared" si="203"/>
        <v>6</v>
      </c>
      <c r="J1469" t="str">
        <f t="shared" si="204"/>
        <v>Open Vld</v>
      </c>
      <c r="K1469">
        <v>719</v>
      </c>
      <c r="L1469">
        <v>1360</v>
      </c>
      <c r="M1469">
        <v>2079</v>
      </c>
      <c r="N1469">
        <v>1386</v>
      </c>
      <c r="O1469">
        <v>2</v>
      </c>
      <c r="P1469" t="str">
        <f>("20")</f>
        <v>20</v>
      </c>
      <c r="Q1469" t="str">
        <f>("VAN NUFFEL Ian")</f>
        <v>VAN NUFFEL Ian</v>
      </c>
      <c r="R1469">
        <v>41</v>
      </c>
      <c r="S1469" t="s">
        <v>44</v>
      </c>
      <c r="T1469">
        <v>0</v>
      </c>
      <c r="V1469">
        <v>21</v>
      </c>
      <c r="W1469">
        <v>41</v>
      </c>
      <c r="X1469">
        <v>0</v>
      </c>
    </row>
    <row r="1470" spans="1:24" x14ac:dyDescent="0.35">
      <c r="A1470" t="s">
        <v>8</v>
      </c>
      <c r="B1470" t="s">
        <v>9</v>
      </c>
      <c r="C1470" t="str">
        <f t="shared" si="205"/>
        <v>11292</v>
      </c>
      <c r="D1470" t="s">
        <v>18</v>
      </c>
      <c r="E1470" t="str">
        <f t="shared" si="206"/>
        <v>25</v>
      </c>
      <c r="F1470">
        <v>28435</v>
      </c>
      <c r="G1470">
        <v>25720</v>
      </c>
      <c r="H1470">
        <v>837</v>
      </c>
      <c r="I1470" t="str">
        <f t="shared" si="203"/>
        <v>6</v>
      </c>
      <c r="J1470" t="str">
        <f t="shared" si="204"/>
        <v>Open Vld</v>
      </c>
      <c r="K1470">
        <v>719</v>
      </c>
      <c r="L1470">
        <v>1360</v>
      </c>
      <c r="M1470">
        <v>2079</v>
      </c>
      <c r="N1470">
        <v>1386</v>
      </c>
      <c r="O1470">
        <v>2</v>
      </c>
      <c r="P1470" t="str">
        <f>("21")</f>
        <v>21</v>
      </c>
      <c r="Q1470" t="str">
        <f>("BUELENS-CARLIER Joëlle")</f>
        <v>BUELENS-CARLIER Joëlle</v>
      </c>
      <c r="R1470">
        <v>45</v>
      </c>
      <c r="S1470" t="s">
        <v>44</v>
      </c>
      <c r="T1470">
        <v>0</v>
      </c>
      <c r="V1470">
        <v>19</v>
      </c>
      <c r="W1470">
        <v>45</v>
      </c>
      <c r="X1470">
        <v>0</v>
      </c>
    </row>
    <row r="1471" spans="1:24" x14ac:dyDescent="0.35">
      <c r="A1471" t="s">
        <v>8</v>
      </c>
      <c r="B1471" t="s">
        <v>9</v>
      </c>
      <c r="C1471" t="str">
        <f t="shared" si="205"/>
        <v>11292</v>
      </c>
      <c r="D1471" t="s">
        <v>18</v>
      </c>
      <c r="E1471" t="str">
        <f t="shared" si="206"/>
        <v>25</v>
      </c>
      <c r="F1471">
        <v>28435</v>
      </c>
      <c r="G1471">
        <v>25720</v>
      </c>
      <c r="H1471">
        <v>837</v>
      </c>
      <c r="I1471" t="str">
        <f t="shared" si="203"/>
        <v>6</v>
      </c>
      <c r="J1471" t="str">
        <f t="shared" si="204"/>
        <v>Open Vld</v>
      </c>
      <c r="K1471">
        <v>719</v>
      </c>
      <c r="L1471">
        <v>1360</v>
      </c>
      <c r="M1471">
        <v>2079</v>
      </c>
      <c r="N1471">
        <v>1386</v>
      </c>
      <c r="O1471">
        <v>2</v>
      </c>
      <c r="P1471" t="str">
        <f>("22")</f>
        <v>22</v>
      </c>
      <c r="Q1471" t="str">
        <f>("PITTOORS An")</f>
        <v>PITTOORS An</v>
      </c>
      <c r="R1471">
        <v>62</v>
      </c>
      <c r="S1471" t="s">
        <v>44</v>
      </c>
      <c r="T1471">
        <v>0</v>
      </c>
      <c r="V1471">
        <v>13</v>
      </c>
      <c r="W1471">
        <v>62</v>
      </c>
      <c r="X1471">
        <v>0</v>
      </c>
    </row>
    <row r="1472" spans="1:24" x14ac:dyDescent="0.35">
      <c r="A1472" t="s">
        <v>8</v>
      </c>
      <c r="B1472" t="s">
        <v>9</v>
      </c>
      <c r="C1472" t="str">
        <f t="shared" si="205"/>
        <v>11292</v>
      </c>
      <c r="D1472" t="s">
        <v>18</v>
      </c>
      <c r="E1472" t="str">
        <f t="shared" si="206"/>
        <v>25</v>
      </c>
      <c r="F1472">
        <v>28435</v>
      </c>
      <c r="G1472">
        <v>25720</v>
      </c>
      <c r="H1472">
        <v>837</v>
      </c>
      <c r="I1472" t="str">
        <f t="shared" si="203"/>
        <v>6</v>
      </c>
      <c r="J1472" t="str">
        <f t="shared" si="204"/>
        <v>Open Vld</v>
      </c>
      <c r="K1472">
        <v>719</v>
      </c>
      <c r="L1472">
        <v>1360</v>
      </c>
      <c r="M1472">
        <v>2079</v>
      </c>
      <c r="N1472">
        <v>1386</v>
      </c>
      <c r="O1472">
        <v>2</v>
      </c>
      <c r="P1472" t="str">
        <f>("23")</f>
        <v>23</v>
      </c>
      <c r="Q1472" t="str">
        <f>("VAN DER HEYDEN Greet")</f>
        <v>VAN DER HEYDEN Greet</v>
      </c>
      <c r="R1472">
        <v>46</v>
      </c>
      <c r="S1472" t="s">
        <v>44</v>
      </c>
      <c r="T1472">
        <v>0</v>
      </c>
      <c r="V1472">
        <v>18</v>
      </c>
      <c r="W1472">
        <v>46</v>
      </c>
      <c r="X1472">
        <v>0</v>
      </c>
    </row>
    <row r="1473" spans="1:24" x14ac:dyDescent="0.35">
      <c r="A1473" t="s">
        <v>8</v>
      </c>
      <c r="B1473" t="s">
        <v>9</v>
      </c>
      <c r="C1473" t="str">
        <f t="shared" si="205"/>
        <v>11292</v>
      </c>
      <c r="D1473" t="s">
        <v>18</v>
      </c>
      <c r="E1473" t="str">
        <f t="shared" si="206"/>
        <v>25</v>
      </c>
      <c r="F1473">
        <v>28435</v>
      </c>
      <c r="G1473">
        <v>25720</v>
      </c>
      <c r="H1473">
        <v>837</v>
      </c>
      <c r="I1473" t="str">
        <f t="shared" si="203"/>
        <v>6</v>
      </c>
      <c r="J1473" t="str">
        <f t="shared" si="204"/>
        <v>Open Vld</v>
      </c>
      <c r="K1473">
        <v>719</v>
      </c>
      <c r="L1473">
        <v>1360</v>
      </c>
      <c r="M1473">
        <v>2079</v>
      </c>
      <c r="N1473">
        <v>1386</v>
      </c>
      <c r="O1473">
        <v>2</v>
      </c>
      <c r="P1473" t="str">
        <f>("24")</f>
        <v>24</v>
      </c>
      <c r="Q1473" t="str">
        <f>("VAN NUFFEL Gilbert")</f>
        <v>VAN NUFFEL Gilbert</v>
      </c>
      <c r="R1473">
        <v>70</v>
      </c>
      <c r="S1473" t="s">
        <v>44</v>
      </c>
      <c r="T1473">
        <v>0</v>
      </c>
      <c r="V1473">
        <v>9</v>
      </c>
      <c r="W1473">
        <v>70</v>
      </c>
      <c r="X1473">
        <v>0</v>
      </c>
    </row>
    <row r="1474" spans="1:24" x14ac:dyDescent="0.35">
      <c r="A1474" t="s">
        <v>8</v>
      </c>
      <c r="B1474" t="s">
        <v>9</v>
      </c>
      <c r="C1474" t="str">
        <f t="shared" si="205"/>
        <v>11292</v>
      </c>
      <c r="D1474" t="s">
        <v>18</v>
      </c>
      <c r="E1474" t="str">
        <f t="shared" si="206"/>
        <v>25</v>
      </c>
      <c r="F1474">
        <v>28435</v>
      </c>
      <c r="G1474">
        <v>25720</v>
      </c>
      <c r="H1474">
        <v>837</v>
      </c>
      <c r="I1474" t="str">
        <f t="shared" si="203"/>
        <v>6</v>
      </c>
      <c r="J1474" t="str">
        <f t="shared" si="204"/>
        <v>Open Vld</v>
      </c>
      <c r="K1474">
        <v>719</v>
      </c>
      <c r="L1474">
        <v>1360</v>
      </c>
      <c r="M1474">
        <v>2079</v>
      </c>
      <c r="N1474">
        <v>1386</v>
      </c>
      <c r="O1474">
        <v>2</v>
      </c>
      <c r="P1474" t="str">
        <f>("25")</f>
        <v>25</v>
      </c>
      <c r="Q1474" t="str">
        <f>("CLAES Kristel")</f>
        <v>CLAES Kristel</v>
      </c>
      <c r="R1474">
        <v>100</v>
      </c>
      <c r="S1474" t="s">
        <v>44</v>
      </c>
      <c r="T1474">
        <v>0</v>
      </c>
      <c r="V1474">
        <v>4</v>
      </c>
      <c r="W1474">
        <v>100</v>
      </c>
      <c r="X1474">
        <v>0</v>
      </c>
    </row>
    <row r="1475" spans="1:24" x14ac:dyDescent="0.35">
      <c r="A1475" t="s">
        <v>8</v>
      </c>
      <c r="B1475" t="s">
        <v>9</v>
      </c>
      <c r="C1475" t="str">
        <f t="shared" si="205"/>
        <v>11292</v>
      </c>
      <c r="D1475" t="s">
        <v>18</v>
      </c>
      <c r="E1475" t="str">
        <f t="shared" si="206"/>
        <v>25</v>
      </c>
      <c r="F1475">
        <v>28435</v>
      </c>
      <c r="G1475">
        <v>25720</v>
      </c>
      <c r="H1475">
        <v>837</v>
      </c>
      <c r="I1475" t="str">
        <f t="shared" ref="I1475:I1497" si="207">("7")</f>
        <v>7</v>
      </c>
      <c r="J1475" t="str">
        <f t="shared" ref="J1475:J1497" si="208">("PVDA")</f>
        <v>PVDA</v>
      </c>
      <c r="K1475">
        <v>489</v>
      </c>
      <c r="L1475">
        <v>1294</v>
      </c>
      <c r="M1475">
        <v>1783</v>
      </c>
      <c r="N1475">
        <v>1189</v>
      </c>
      <c r="O1475">
        <v>2</v>
      </c>
      <c r="P1475" t="str">
        <f>("1")</f>
        <v>1</v>
      </c>
      <c r="Q1475" t="str">
        <f>("MOENS Lien")</f>
        <v>MOENS Lien</v>
      </c>
      <c r="R1475">
        <v>584</v>
      </c>
      <c r="S1475">
        <v>910</v>
      </c>
      <c r="T1475">
        <v>0</v>
      </c>
      <c r="U1475">
        <v>1</v>
      </c>
    </row>
    <row r="1476" spans="1:24" x14ac:dyDescent="0.35">
      <c r="A1476" t="s">
        <v>8</v>
      </c>
      <c r="B1476" t="s">
        <v>9</v>
      </c>
      <c r="C1476" t="str">
        <f t="shared" si="205"/>
        <v>11292</v>
      </c>
      <c r="D1476" t="s">
        <v>18</v>
      </c>
      <c r="E1476" t="str">
        <f t="shared" si="206"/>
        <v>25</v>
      </c>
      <c r="F1476">
        <v>28435</v>
      </c>
      <c r="G1476">
        <v>25720</v>
      </c>
      <c r="H1476">
        <v>837</v>
      </c>
      <c r="I1476" t="str">
        <f t="shared" si="207"/>
        <v>7</v>
      </c>
      <c r="J1476" t="str">
        <f t="shared" si="208"/>
        <v>PVDA</v>
      </c>
      <c r="K1476">
        <v>489</v>
      </c>
      <c r="L1476">
        <v>1294</v>
      </c>
      <c r="M1476">
        <v>1783</v>
      </c>
      <c r="N1476">
        <v>1189</v>
      </c>
      <c r="O1476">
        <v>2</v>
      </c>
      <c r="P1476" t="str">
        <f>("2")</f>
        <v>2</v>
      </c>
      <c r="Q1476" t="str">
        <f>("S'JONGERS Stef")</f>
        <v>S'JONGERS Stef</v>
      </c>
      <c r="R1476">
        <v>99</v>
      </c>
      <c r="S1476" t="s">
        <v>44</v>
      </c>
      <c r="T1476">
        <v>0</v>
      </c>
      <c r="V1476">
        <v>1</v>
      </c>
      <c r="W1476">
        <v>425</v>
      </c>
      <c r="X1476">
        <v>0</v>
      </c>
    </row>
    <row r="1477" spans="1:24" x14ac:dyDescent="0.35">
      <c r="A1477" t="s">
        <v>8</v>
      </c>
      <c r="B1477" t="s">
        <v>9</v>
      </c>
      <c r="C1477" t="str">
        <f t="shared" si="205"/>
        <v>11292</v>
      </c>
      <c r="D1477" t="s">
        <v>18</v>
      </c>
      <c r="E1477" t="str">
        <f t="shared" si="206"/>
        <v>25</v>
      </c>
      <c r="F1477">
        <v>28435</v>
      </c>
      <c r="G1477">
        <v>25720</v>
      </c>
      <c r="H1477">
        <v>837</v>
      </c>
      <c r="I1477" t="str">
        <f t="shared" si="207"/>
        <v>7</v>
      </c>
      <c r="J1477" t="str">
        <f t="shared" si="208"/>
        <v>PVDA</v>
      </c>
      <c r="K1477">
        <v>489</v>
      </c>
      <c r="L1477">
        <v>1294</v>
      </c>
      <c r="M1477">
        <v>1783</v>
      </c>
      <c r="N1477">
        <v>1189</v>
      </c>
      <c r="O1477">
        <v>2</v>
      </c>
      <c r="P1477" t="str">
        <f>("3")</f>
        <v>3</v>
      </c>
      <c r="Q1477" t="str">
        <f>("VAN BERLO Julie")</f>
        <v>VAN BERLO Julie</v>
      </c>
      <c r="R1477">
        <v>107</v>
      </c>
      <c r="S1477" t="s">
        <v>44</v>
      </c>
      <c r="T1477">
        <v>0</v>
      </c>
      <c r="V1477">
        <v>4</v>
      </c>
      <c r="W1477">
        <v>107</v>
      </c>
      <c r="X1477">
        <v>0</v>
      </c>
    </row>
    <row r="1478" spans="1:24" x14ac:dyDescent="0.35">
      <c r="A1478" t="s">
        <v>8</v>
      </c>
      <c r="B1478" t="s">
        <v>9</v>
      </c>
      <c r="C1478" t="str">
        <f t="shared" si="205"/>
        <v>11292</v>
      </c>
      <c r="D1478" t="s">
        <v>18</v>
      </c>
      <c r="E1478" t="str">
        <f t="shared" si="206"/>
        <v>25</v>
      </c>
      <c r="F1478">
        <v>28435</v>
      </c>
      <c r="G1478">
        <v>25720</v>
      </c>
      <c r="H1478">
        <v>837</v>
      </c>
      <c r="I1478" t="str">
        <f t="shared" si="207"/>
        <v>7</v>
      </c>
      <c r="J1478" t="str">
        <f t="shared" si="208"/>
        <v>PVDA</v>
      </c>
      <c r="K1478">
        <v>489</v>
      </c>
      <c r="L1478">
        <v>1294</v>
      </c>
      <c r="M1478">
        <v>1783</v>
      </c>
      <c r="N1478">
        <v>1189</v>
      </c>
      <c r="O1478">
        <v>2</v>
      </c>
      <c r="P1478" t="str">
        <f>("4")</f>
        <v>4</v>
      </c>
      <c r="Q1478" t="str">
        <f>("FRANS Steven")</f>
        <v>FRANS Steven</v>
      </c>
      <c r="R1478">
        <v>92</v>
      </c>
      <c r="S1478" t="s">
        <v>44</v>
      </c>
      <c r="T1478">
        <v>0</v>
      </c>
      <c r="V1478">
        <v>7</v>
      </c>
      <c r="W1478">
        <v>92</v>
      </c>
      <c r="X1478">
        <v>0</v>
      </c>
    </row>
    <row r="1479" spans="1:24" x14ac:dyDescent="0.35">
      <c r="A1479" t="s">
        <v>8</v>
      </c>
      <c r="B1479" t="s">
        <v>9</v>
      </c>
      <c r="C1479" t="str">
        <f t="shared" si="205"/>
        <v>11292</v>
      </c>
      <c r="D1479" t="s">
        <v>18</v>
      </c>
      <c r="E1479" t="str">
        <f t="shared" si="206"/>
        <v>25</v>
      </c>
      <c r="F1479">
        <v>28435</v>
      </c>
      <c r="G1479">
        <v>25720</v>
      </c>
      <c r="H1479">
        <v>837</v>
      </c>
      <c r="I1479" t="str">
        <f t="shared" si="207"/>
        <v>7</v>
      </c>
      <c r="J1479" t="str">
        <f t="shared" si="208"/>
        <v>PVDA</v>
      </c>
      <c r="K1479">
        <v>489</v>
      </c>
      <c r="L1479">
        <v>1294</v>
      </c>
      <c r="M1479">
        <v>1783</v>
      </c>
      <c r="N1479">
        <v>1189</v>
      </c>
      <c r="O1479">
        <v>2</v>
      </c>
      <c r="P1479" t="str">
        <f>("5")</f>
        <v>5</v>
      </c>
      <c r="Q1479" t="str">
        <f>("KARKI Feride")</f>
        <v>KARKI Feride</v>
      </c>
      <c r="R1479">
        <v>93</v>
      </c>
      <c r="S1479" t="s">
        <v>44</v>
      </c>
      <c r="T1479">
        <v>0</v>
      </c>
      <c r="V1479">
        <v>6</v>
      </c>
      <c r="W1479">
        <v>93</v>
      </c>
      <c r="X1479">
        <v>0</v>
      </c>
    </row>
    <row r="1480" spans="1:24" x14ac:dyDescent="0.35">
      <c r="A1480" t="s">
        <v>8</v>
      </c>
      <c r="B1480" t="s">
        <v>9</v>
      </c>
      <c r="C1480" t="str">
        <f t="shared" si="205"/>
        <v>11292</v>
      </c>
      <c r="D1480" t="s">
        <v>18</v>
      </c>
      <c r="E1480" t="str">
        <f t="shared" si="206"/>
        <v>25</v>
      </c>
      <c r="F1480">
        <v>28435</v>
      </c>
      <c r="G1480">
        <v>25720</v>
      </c>
      <c r="H1480">
        <v>837</v>
      </c>
      <c r="I1480" t="str">
        <f t="shared" si="207"/>
        <v>7</v>
      </c>
      <c r="J1480" t="str">
        <f t="shared" si="208"/>
        <v>PVDA</v>
      </c>
      <c r="K1480">
        <v>489</v>
      </c>
      <c r="L1480">
        <v>1294</v>
      </c>
      <c r="M1480">
        <v>1783</v>
      </c>
      <c r="N1480">
        <v>1189</v>
      </c>
      <c r="O1480">
        <v>2</v>
      </c>
      <c r="P1480" t="str">
        <f>("6")</f>
        <v>6</v>
      </c>
      <c r="Q1480" t="str">
        <f>("BOUBKER Youssef")</f>
        <v>BOUBKER Youssef</v>
      </c>
      <c r="R1480">
        <v>322</v>
      </c>
      <c r="S1480">
        <v>322</v>
      </c>
      <c r="T1480">
        <v>0</v>
      </c>
      <c r="U1480">
        <v>2</v>
      </c>
    </row>
    <row r="1481" spans="1:24" x14ac:dyDescent="0.35">
      <c r="A1481" t="s">
        <v>8</v>
      </c>
      <c r="B1481" t="s">
        <v>9</v>
      </c>
      <c r="C1481" t="str">
        <f t="shared" si="205"/>
        <v>11292</v>
      </c>
      <c r="D1481" t="s">
        <v>18</v>
      </c>
      <c r="E1481" t="str">
        <f t="shared" si="206"/>
        <v>25</v>
      </c>
      <c r="F1481">
        <v>28435</v>
      </c>
      <c r="G1481">
        <v>25720</v>
      </c>
      <c r="H1481">
        <v>837</v>
      </c>
      <c r="I1481" t="str">
        <f t="shared" si="207"/>
        <v>7</v>
      </c>
      <c r="J1481" t="str">
        <f t="shared" si="208"/>
        <v>PVDA</v>
      </c>
      <c r="K1481">
        <v>489</v>
      </c>
      <c r="L1481">
        <v>1294</v>
      </c>
      <c r="M1481">
        <v>1783</v>
      </c>
      <c r="N1481">
        <v>1189</v>
      </c>
      <c r="O1481">
        <v>2</v>
      </c>
      <c r="P1481" t="str">
        <f>("7")</f>
        <v>7</v>
      </c>
      <c r="Q1481" t="str">
        <f>("JOZAGHI Encieh")</f>
        <v>JOZAGHI Encieh</v>
      </c>
      <c r="R1481">
        <v>57</v>
      </c>
      <c r="S1481" t="s">
        <v>44</v>
      </c>
      <c r="T1481">
        <v>0</v>
      </c>
      <c r="V1481">
        <v>13</v>
      </c>
      <c r="W1481">
        <v>57</v>
      </c>
      <c r="X1481">
        <v>0</v>
      </c>
    </row>
    <row r="1482" spans="1:24" x14ac:dyDescent="0.35">
      <c r="A1482" t="s">
        <v>8</v>
      </c>
      <c r="B1482" t="s">
        <v>9</v>
      </c>
      <c r="C1482" t="str">
        <f t="shared" si="205"/>
        <v>11292</v>
      </c>
      <c r="D1482" t="s">
        <v>18</v>
      </c>
      <c r="E1482" t="str">
        <f t="shared" si="206"/>
        <v>25</v>
      </c>
      <c r="F1482">
        <v>28435</v>
      </c>
      <c r="G1482">
        <v>25720</v>
      </c>
      <c r="H1482">
        <v>837</v>
      </c>
      <c r="I1482" t="str">
        <f t="shared" si="207"/>
        <v>7</v>
      </c>
      <c r="J1482" t="str">
        <f t="shared" si="208"/>
        <v>PVDA</v>
      </c>
      <c r="K1482">
        <v>489</v>
      </c>
      <c r="L1482">
        <v>1294</v>
      </c>
      <c r="M1482">
        <v>1783</v>
      </c>
      <c r="N1482">
        <v>1189</v>
      </c>
      <c r="O1482">
        <v>2</v>
      </c>
      <c r="P1482" t="str">
        <f>("8")</f>
        <v>8</v>
      </c>
      <c r="Q1482" t="str">
        <f>("WEETJENS Angèle")</f>
        <v>WEETJENS Angèle</v>
      </c>
      <c r="R1482">
        <v>57</v>
      </c>
      <c r="S1482" t="s">
        <v>44</v>
      </c>
      <c r="T1482">
        <v>0</v>
      </c>
      <c r="V1482">
        <v>14</v>
      </c>
      <c r="W1482">
        <v>57</v>
      </c>
      <c r="X1482">
        <v>0</v>
      </c>
    </row>
    <row r="1483" spans="1:24" x14ac:dyDescent="0.35">
      <c r="A1483" t="s">
        <v>8</v>
      </c>
      <c r="B1483" t="s">
        <v>9</v>
      </c>
      <c r="C1483" t="str">
        <f t="shared" si="205"/>
        <v>11292</v>
      </c>
      <c r="D1483" t="s">
        <v>18</v>
      </c>
      <c r="E1483" t="str">
        <f t="shared" si="206"/>
        <v>25</v>
      </c>
      <c r="F1483">
        <v>28435</v>
      </c>
      <c r="G1483">
        <v>25720</v>
      </c>
      <c r="H1483">
        <v>837</v>
      </c>
      <c r="I1483" t="str">
        <f t="shared" si="207"/>
        <v>7</v>
      </c>
      <c r="J1483" t="str">
        <f t="shared" si="208"/>
        <v>PVDA</v>
      </c>
      <c r="K1483">
        <v>489</v>
      </c>
      <c r="L1483">
        <v>1294</v>
      </c>
      <c r="M1483">
        <v>1783</v>
      </c>
      <c r="N1483">
        <v>1189</v>
      </c>
      <c r="O1483">
        <v>2</v>
      </c>
      <c r="P1483" t="str">
        <f>("9")</f>
        <v>9</v>
      </c>
      <c r="Q1483" t="str">
        <f>("FRANSSEN Jan")</f>
        <v>FRANSSEN Jan</v>
      </c>
      <c r="R1483">
        <v>67</v>
      </c>
      <c r="S1483" t="s">
        <v>44</v>
      </c>
      <c r="T1483">
        <v>0</v>
      </c>
      <c r="V1483">
        <v>10</v>
      </c>
      <c r="W1483">
        <v>67</v>
      </c>
      <c r="X1483">
        <v>0</v>
      </c>
    </row>
    <row r="1484" spans="1:24" x14ac:dyDescent="0.35">
      <c r="A1484" t="s">
        <v>8</v>
      </c>
      <c r="B1484" t="s">
        <v>9</v>
      </c>
      <c r="C1484" t="str">
        <f t="shared" si="205"/>
        <v>11292</v>
      </c>
      <c r="D1484" t="s">
        <v>18</v>
      </c>
      <c r="E1484" t="str">
        <f t="shared" si="206"/>
        <v>25</v>
      </c>
      <c r="F1484">
        <v>28435</v>
      </c>
      <c r="G1484">
        <v>25720</v>
      </c>
      <c r="H1484">
        <v>837</v>
      </c>
      <c r="I1484" t="str">
        <f t="shared" si="207"/>
        <v>7</v>
      </c>
      <c r="J1484" t="str">
        <f t="shared" si="208"/>
        <v>PVDA</v>
      </c>
      <c r="K1484">
        <v>489</v>
      </c>
      <c r="L1484">
        <v>1294</v>
      </c>
      <c r="M1484">
        <v>1783</v>
      </c>
      <c r="N1484">
        <v>1189</v>
      </c>
      <c r="O1484">
        <v>2</v>
      </c>
      <c r="P1484" t="str">
        <f>("10")</f>
        <v>10</v>
      </c>
      <c r="Q1484" t="str">
        <f>("POPPE Lucienne")</f>
        <v>POPPE Lucienne</v>
      </c>
      <c r="R1484">
        <v>42</v>
      </c>
      <c r="S1484" t="s">
        <v>44</v>
      </c>
      <c r="T1484">
        <v>0</v>
      </c>
      <c r="V1484">
        <v>18</v>
      </c>
      <c r="W1484">
        <v>42</v>
      </c>
      <c r="X1484">
        <v>0</v>
      </c>
    </row>
    <row r="1485" spans="1:24" x14ac:dyDescent="0.35">
      <c r="A1485" t="s">
        <v>8</v>
      </c>
      <c r="B1485" t="s">
        <v>9</v>
      </c>
      <c r="C1485" t="str">
        <f t="shared" ref="C1485:C1503" si="209">("11292")</f>
        <v>11292</v>
      </c>
      <c r="D1485" t="s">
        <v>18</v>
      </c>
      <c r="E1485" t="str">
        <f t="shared" si="206"/>
        <v>25</v>
      </c>
      <c r="F1485">
        <v>28435</v>
      </c>
      <c r="G1485">
        <v>25720</v>
      </c>
      <c r="H1485">
        <v>837</v>
      </c>
      <c r="I1485" t="str">
        <f t="shared" si="207"/>
        <v>7</v>
      </c>
      <c r="J1485" t="str">
        <f t="shared" si="208"/>
        <v>PVDA</v>
      </c>
      <c r="K1485">
        <v>489</v>
      </c>
      <c r="L1485">
        <v>1294</v>
      </c>
      <c r="M1485">
        <v>1783</v>
      </c>
      <c r="N1485">
        <v>1189</v>
      </c>
      <c r="O1485">
        <v>2</v>
      </c>
      <c r="P1485" t="str">
        <f>("11")</f>
        <v>11</v>
      </c>
      <c r="Q1485" t="str">
        <f>("LEVER Luc")</f>
        <v>LEVER Luc</v>
      </c>
      <c r="R1485">
        <v>47</v>
      </c>
      <c r="S1485" t="s">
        <v>44</v>
      </c>
      <c r="T1485">
        <v>0</v>
      </c>
      <c r="V1485">
        <v>17</v>
      </c>
      <c r="W1485">
        <v>47</v>
      </c>
      <c r="X1485">
        <v>0</v>
      </c>
    </row>
    <row r="1486" spans="1:24" x14ac:dyDescent="0.35">
      <c r="A1486" t="s">
        <v>8</v>
      </c>
      <c r="B1486" t="s">
        <v>9</v>
      </c>
      <c r="C1486" t="str">
        <f t="shared" si="209"/>
        <v>11292</v>
      </c>
      <c r="D1486" t="s">
        <v>18</v>
      </c>
      <c r="E1486" t="str">
        <f t="shared" si="206"/>
        <v>25</v>
      </c>
      <c r="F1486">
        <v>28435</v>
      </c>
      <c r="G1486">
        <v>25720</v>
      </c>
      <c r="H1486">
        <v>837</v>
      </c>
      <c r="I1486" t="str">
        <f t="shared" si="207"/>
        <v>7</v>
      </c>
      <c r="J1486" t="str">
        <f t="shared" si="208"/>
        <v>PVDA</v>
      </c>
      <c r="K1486">
        <v>489</v>
      </c>
      <c r="L1486">
        <v>1294</v>
      </c>
      <c r="M1486">
        <v>1783</v>
      </c>
      <c r="N1486">
        <v>1189</v>
      </c>
      <c r="O1486">
        <v>2</v>
      </c>
      <c r="P1486" t="str">
        <f>("12")</f>
        <v>12</v>
      </c>
      <c r="Q1486" t="str">
        <f>("CAMPO Ilse")</f>
        <v>CAMPO Ilse</v>
      </c>
      <c r="R1486">
        <v>58</v>
      </c>
      <c r="S1486" t="s">
        <v>44</v>
      </c>
      <c r="T1486">
        <v>0</v>
      </c>
      <c r="V1486">
        <v>12</v>
      </c>
      <c r="W1486">
        <v>58</v>
      </c>
      <c r="X1486">
        <v>0</v>
      </c>
    </row>
    <row r="1487" spans="1:24" x14ac:dyDescent="0.35">
      <c r="A1487" t="s">
        <v>8</v>
      </c>
      <c r="B1487" t="s">
        <v>9</v>
      </c>
      <c r="C1487" t="str">
        <f t="shared" si="209"/>
        <v>11292</v>
      </c>
      <c r="D1487" t="s">
        <v>18</v>
      </c>
      <c r="E1487" t="str">
        <f t="shared" si="206"/>
        <v>25</v>
      </c>
      <c r="F1487">
        <v>28435</v>
      </c>
      <c r="G1487">
        <v>25720</v>
      </c>
      <c r="H1487">
        <v>837</v>
      </c>
      <c r="I1487" t="str">
        <f t="shared" si="207"/>
        <v>7</v>
      </c>
      <c r="J1487" t="str">
        <f t="shared" si="208"/>
        <v>PVDA</v>
      </c>
      <c r="K1487">
        <v>489</v>
      </c>
      <c r="L1487">
        <v>1294</v>
      </c>
      <c r="M1487">
        <v>1783</v>
      </c>
      <c r="N1487">
        <v>1189</v>
      </c>
      <c r="O1487">
        <v>2</v>
      </c>
      <c r="P1487" t="str">
        <f>("13")</f>
        <v>13</v>
      </c>
      <c r="Q1487" t="str">
        <f>("KOOCHEKI Ali")</f>
        <v>KOOCHEKI Ali</v>
      </c>
      <c r="R1487">
        <v>118</v>
      </c>
      <c r="S1487" t="s">
        <v>44</v>
      </c>
      <c r="T1487">
        <v>0</v>
      </c>
      <c r="V1487">
        <v>3</v>
      </c>
      <c r="W1487">
        <v>118</v>
      </c>
      <c r="X1487">
        <v>0</v>
      </c>
    </row>
    <row r="1488" spans="1:24" x14ac:dyDescent="0.35">
      <c r="A1488" t="s">
        <v>8</v>
      </c>
      <c r="B1488" t="s">
        <v>9</v>
      </c>
      <c r="C1488" t="str">
        <f t="shared" si="209"/>
        <v>11292</v>
      </c>
      <c r="D1488" t="s">
        <v>18</v>
      </c>
      <c r="E1488" t="str">
        <f t="shared" si="206"/>
        <v>25</v>
      </c>
      <c r="F1488">
        <v>28435</v>
      </c>
      <c r="G1488">
        <v>25720</v>
      </c>
      <c r="H1488">
        <v>837</v>
      </c>
      <c r="I1488" t="str">
        <f t="shared" si="207"/>
        <v>7</v>
      </c>
      <c r="J1488" t="str">
        <f t="shared" si="208"/>
        <v>PVDA</v>
      </c>
      <c r="K1488">
        <v>489</v>
      </c>
      <c r="L1488">
        <v>1294</v>
      </c>
      <c r="M1488">
        <v>1783</v>
      </c>
      <c r="N1488">
        <v>1189</v>
      </c>
      <c r="O1488">
        <v>2</v>
      </c>
      <c r="P1488" t="str">
        <f>("14")</f>
        <v>14</v>
      </c>
      <c r="Q1488" t="str">
        <f>("REYNIERS Rita")</f>
        <v>REYNIERS Rita</v>
      </c>
      <c r="R1488">
        <v>76</v>
      </c>
      <c r="S1488" t="s">
        <v>44</v>
      </c>
      <c r="T1488">
        <v>0</v>
      </c>
      <c r="V1488">
        <v>9</v>
      </c>
      <c r="W1488">
        <v>76</v>
      </c>
      <c r="X1488">
        <v>0</v>
      </c>
    </row>
    <row r="1489" spans="1:24" x14ac:dyDescent="0.35">
      <c r="A1489" t="s">
        <v>8</v>
      </c>
      <c r="B1489" t="s">
        <v>9</v>
      </c>
      <c r="C1489" t="str">
        <f t="shared" si="209"/>
        <v>11292</v>
      </c>
      <c r="D1489" t="s">
        <v>18</v>
      </c>
      <c r="E1489" t="str">
        <f t="shared" si="206"/>
        <v>25</v>
      </c>
      <c r="F1489">
        <v>28435</v>
      </c>
      <c r="G1489">
        <v>25720</v>
      </c>
      <c r="H1489">
        <v>837</v>
      </c>
      <c r="I1489" t="str">
        <f t="shared" si="207"/>
        <v>7</v>
      </c>
      <c r="J1489" t="str">
        <f t="shared" si="208"/>
        <v>PVDA</v>
      </c>
      <c r="K1489">
        <v>489</v>
      </c>
      <c r="L1489">
        <v>1294</v>
      </c>
      <c r="M1489">
        <v>1783</v>
      </c>
      <c r="N1489">
        <v>1189</v>
      </c>
      <c r="O1489">
        <v>2</v>
      </c>
      <c r="P1489" t="str">
        <f>("15")</f>
        <v>15</v>
      </c>
      <c r="Q1489" t="str">
        <f>("COOLS Jan")</f>
        <v>COOLS Jan</v>
      </c>
      <c r="R1489">
        <v>50</v>
      </c>
      <c r="S1489" t="s">
        <v>44</v>
      </c>
      <c r="T1489">
        <v>0</v>
      </c>
      <c r="V1489">
        <v>16</v>
      </c>
      <c r="W1489">
        <v>50</v>
      </c>
      <c r="X1489">
        <v>0</v>
      </c>
    </row>
    <row r="1490" spans="1:24" x14ac:dyDescent="0.35">
      <c r="A1490" t="s">
        <v>8</v>
      </c>
      <c r="B1490" t="s">
        <v>9</v>
      </c>
      <c r="C1490" t="str">
        <f t="shared" si="209"/>
        <v>11292</v>
      </c>
      <c r="D1490" t="s">
        <v>18</v>
      </c>
      <c r="E1490" t="str">
        <f t="shared" si="206"/>
        <v>25</v>
      </c>
      <c r="F1490">
        <v>28435</v>
      </c>
      <c r="G1490">
        <v>25720</v>
      </c>
      <c r="H1490">
        <v>837</v>
      </c>
      <c r="I1490" t="str">
        <f t="shared" si="207"/>
        <v>7</v>
      </c>
      <c r="J1490" t="str">
        <f t="shared" si="208"/>
        <v>PVDA</v>
      </c>
      <c r="K1490">
        <v>489</v>
      </c>
      <c r="L1490">
        <v>1294</v>
      </c>
      <c r="M1490">
        <v>1783</v>
      </c>
      <c r="N1490">
        <v>1189</v>
      </c>
      <c r="O1490">
        <v>2</v>
      </c>
      <c r="P1490" t="str">
        <f>("16")</f>
        <v>16</v>
      </c>
      <c r="Q1490" t="str">
        <f>("KOOCHEKI Nahid")</f>
        <v>KOOCHEKI Nahid</v>
      </c>
      <c r="R1490">
        <v>92</v>
      </c>
      <c r="S1490" t="s">
        <v>44</v>
      </c>
      <c r="T1490">
        <v>0</v>
      </c>
      <c r="V1490">
        <v>8</v>
      </c>
      <c r="W1490">
        <v>92</v>
      </c>
      <c r="X1490">
        <v>0</v>
      </c>
    </row>
    <row r="1491" spans="1:24" x14ac:dyDescent="0.35">
      <c r="A1491" t="s">
        <v>8</v>
      </c>
      <c r="B1491" t="s">
        <v>9</v>
      </c>
      <c r="C1491" t="str">
        <f t="shared" si="209"/>
        <v>11292</v>
      </c>
      <c r="D1491" t="s">
        <v>18</v>
      </c>
      <c r="E1491" t="str">
        <f t="shared" si="206"/>
        <v>25</v>
      </c>
      <c r="F1491">
        <v>28435</v>
      </c>
      <c r="G1491">
        <v>25720</v>
      </c>
      <c r="H1491">
        <v>837</v>
      </c>
      <c r="I1491" t="str">
        <f t="shared" si="207"/>
        <v>7</v>
      </c>
      <c r="J1491" t="str">
        <f t="shared" si="208"/>
        <v>PVDA</v>
      </c>
      <c r="K1491">
        <v>489</v>
      </c>
      <c r="L1491">
        <v>1294</v>
      </c>
      <c r="M1491">
        <v>1783</v>
      </c>
      <c r="N1491">
        <v>1189</v>
      </c>
      <c r="O1491">
        <v>2</v>
      </c>
      <c r="P1491" t="str">
        <f>("17")</f>
        <v>17</v>
      </c>
      <c r="Q1491" t="str">
        <f>("VAN DAELE Willy")</f>
        <v>VAN DAELE Willy</v>
      </c>
      <c r="R1491">
        <v>41</v>
      </c>
      <c r="S1491" t="s">
        <v>44</v>
      </c>
      <c r="T1491">
        <v>0</v>
      </c>
      <c r="V1491">
        <v>19</v>
      </c>
      <c r="W1491">
        <v>41</v>
      </c>
      <c r="X1491">
        <v>0</v>
      </c>
    </row>
    <row r="1492" spans="1:24" x14ac:dyDescent="0.35">
      <c r="A1492" t="s">
        <v>8</v>
      </c>
      <c r="B1492" t="s">
        <v>9</v>
      </c>
      <c r="C1492" t="str">
        <f t="shared" si="209"/>
        <v>11292</v>
      </c>
      <c r="D1492" t="s">
        <v>18</v>
      </c>
      <c r="E1492" t="str">
        <f t="shared" si="206"/>
        <v>25</v>
      </c>
      <c r="F1492">
        <v>28435</v>
      </c>
      <c r="G1492">
        <v>25720</v>
      </c>
      <c r="H1492">
        <v>837</v>
      </c>
      <c r="I1492" t="str">
        <f t="shared" si="207"/>
        <v>7</v>
      </c>
      <c r="J1492" t="str">
        <f t="shared" si="208"/>
        <v>PVDA</v>
      </c>
      <c r="K1492">
        <v>489</v>
      </c>
      <c r="L1492">
        <v>1294</v>
      </c>
      <c r="M1492">
        <v>1783</v>
      </c>
      <c r="N1492">
        <v>1189</v>
      </c>
      <c r="O1492">
        <v>2</v>
      </c>
      <c r="P1492" t="str">
        <f>("18")</f>
        <v>18</v>
      </c>
      <c r="Q1492" t="str">
        <f>("TAVEIRNE Bart")</f>
        <v>TAVEIRNE Bart</v>
      </c>
      <c r="R1492">
        <v>41</v>
      </c>
      <c r="S1492" t="s">
        <v>44</v>
      </c>
      <c r="T1492">
        <v>0</v>
      </c>
      <c r="V1492">
        <v>20</v>
      </c>
      <c r="W1492">
        <v>41</v>
      </c>
      <c r="X1492">
        <v>0</v>
      </c>
    </row>
    <row r="1493" spans="1:24" x14ac:dyDescent="0.35">
      <c r="A1493" t="s">
        <v>8</v>
      </c>
      <c r="B1493" t="s">
        <v>9</v>
      </c>
      <c r="C1493" t="str">
        <f t="shared" si="209"/>
        <v>11292</v>
      </c>
      <c r="D1493" t="s">
        <v>18</v>
      </c>
      <c r="E1493" t="str">
        <f t="shared" si="206"/>
        <v>25</v>
      </c>
      <c r="F1493">
        <v>28435</v>
      </c>
      <c r="G1493">
        <v>25720</v>
      </c>
      <c r="H1493">
        <v>837</v>
      </c>
      <c r="I1493" t="str">
        <f t="shared" si="207"/>
        <v>7</v>
      </c>
      <c r="J1493" t="str">
        <f t="shared" si="208"/>
        <v>PVDA</v>
      </c>
      <c r="K1493">
        <v>489</v>
      </c>
      <c r="L1493">
        <v>1294</v>
      </c>
      <c r="M1493">
        <v>1783</v>
      </c>
      <c r="N1493">
        <v>1189</v>
      </c>
      <c r="O1493">
        <v>2</v>
      </c>
      <c r="P1493" t="str">
        <f>("19")</f>
        <v>19</v>
      </c>
      <c r="Q1493" t="str">
        <f>("ZJDANOV Sergei")</f>
        <v>ZJDANOV Sergei</v>
      </c>
      <c r="R1493">
        <v>51</v>
      </c>
      <c r="S1493" t="s">
        <v>44</v>
      </c>
      <c r="T1493">
        <v>0</v>
      </c>
      <c r="V1493">
        <v>15</v>
      </c>
      <c r="W1493">
        <v>51</v>
      </c>
      <c r="X1493">
        <v>0</v>
      </c>
    </row>
    <row r="1494" spans="1:24" x14ac:dyDescent="0.35">
      <c r="A1494" t="s">
        <v>8</v>
      </c>
      <c r="B1494" t="s">
        <v>9</v>
      </c>
      <c r="C1494" t="str">
        <f t="shared" si="209"/>
        <v>11292</v>
      </c>
      <c r="D1494" t="s">
        <v>18</v>
      </c>
      <c r="E1494" t="str">
        <f t="shared" si="206"/>
        <v>25</v>
      </c>
      <c r="F1494">
        <v>28435</v>
      </c>
      <c r="G1494">
        <v>25720</v>
      </c>
      <c r="H1494">
        <v>837</v>
      </c>
      <c r="I1494" t="str">
        <f t="shared" si="207"/>
        <v>7</v>
      </c>
      <c r="J1494" t="str">
        <f t="shared" si="208"/>
        <v>PVDA</v>
      </c>
      <c r="K1494">
        <v>489</v>
      </c>
      <c r="L1494">
        <v>1294</v>
      </c>
      <c r="M1494">
        <v>1783</v>
      </c>
      <c r="N1494">
        <v>1189</v>
      </c>
      <c r="O1494">
        <v>2</v>
      </c>
      <c r="P1494" t="str">
        <f>("20")</f>
        <v>20</v>
      </c>
      <c r="Q1494" t="str">
        <f>("ZITOUNI Rahma")</f>
        <v>ZITOUNI Rahma</v>
      </c>
      <c r="R1494">
        <v>177</v>
      </c>
      <c r="S1494" t="s">
        <v>44</v>
      </c>
      <c r="T1494">
        <v>0</v>
      </c>
      <c r="V1494">
        <v>2</v>
      </c>
      <c r="W1494">
        <v>177</v>
      </c>
      <c r="X1494">
        <v>0</v>
      </c>
    </row>
    <row r="1495" spans="1:24" x14ac:dyDescent="0.35">
      <c r="A1495" t="s">
        <v>8</v>
      </c>
      <c r="B1495" t="s">
        <v>9</v>
      </c>
      <c r="C1495" t="str">
        <f t="shared" si="209"/>
        <v>11292</v>
      </c>
      <c r="D1495" t="s">
        <v>18</v>
      </c>
      <c r="E1495" t="str">
        <f t="shared" si="206"/>
        <v>25</v>
      </c>
      <c r="F1495">
        <v>28435</v>
      </c>
      <c r="G1495">
        <v>25720</v>
      </c>
      <c r="H1495">
        <v>837</v>
      </c>
      <c r="I1495" t="str">
        <f t="shared" si="207"/>
        <v>7</v>
      </c>
      <c r="J1495" t="str">
        <f t="shared" si="208"/>
        <v>PVDA</v>
      </c>
      <c r="K1495">
        <v>489</v>
      </c>
      <c r="L1495">
        <v>1294</v>
      </c>
      <c r="M1495">
        <v>1783</v>
      </c>
      <c r="N1495">
        <v>1189</v>
      </c>
      <c r="O1495">
        <v>2</v>
      </c>
      <c r="P1495" t="str">
        <f>("21")</f>
        <v>21</v>
      </c>
      <c r="Q1495" t="str">
        <f>("KNAPEN Dirk")</f>
        <v>KNAPEN Dirk</v>
      </c>
      <c r="R1495">
        <v>41</v>
      </c>
      <c r="S1495" t="s">
        <v>44</v>
      </c>
      <c r="T1495">
        <v>0</v>
      </c>
      <c r="V1495">
        <v>21</v>
      </c>
      <c r="W1495">
        <v>41</v>
      </c>
      <c r="X1495">
        <v>0</v>
      </c>
    </row>
    <row r="1496" spans="1:24" x14ac:dyDescent="0.35">
      <c r="A1496" t="s">
        <v>8</v>
      </c>
      <c r="B1496" t="s">
        <v>9</v>
      </c>
      <c r="C1496" t="str">
        <f t="shared" si="209"/>
        <v>11292</v>
      </c>
      <c r="D1496" t="s">
        <v>18</v>
      </c>
      <c r="E1496" t="str">
        <f t="shared" si="206"/>
        <v>25</v>
      </c>
      <c r="F1496">
        <v>28435</v>
      </c>
      <c r="G1496">
        <v>25720</v>
      </c>
      <c r="H1496">
        <v>837</v>
      </c>
      <c r="I1496" t="str">
        <f t="shared" si="207"/>
        <v>7</v>
      </c>
      <c r="J1496" t="str">
        <f t="shared" si="208"/>
        <v>PVDA</v>
      </c>
      <c r="K1496">
        <v>489</v>
      </c>
      <c r="L1496">
        <v>1294</v>
      </c>
      <c r="M1496">
        <v>1783</v>
      </c>
      <c r="N1496">
        <v>1189</v>
      </c>
      <c r="O1496">
        <v>2</v>
      </c>
      <c r="P1496" t="str">
        <f>("22")</f>
        <v>22</v>
      </c>
      <c r="Q1496" t="str">
        <f>("MOONS Greet")</f>
        <v>MOONS Greet</v>
      </c>
      <c r="R1496">
        <v>59</v>
      </c>
      <c r="S1496" t="s">
        <v>44</v>
      </c>
      <c r="T1496">
        <v>0</v>
      </c>
      <c r="V1496">
        <v>11</v>
      </c>
      <c r="W1496">
        <v>59</v>
      </c>
      <c r="X1496">
        <v>0</v>
      </c>
    </row>
    <row r="1497" spans="1:24" x14ac:dyDescent="0.35">
      <c r="A1497" t="s">
        <v>8</v>
      </c>
      <c r="B1497" t="s">
        <v>9</v>
      </c>
      <c r="C1497" t="str">
        <f t="shared" si="209"/>
        <v>11292</v>
      </c>
      <c r="D1497" t="s">
        <v>18</v>
      </c>
      <c r="E1497" t="str">
        <f t="shared" si="206"/>
        <v>25</v>
      </c>
      <c r="F1497">
        <v>28435</v>
      </c>
      <c r="G1497">
        <v>25720</v>
      </c>
      <c r="H1497">
        <v>837</v>
      </c>
      <c r="I1497" t="str">
        <f t="shared" si="207"/>
        <v>7</v>
      </c>
      <c r="J1497" t="str">
        <f t="shared" si="208"/>
        <v>PVDA</v>
      </c>
      <c r="K1497">
        <v>489</v>
      </c>
      <c r="L1497">
        <v>1294</v>
      </c>
      <c r="M1497">
        <v>1783</v>
      </c>
      <c r="N1497">
        <v>1189</v>
      </c>
      <c r="O1497">
        <v>2</v>
      </c>
      <c r="P1497" t="str">
        <f>("23")</f>
        <v>23</v>
      </c>
      <c r="Q1497" t="str">
        <f>("SYNNAVE Geert")</f>
        <v>SYNNAVE Geert</v>
      </c>
      <c r="R1497">
        <v>98</v>
      </c>
      <c r="S1497" t="s">
        <v>44</v>
      </c>
      <c r="T1497">
        <v>0</v>
      </c>
      <c r="V1497">
        <v>5</v>
      </c>
      <c r="W1497">
        <v>98</v>
      </c>
      <c r="X1497">
        <v>0</v>
      </c>
    </row>
    <row r="1498" spans="1:24" x14ac:dyDescent="0.35">
      <c r="A1498" t="s">
        <v>8</v>
      </c>
      <c r="B1498" t="s">
        <v>9</v>
      </c>
      <c r="C1498" t="str">
        <f t="shared" si="209"/>
        <v>11292</v>
      </c>
      <c r="D1498" t="s">
        <v>18</v>
      </c>
      <c r="E1498" t="str">
        <f t="shared" si="206"/>
        <v>25</v>
      </c>
      <c r="F1498">
        <v>28435</v>
      </c>
      <c r="G1498">
        <v>25720</v>
      </c>
      <c r="H1498">
        <v>837</v>
      </c>
      <c r="I1498" t="str">
        <f t="shared" ref="I1498:I1503" si="210">("8")</f>
        <v>8</v>
      </c>
      <c r="J1498" t="str">
        <f t="shared" ref="J1498:J1503" si="211">("D-SA")</f>
        <v>D-SA</v>
      </c>
      <c r="K1498">
        <v>32</v>
      </c>
      <c r="L1498">
        <v>374</v>
      </c>
      <c r="M1498">
        <v>406</v>
      </c>
      <c r="O1498">
        <v>0</v>
      </c>
      <c r="P1498" t="str">
        <f>("1")</f>
        <v>1</v>
      </c>
      <c r="Q1498" t="str">
        <f>("ACER Ali")</f>
        <v>ACER Ali</v>
      </c>
      <c r="R1498">
        <v>250</v>
      </c>
      <c r="S1498" t="s">
        <v>44</v>
      </c>
    </row>
    <row r="1499" spans="1:24" x14ac:dyDescent="0.35">
      <c r="A1499" t="s">
        <v>8</v>
      </c>
      <c r="B1499" t="s">
        <v>9</v>
      </c>
      <c r="C1499" t="str">
        <f t="shared" si="209"/>
        <v>11292</v>
      </c>
      <c r="D1499" t="s">
        <v>18</v>
      </c>
      <c r="E1499" t="str">
        <f t="shared" si="206"/>
        <v>25</v>
      </c>
      <c r="F1499">
        <v>28435</v>
      </c>
      <c r="G1499">
        <v>25720</v>
      </c>
      <c r="H1499">
        <v>837</v>
      </c>
      <c r="I1499" t="str">
        <f t="shared" si="210"/>
        <v>8</v>
      </c>
      <c r="J1499" t="str">
        <f t="shared" si="211"/>
        <v>D-SA</v>
      </c>
      <c r="K1499">
        <v>32</v>
      </c>
      <c r="L1499">
        <v>374</v>
      </c>
      <c r="M1499">
        <v>406</v>
      </c>
      <c r="O1499">
        <v>0</v>
      </c>
      <c r="P1499" t="str">
        <f>("2")</f>
        <v>2</v>
      </c>
      <c r="Q1499" t="str">
        <f>("AYDIN Derya")</f>
        <v>AYDIN Derya</v>
      </c>
      <c r="R1499">
        <v>76</v>
      </c>
      <c r="S1499" t="s">
        <v>44</v>
      </c>
    </row>
    <row r="1500" spans="1:24" x14ac:dyDescent="0.35">
      <c r="A1500" t="s">
        <v>8</v>
      </c>
      <c r="B1500" t="s">
        <v>9</v>
      </c>
      <c r="C1500" t="str">
        <f t="shared" si="209"/>
        <v>11292</v>
      </c>
      <c r="D1500" t="s">
        <v>18</v>
      </c>
      <c r="E1500" t="str">
        <f t="shared" si="206"/>
        <v>25</v>
      </c>
      <c r="F1500">
        <v>28435</v>
      </c>
      <c r="G1500">
        <v>25720</v>
      </c>
      <c r="H1500">
        <v>837</v>
      </c>
      <c r="I1500" t="str">
        <f t="shared" si="210"/>
        <v>8</v>
      </c>
      <c r="J1500" t="str">
        <f t="shared" si="211"/>
        <v>D-SA</v>
      </c>
      <c r="K1500">
        <v>32</v>
      </c>
      <c r="L1500">
        <v>374</v>
      </c>
      <c r="M1500">
        <v>406</v>
      </c>
      <c r="O1500">
        <v>0</v>
      </c>
      <c r="P1500" t="str">
        <f>("3")</f>
        <v>3</v>
      </c>
      <c r="Q1500" t="str">
        <f>("BEGOIS Jordy")</f>
        <v>BEGOIS Jordy</v>
      </c>
      <c r="R1500">
        <v>13</v>
      </c>
      <c r="S1500" t="s">
        <v>44</v>
      </c>
    </row>
    <row r="1501" spans="1:24" x14ac:dyDescent="0.35">
      <c r="A1501" t="s">
        <v>8</v>
      </c>
      <c r="B1501" t="s">
        <v>9</v>
      </c>
      <c r="C1501" t="str">
        <f t="shared" si="209"/>
        <v>11292</v>
      </c>
      <c r="D1501" t="s">
        <v>18</v>
      </c>
      <c r="E1501" t="str">
        <f t="shared" si="206"/>
        <v>25</v>
      </c>
      <c r="F1501">
        <v>28435</v>
      </c>
      <c r="G1501">
        <v>25720</v>
      </c>
      <c r="H1501">
        <v>837</v>
      </c>
      <c r="I1501" t="str">
        <f t="shared" si="210"/>
        <v>8</v>
      </c>
      <c r="J1501" t="str">
        <f t="shared" si="211"/>
        <v>D-SA</v>
      </c>
      <c r="K1501">
        <v>32</v>
      </c>
      <c r="L1501">
        <v>374</v>
      </c>
      <c r="M1501">
        <v>406</v>
      </c>
      <c r="O1501">
        <v>0</v>
      </c>
      <c r="P1501" t="str">
        <f>("4")</f>
        <v>4</v>
      </c>
      <c r="Q1501" t="str">
        <f>("BOEREN Tjeeda")</f>
        <v>BOEREN Tjeeda</v>
      </c>
      <c r="R1501">
        <v>14</v>
      </c>
      <c r="S1501" t="s">
        <v>44</v>
      </c>
    </row>
    <row r="1502" spans="1:24" x14ac:dyDescent="0.35">
      <c r="A1502" t="s">
        <v>8</v>
      </c>
      <c r="B1502" t="s">
        <v>9</v>
      </c>
      <c r="C1502" t="str">
        <f t="shared" si="209"/>
        <v>11292</v>
      </c>
      <c r="D1502" t="s">
        <v>18</v>
      </c>
      <c r="E1502" t="str">
        <f t="shared" si="206"/>
        <v>25</v>
      </c>
      <c r="F1502">
        <v>28435</v>
      </c>
      <c r="G1502">
        <v>25720</v>
      </c>
      <c r="H1502">
        <v>837</v>
      </c>
      <c r="I1502" t="str">
        <f t="shared" si="210"/>
        <v>8</v>
      </c>
      <c r="J1502" t="str">
        <f t="shared" si="211"/>
        <v>D-SA</v>
      </c>
      <c r="K1502">
        <v>32</v>
      </c>
      <c r="L1502">
        <v>374</v>
      </c>
      <c r="M1502">
        <v>406</v>
      </c>
      <c r="O1502">
        <v>0</v>
      </c>
      <c r="P1502" t="str">
        <f>("5")</f>
        <v>5</v>
      </c>
      <c r="Q1502" t="str">
        <f>("ÇAL Mustafa")</f>
        <v>ÇAL Mustafa</v>
      </c>
      <c r="R1502">
        <v>48</v>
      </c>
      <c r="S1502" t="s">
        <v>44</v>
      </c>
    </row>
    <row r="1503" spans="1:24" x14ac:dyDescent="0.35">
      <c r="A1503" t="s">
        <v>8</v>
      </c>
      <c r="B1503" t="s">
        <v>9</v>
      </c>
      <c r="C1503" t="str">
        <f t="shared" si="209"/>
        <v>11292</v>
      </c>
      <c r="D1503" t="s">
        <v>18</v>
      </c>
      <c r="E1503" t="str">
        <f t="shared" si="206"/>
        <v>25</v>
      </c>
      <c r="F1503">
        <v>28435</v>
      </c>
      <c r="G1503">
        <v>25720</v>
      </c>
      <c r="H1503">
        <v>837</v>
      </c>
      <c r="I1503" t="str">
        <f t="shared" si="210"/>
        <v>8</v>
      </c>
      <c r="J1503" t="str">
        <f t="shared" si="211"/>
        <v>D-SA</v>
      </c>
      <c r="K1503">
        <v>32</v>
      </c>
      <c r="L1503">
        <v>374</v>
      </c>
      <c r="M1503">
        <v>406</v>
      </c>
      <c r="O1503">
        <v>0</v>
      </c>
      <c r="P1503" t="str">
        <f>("6")</f>
        <v>6</v>
      </c>
      <c r="Q1503" t="str">
        <f>("VAN HOEGAERDEN Kathy")</f>
        <v>VAN HOEGAERDEN Kathy</v>
      </c>
      <c r="R1503">
        <v>27</v>
      </c>
      <c r="S1503" t="s">
        <v>44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L U E A A B Q S w M E F A A C A A g A o z t S T d o f x u i o A A A A + Q A A A B I A H A B D b 2 5 m a W c v U G F j a 2 F n Z S 5 4 b W w g o h g A K K A U A A A A A A A A A A A A A A A A A A A A A A A A A A A A h Y / R C o I w G I V f R X b v N i d G y O + E o r u E I I h u x 1 w 6 0 h l u N t + t i x 6 p V 0 g o q 7 s u z + E 7 8 J 3 H 7 Q 7 5 2 D b B V f V W d y Z D E a Y o U E Z 2 p T Z V h g Z 3 C p c o 5 7 A T 8 i w q F U y w s e l o d Y Z q 5 y 4 p I d 5 7 7 G P c 9 R V h l E b k W G z 3 s l a t C L W x T h i p 0 G d V / l 8 h D o e X D G c 4 W e C E s h h H E W V A 5 h 4 K b b 4 M m 5 Q x B f J T w n p o 3 N A r b p p w t Q E y R y D v G / w J U E s D B B Q A A g A I A K M 7 U k 0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j O 1 J N c 8 G t T 6 s B A A C I C g A A E w A c A E Z v c m 1 1 b G F z L 1 N l Y 3 R p b 2 4 x L m 0 g o h g A K K A U A A A A A A A A A A A A A A A A A A A A A A A A A A A A 7 Z R f b 9 o w F M X f k f g O V v o C U o b 8 p 0 D W K g 8 r M K l S h b a B 9 r J O U R r u q K d g V 7 F D o Y j v v k S o a q v p j F V F f S I v i c 9 1 f P O L z 7 G j z G t r 2 G R 3 F + f N R r P h b t O C Z u w k + H 7 1 L Z l k R e m 1 S U a r O 1 v 4 Z H i Z i L 7 g k o v o g z j l / W 4 3 Y D H L y T c b r L o u i m q x m A 3 c s j O 0 W b k g 4 1 u f d U 6 d g T W + G r h W M D i 7 v i H n U z M j U y 9 z / V 9 d O p l b B u 3 w x 5 B y v d C e i j g 4 D 0 I 2 s H m 5 M C 4 W I m Q j k 9 m Z N v O 4 1 + W 8 G n 8 t r a e J X + c U P z 1 2 x t b Q z 3 a 4 + 9 y T Y L q + I z a n e / 3 7 Q c 9 n N c s 0 v a m m T Y v U u F + 2 W O w 6 1 N N c q 6 Y L N 5 t g p 4 m q v 6 9 f 9 7 T y 2 5 A 9 6 h L o C u i n Q O 8 C v Q f 0 P t A j o H 8 E u u C o 8 J J 4 2 2 4 2 t A E / 8 m 8 j X W n n y c E d 7 h 3 E R / u a 7 L G R 5 E c b v b e N n h U Q s k D M A k E L R C 0 Q t k D c A o E L R C 7 5 W 3 I y y k v 3 a U n Z e J w M y a c 6 / 2 I 9 M H T E 1 U F S 8 7 q W e z K k o m O G j h k 6 c I a e F e B e I 3 K J y C U i l 4 h c I n K J y C U i l 4 h c I X K F y B W 0 O S J X i F w h c o X I F S J X L 8 n / f Q r + A V B L A Q I t A B Q A A g A I A K M 7 U k 3 a H 8 b o q A A A A P k A A A A S A A A A A A A A A A A A A A A A A A A A A A B D b 2 5 m a W c v U G F j a 2 F n Z S 5 4 b W x Q S w E C L Q A U A A I A C A C j O 1 J N D 8 r p q 6 Q A A A D p A A A A E w A A A A A A A A A A A A A A A A D 0 A A A A W 0 N v b n R l b n R f V H l w Z X N d L n h t b F B L A Q I t A B Q A A g A I A K M 7 U k 1 z w a 1 P q w E A A I g K A A A T A A A A A A A A A A A A A A A A A O U B A A B G b 3 J t d W x h c y 9 T Z W N 0 a W 9 u M S 5 t U E s F B g A A A A A D A A M A w g A A A N 0 D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m Z M A A A A A A A A R E w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1 Z M U l 9 T Y 3 J 1 d G l u X 0 V 4 c G 9 y d F 9 E S V 8 x N z E w M j A x O C 0 x N D A 3 N T U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x M y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x O C 0 x M C 0 x O F Q w N T o x N z o 0 M i 4 z N T A 5 N z I 1 W i I g L z 4 8 R W 5 0 c n k g V H l w Z T 0 i R m l s b E N v b H V t b l R 5 c G V z I i B W Y W x 1 Z T 0 i c 0 J n W U d C Z 1 l H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s s J n F 1 b 3 Q 7 Q 2 9 s d W 1 u N y Z x d W 9 0 O y w m c X V v d D t D b 2 x 1 b W 4 4 J n F 1 b 3 Q 7 L C Z x d W 9 0 O 0 N v b H V t b j k m c X V v d D s s J n F 1 b 3 Q 7 Q 2 9 s d W 1 u M T A m c X V v d D s s J n F 1 b 3 Q 7 Q 2 9 s d W 1 u M T E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k x S X 1 N j c n V 0 a W 5 f R X h w b 3 J 0 X 0 R J X z E 3 M T A y M D E 4 L T E 0 M D c 1 N S 9 U e X B l I G d l d 2 l q e m l n Z C 5 7 Q 2 9 s d W 1 u M S w w f S Z x d W 9 0 O y w m c X V v d D t T Z W N 0 a W 9 u M S 9 W T F J f U 2 N y d X R p b l 9 F e H B v c n R f R E l f M T c x M D I w M T g t M T Q w N z U 1 L 1 R 5 c G U g Z 2 V 3 a W p 6 a W d k L n t D b 2 x 1 b W 4 y L D F 9 J n F 1 b 3 Q 7 L C Z x d W 9 0 O 1 N l Y 3 R p b 2 4 x L 1 Z M U l 9 T Y 3 J 1 d G l u X 0 V 4 c G 9 y d F 9 E S V 8 x N z E w M j A x O C 0 x N D A 3 N T U v V H l w Z S B n Z X d p a n p p Z 2 Q u e 0 N v b H V t b j M s M n 0 m c X V v d D s s J n F 1 b 3 Q 7 U 2 V j d G l v b j E v V k x S X 1 N j c n V 0 a W 5 f R X h w b 3 J 0 X 0 R J X z E 3 M T A y M D E 4 L T E 0 M D c 1 N S 9 U e X B l I G d l d 2 l q e m l n Z C 5 7 Q 2 9 s d W 1 u N C w z f S Z x d W 9 0 O y w m c X V v d D t T Z W N 0 a W 9 u M S 9 W T F J f U 2 N y d X R p b l 9 F e H B v c n R f R E l f M T c x M D I w M T g t M T Q w N z U 1 L 1 R 5 c G U g Z 2 V 3 a W p 6 a W d k L n t D b 2 x 1 b W 4 1 L D R 9 J n F 1 b 3 Q 7 L C Z x d W 9 0 O 1 N l Y 3 R p b 2 4 x L 1 Z M U l 9 T Y 3 J 1 d G l u X 0 V 4 c G 9 y d F 9 E S V 8 x N z E w M j A x O C 0 x N D A 3 N T U v V H l w Z S B n Z X d p a n p p Z 2 Q u e 0 N v b H V t b j Y s N X 0 m c X V v d D s s J n F 1 b 3 Q 7 U 2 V j d G l v b j E v V k x S X 1 N j c n V 0 a W 5 f R X h w b 3 J 0 X 0 R J X z E 3 M T A y M D E 4 L T E 0 M D c 1 N S 9 U e X B l I G d l d 2 l q e m l n Z C 5 7 Q 2 9 s d W 1 u N y w 2 f S Z x d W 9 0 O y w m c X V v d D t T Z W N 0 a W 9 u M S 9 W T F J f U 2 N y d X R p b l 9 F e H B v c n R f R E l f M T c x M D I w M T g t M T Q w N z U 1 L 1 R 5 c G U g Z 2 V 3 a W p 6 a W d k L n t D b 2 x 1 b W 4 4 L D d 9 J n F 1 b 3 Q 7 L C Z x d W 9 0 O 1 N l Y 3 R p b 2 4 x L 1 Z M U l 9 T Y 3 J 1 d G l u X 0 V 4 c G 9 y d F 9 E S V 8 x N z E w M j A x O C 0 x N D A 3 N T U v V H l w Z S B n Z X d p a n p p Z 2 Q u e 0 N v b H V t b j k s O H 0 m c X V v d D s s J n F 1 b 3 Q 7 U 2 V j d G l v b j E v V k x S X 1 N j c n V 0 a W 5 f R X h w b 3 J 0 X 0 R J X z E 3 M T A y M D E 4 L T E 0 M D c 1 N S 9 U e X B l I G d l d 2 l q e m l n Z C 5 7 Q 2 9 s d W 1 u M T A s O X 0 m c X V v d D s s J n F 1 b 3 Q 7 U 2 V j d G l v b j E v V k x S X 1 N j c n V 0 a W 5 f R X h w b 3 J 0 X 0 R J X z E 3 M T A y M D E 4 L T E 0 M D c 1 N S 9 U e X B l I G d l d 2 l q e m l n Z C 5 7 Q 2 9 s d W 1 u M T E s M T B 9 J n F 1 b 3 Q 7 X S w m c X V v d D t D b 2 x 1 b W 5 D b 3 V u d C Z x d W 9 0 O z o x M S w m c X V v d D t L Z X l D b 2 x 1 b W 5 O Y W 1 l c y Z x d W 9 0 O z p b X S w m c X V v d D t D b 2 x 1 b W 5 J Z G V u d G l 0 a W V z J n F 1 b 3 Q 7 O l s m c X V v d D t T Z W N 0 a W 9 u M S 9 W T F J f U 2 N y d X R p b l 9 F e H B v c n R f R E l f M T c x M D I w M T g t M T Q w N z U 1 L 1 R 5 c G U g Z 2 V 3 a W p 6 a W d k L n t D b 2 x 1 b W 4 x L D B 9 J n F 1 b 3 Q 7 L C Z x d W 9 0 O 1 N l Y 3 R p b 2 4 x L 1 Z M U l 9 T Y 3 J 1 d G l u X 0 V 4 c G 9 y d F 9 E S V 8 x N z E w M j A x O C 0 x N D A 3 N T U v V H l w Z S B n Z X d p a n p p Z 2 Q u e 0 N v b H V t b j I s M X 0 m c X V v d D s s J n F 1 b 3 Q 7 U 2 V j d G l v b j E v V k x S X 1 N j c n V 0 a W 5 f R X h w b 3 J 0 X 0 R J X z E 3 M T A y M D E 4 L T E 0 M D c 1 N S 9 U e X B l I G d l d 2 l q e m l n Z C 5 7 Q 2 9 s d W 1 u M y w y f S Z x d W 9 0 O y w m c X V v d D t T Z W N 0 a W 9 u M S 9 W T F J f U 2 N y d X R p b l 9 F e H B v c n R f R E l f M T c x M D I w M T g t M T Q w N z U 1 L 1 R 5 c G U g Z 2 V 3 a W p 6 a W d k L n t D b 2 x 1 b W 4 0 L D N 9 J n F 1 b 3 Q 7 L C Z x d W 9 0 O 1 N l Y 3 R p b 2 4 x L 1 Z M U l 9 T Y 3 J 1 d G l u X 0 V 4 c G 9 y d F 9 E S V 8 x N z E w M j A x O C 0 x N D A 3 N T U v V H l w Z S B n Z X d p a n p p Z 2 Q u e 0 N v b H V t b j U s N H 0 m c X V v d D s s J n F 1 b 3 Q 7 U 2 V j d G l v b j E v V k x S X 1 N j c n V 0 a W 5 f R X h w b 3 J 0 X 0 R J X z E 3 M T A y M D E 4 L T E 0 M D c 1 N S 9 U e X B l I G d l d 2 l q e m l n Z C 5 7 Q 2 9 s d W 1 u N i w 1 f S Z x d W 9 0 O y w m c X V v d D t T Z W N 0 a W 9 u M S 9 W T F J f U 2 N y d X R p b l 9 F e H B v c n R f R E l f M T c x M D I w M T g t M T Q w N z U 1 L 1 R 5 c G U g Z 2 V 3 a W p 6 a W d k L n t D b 2 x 1 b W 4 3 L D Z 9 J n F 1 b 3 Q 7 L C Z x d W 9 0 O 1 N l Y 3 R p b 2 4 x L 1 Z M U l 9 T Y 3 J 1 d G l u X 0 V 4 c G 9 y d F 9 E S V 8 x N z E w M j A x O C 0 x N D A 3 N T U v V H l w Z S B n Z X d p a n p p Z 2 Q u e 0 N v b H V t b j g s N 3 0 m c X V v d D s s J n F 1 b 3 Q 7 U 2 V j d G l v b j E v V k x S X 1 N j c n V 0 a W 5 f R X h w b 3 J 0 X 0 R J X z E 3 M T A y M D E 4 L T E 0 M D c 1 N S 9 U e X B l I G d l d 2 l q e m l n Z C 5 7 Q 2 9 s d W 1 u O S w 4 f S Z x d W 9 0 O y w m c X V v d D t T Z W N 0 a W 9 u M S 9 W T F J f U 2 N y d X R p b l 9 F e H B v c n R f R E l f M T c x M D I w M T g t M T Q w N z U 1 L 1 R 5 c G U g Z 2 V 3 a W p 6 a W d k L n t D b 2 x 1 b W 4 x M C w 5 f S Z x d W 9 0 O y w m c X V v d D t T Z W N 0 a W 9 u M S 9 W T F J f U 2 N y d X R p b l 9 F e H B v c n R f R E l f M T c x M D I w M T g t M T Q w N z U 1 L 1 R 5 c G U g Z 2 V 3 a W p 6 a W d k L n t D b 2 x 1 b W 4 x M S w x M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Z M U l 9 T Y 3 J 1 d G l u X 0 V 4 c G 9 y d F 9 E S V 8 x N z E w M j A x O C 0 x N D A 3 N T U v Q n J v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Z M U l 9 T Y 3 J 1 d G l u X 0 V 4 c G 9 y d F 9 E S V 8 x N z E w M j A x O C 0 x N D A 3 N T U v V H l w Z S U y M G d l d 2 l q e m l n Z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Z M U l 9 M a X N 0 Z X N f R X h w b 3 J 0 X 0 R J X z E 3 M T A y M D E 4 L T E 0 M D c 1 N j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c 2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E 4 L T E w L T E 4 V D A 1 O j I w O j E z L j c 0 O T c 1 N z F a I i A v P j x F b n R y e S B U e X B l P S J G a W x s Q 2 9 s d W 1 u V H l w Z X M i I F Z h b H V l P S J z Q m d Z R 0 J n W U d C Z 1 l H Q m d Z R 0 J n W U d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L C Z x d W 9 0 O 0 N v b H V t b j g m c X V v d D s s J n F 1 b 3 Q 7 Q 2 9 s d W 1 u O S Z x d W 9 0 O y w m c X V v d D t D b 2 x 1 b W 4 x M C Z x d W 9 0 O y w m c X V v d D t D b 2 x 1 b W 4 x M S Z x d W 9 0 O y w m c X V v d D t D b 2 x 1 b W 4 x M i Z x d W 9 0 O y w m c X V v d D t D b 2 x 1 b W 4 x M y Z x d W 9 0 O y w m c X V v d D t D b 2 x 1 b W 4 x N C Z x d W 9 0 O y w m c X V v d D t D b 2 x 1 b W 4 x N S Z x d W 9 0 O y w m c X V v d D t D b 2 x 1 b W 4 x N i Z x d W 9 0 O y w m c X V v d D t D b 2 x 1 b W 4 x N y Z x d W 9 0 O y w m c X V v d D t D b 2 x 1 b W 4 x O C Z x d W 9 0 O y w m c X V v d D t D b 2 x 1 b W 4 x O S Z x d W 9 0 O y w m c X V v d D t D b 2 x 1 b W 4 y M C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I w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T F J f T G l z d G V z X 0 V 4 c G 9 y d F 9 E S V 8 x N z E w M j A x O C 0 x N D A 3 N T Y v V H l w Z S B n Z X d p a n p p Z 2 Q u e 0 N v b H V t b j E s M H 0 m c X V v d D s s J n F 1 b 3 Q 7 U 2 V j d G l v b j E v V k x S X 0 x p c 3 R l c 1 9 F e H B v c n R f R E l f M T c x M D I w M T g t M T Q w N z U 2 L 1 R 5 c G U g Z 2 V 3 a W p 6 a W d k L n t D b 2 x 1 b W 4 y L D F 9 J n F 1 b 3 Q 7 L C Z x d W 9 0 O 1 N l Y 3 R p b 2 4 x L 1 Z M U l 9 M a X N 0 Z X N f R X h w b 3 J 0 X 0 R J X z E 3 M T A y M D E 4 L T E 0 M D c 1 N i 9 U e X B l I G d l d 2 l q e m l n Z C 5 7 Q 2 9 s d W 1 u M y w y f S Z x d W 9 0 O y w m c X V v d D t T Z W N 0 a W 9 u M S 9 W T F J f T G l z d G V z X 0 V 4 c G 9 y d F 9 E S V 8 x N z E w M j A x O C 0 x N D A 3 N T Y v V H l w Z S B n Z X d p a n p p Z 2 Q u e 0 N v b H V t b j Q s M 3 0 m c X V v d D s s J n F 1 b 3 Q 7 U 2 V j d G l v b j E v V k x S X 0 x p c 3 R l c 1 9 F e H B v c n R f R E l f M T c x M D I w M T g t M T Q w N z U 2 L 1 R 5 c G U g Z 2 V 3 a W p 6 a W d k L n t D b 2 x 1 b W 4 1 L D R 9 J n F 1 b 3 Q 7 L C Z x d W 9 0 O 1 N l Y 3 R p b 2 4 x L 1 Z M U l 9 M a X N 0 Z X N f R X h w b 3 J 0 X 0 R J X z E 3 M T A y M D E 4 L T E 0 M D c 1 N i 9 U e X B l I G d l d 2 l q e m l n Z C 5 7 Q 2 9 s d W 1 u N i w 1 f S Z x d W 9 0 O y w m c X V v d D t T Z W N 0 a W 9 u M S 9 W T F J f T G l z d G V z X 0 V 4 c G 9 y d F 9 E S V 8 x N z E w M j A x O C 0 x N D A 3 N T Y v V H l w Z S B n Z X d p a n p p Z 2 Q u e 0 N v b H V t b j c s N n 0 m c X V v d D s s J n F 1 b 3 Q 7 U 2 V j d G l v b j E v V k x S X 0 x p c 3 R l c 1 9 F e H B v c n R f R E l f M T c x M D I w M T g t M T Q w N z U 2 L 1 R 5 c G U g Z 2 V 3 a W p 6 a W d k L n t D b 2 x 1 b W 4 4 L D d 9 J n F 1 b 3 Q 7 L C Z x d W 9 0 O 1 N l Y 3 R p b 2 4 x L 1 Z M U l 9 M a X N 0 Z X N f R X h w b 3 J 0 X 0 R J X z E 3 M T A y M D E 4 L T E 0 M D c 1 N i 9 U e X B l I G d l d 2 l q e m l n Z C 5 7 Q 2 9 s d W 1 u O S w 4 f S Z x d W 9 0 O y w m c X V v d D t T Z W N 0 a W 9 u M S 9 W T F J f T G l z d G V z X 0 V 4 c G 9 y d F 9 E S V 8 x N z E w M j A x O C 0 x N D A 3 N T Y v V H l w Z S B n Z X d p a n p p Z 2 Q u e 0 N v b H V t b j E w L D l 9 J n F 1 b 3 Q 7 L C Z x d W 9 0 O 1 N l Y 3 R p b 2 4 x L 1 Z M U l 9 M a X N 0 Z X N f R X h w b 3 J 0 X 0 R J X z E 3 M T A y M D E 4 L T E 0 M D c 1 N i 9 U e X B l I G d l d 2 l q e m l n Z C 5 7 Q 2 9 s d W 1 u M T E s M T B 9 J n F 1 b 3 Q 7 L C Z x d W 9 0 O 1 N l Y 3 R p b 2 4 x L 1 Z M U l 9 M a X N 0 Z X N f R X h w b 3 J 0 X 0 R J X z E 3 M T A y M D E 4 L T E 0 M D c 1 N i 9 U e X B l I G d l d 2 l q e m l n Z C 5 7 Q 2 9 s d W 1 u M T I s M T F 9 J n F 1 b 3 Q 7 L C Z x d W 9 0 O 1 N l Y 3 R p b 2 4 x L 1 Z M U l 9 M a X N 0 Z X N f R X h w b 3 J 0 X 0 R J X z E 3 M T A y M D E 4 L T E 0 M D c 1 N i 9 U e X B l I G d l d 2 l q e m l n Z C 5 7 Q 2 9 s d W 1 u M T M s M T J 9 J n F 1 b 3 Q 7 L C Z x d W 9 0 O 1 N l Y 3 R p b 2 4 x L 1 Z M U l 9 M a X N 0 Z X N f R X h w b 3 J 0 X 0 R J X z E 3 M T A y M D E 4 L T E 0 M D c 1 N i 9 U e X B l I G d l d 2 l q e m l n Z C 5 7 Q 2 9 s d W 1 u M T Q s M T N 9 J n F 1 b 3 Q 7 L C Z x d W 9 0 O 1 N l Y 3 R p b 2 4 x L 1 Z M U l 9 M a X N 0 Z X N f R X h w b 3 J 0 X 0 R J X z E 3 M T A y M D E 4 L T E 0 M D c 1 N i 9 U e X B l I G d l d 2 l q e m l n Z C 5 7 Q 2 9 s d W 1 u M T U s M T R 9 J n F 1 b 3 Q 7 L C Z x d W 9 0 O 1 N l Y 3 R p b 2 4 x L 1 Z M U l 9 M a X N 0 Z X N f R X h w b 3 J 0 X 0 R J X z E 3 M T A y M D E 4 L T E 0 M D c 1 N i 9 U e X B l I G d l d 2 l q e m l n Z C 5 7 Q 2 9 s d W 1 u M T Y s M T V 9 J n F 1 b 3 Q 7 L C Z x d W 9 0 O 1 N l Y 3 R p b 2 4 x L 1 Z M U l 9 M a X N 0 Z X N f R X h w b 3 J 0 X 0 R J X z E 3 M T A y M D E 4 L T E 0 M D c 1 N i 9 U e X B l I G d l d 2 l q e m l n Z C 5 7 Q 2 9 s d W 1 u M T c s M T Z 9 J n F 1 b 3 Q 7 L C Z x d W 9 0 O 1 N l Y 3 R p b 2 4 x L 1 Z M U l 9 M a X N 0 Z X N f R X h w b 3 J 0 X 0 R J X z E 3 M T A y M D E 4 L T E 0 M D c 1 N i 9 U e X B l I G d l d 2 l q e m l n Z C 5 7 Q 2 9 s d W 1 u M T g s M T d 9 J n F 1 b 3 Q 7 L C Z x d W 9 0 O 1 N l Y 3 R p b 2 4 x L 1 Z M U l 9 M a X N 0 Z X N f R X h w b 3 J 0 X 0 R J X z E 3 M T A y M D E 4 L T E 0 M D c 1 N i 9 U e X B l I G d l d 2 l q e m l n Z C 5 7 Q 2 9 s d W 1 u M T k s M T h 9 J n F 1 b 3 Q 7 L C Z x d W 9 0 O 1 N l Y 3 R p b 2 4 x L 1 Z M U l 9 M a X N 0 Z X N f R X h w b 3 J 0 X 0 R J X z E 3 M T A y M D E 4 L T E 0 M D c 1 N i 9 U e X B l I G d l d 2 l q e m l n Z C 5 7 Q 2 9 s d W 1 u M j A s M T l 9 J n F 1 b 3 Q 7 X S w m c X V v d D t D b 2 x 1 b W 5 D b 3 V u d C Z x d W 9 0 O z o y M C w m c X V v d D t L Z X l D b 2 x 1 b W 5 O Y W 1 l c y Z x d W 9 0 O z p b X S w m c X V v d D t D b 2 x 1 b W 5 J Z G V u d G l 0 a W V z J n F 1 b 3 Q 7 O l s m c X V v d D t T Z W N 0 a W 9 u M S 9 W T F J f T G l z d G V z X 0 V 4 c G 9 y d F 9 E S V 8 x N z E w M j A x O C 0 x N D A 3 N T Y v V H l w Z S B n Z X d p a n p p Z 2 Q u e 0 N v b H V t b j E s M H 0 m c X V v d D s s J n F 1 b 3 Q 7 U 2 V j d G l v b j E v V k x S X 0 x p c 3 R l c 1 9 F e H B v c n R f R E l f M T c x M D I w M T g t M T Q w N z U 2 L 1 R 5 c G U g Z 2 V 3 a W p 6 a W d k L n t D b 2 x 1 b W 4 y L D F 9 J n F 1 b 3 Q 7 L C Z x d W 9 0 O 1 N l Y 3 R p b 2 4 x L 1 Z M U l 9 M a X N 0 Z X N f R X h w b 3 J 0 X 0 R J X z E 3 M T A y M D E 4 L T E 0 M D c 1 N i 9 U e X B l I G d l d 2 l q e m l n Z C 5 7 Q 2 9 s d W 1 u M y w y f S Z x d W 9 0 O y w m c X V v d D t T Z W N 0 a W 9 u M S 9 W T F J f T G l z d G V z X 0 V 4 c G 9 y d F 9 E S V 8 x N z E w M j A x O C 0 x N D A 3 N T Y v V H l w Z S B n Z X d p a n p p Z 2 Q u e 0 N v b H V t b j Q s M 3 0 m c X V v d D s s J n F 1 b 3 Q 7 U 2 V j d G l v b j E v V k x S X 0 x p c 3 R l c 1 9 F e H B v c n R f R E l f M T c x M D I w M T g t M T Q w N z U 2 L 1 R 5 c G U g Z 2 V 3 a W p 6 a W d k L n t D b 2 x 1 b W 4 1 L D R 9 J n F 1 b 3 Q 7 L C Z x d W 9 0 O 1 N l Y 3 R p b 2 4 x L 1 Z M U l 9 M a X N 0 Z X N f R X h w b 3 J 0 X 0 R J X z E 3 M T A y M D E 4 L T E 0 M D c 1 N i 9 U e X B l I G d l d 2 l q e m l n Z C 5 7 Q 2 9 s d W 1 u N i w 1 f S Z x d W 9 0 O y w m c X V v d D t T Z W N 0 a W 9 u M S 9 W T F J f T G l z d G V z X 0 V 4 c G 9 y d F 9 E S V 8 x N z E w M j A x O C 0 x N D A 3 N T Y v V H l w Z S B n Z X d p a n p p Z 2 Q u e 0 N v b H V t b j c s N n 0 m c X V v d D s s J n F 1 b 3 Q 7 U 2 V j d G l v b j E v V k x S X 0 x p c 3 R l c 1 9 F e H B v c n R f R E l f M T c x M D I w M T g t M T Q w N z U 2 L 1 R 5 c G U g Z 2 V 3 a W p 6 a W d k L n t D b 2 x 1 b W 4 4 L D d 9 J n F 1 b 3 Q 7 L C Z x d W 9 0 O 1 N l Y 3 R p b 2 4 x L 1 Z M U l 9 M a X N 0 Z X N f R X h w b 3 J 0 X 0 R J X z E 3 M T A y M D E 4 L T E 0 M D c 1 N i 9 U e X B l I G d l d 2 l q e m l n Z C 5 7 Q 2 9 s d W 1 u O S w 4 f S Z x d W 9 0 O y w m c X V v d D t T Z W N 0 a W 9 u M S 9 W T F J f T G l z d G V z X 0 V 4 c G 9 y d F 9 E S V 8 x N z E w M j A x O C 0 x N D A 3 N T Y v V H l w Z S B n Z X d p a n p p Z 2 Q u e 0 N v b H V t b j E w L D l 9 J n F 1 b 3 Q 7 L C Z x d W 9 0 O 1 N l Y 3 R p b 2 4 x L 1 Z M U l 9 M a X N 0 Z X N f R X h w b 3 J 0 X 0 R J X z E 3 M T A y M D E 4 L T E 0 M D c 1 N i 9 U e X B l I G d l d 2 l q e m l n Z C 5 7 Q 2 9 s d W 1 u M T E s M T B 9 J n F 1 b 3 Q 7 L C Z x d W 9 0 O 1 N l Y 3 R p b 2 4 x L 1 Z M U l 9 M a X N 0 Z X N f R X h w b 3 J 0 X 0 R J X z E 3 M T A y M D E 4 L T E 0 M D c 1 N i 9 U e X B l I G d l d 2 l q e m l n Z C 5 7 Q 2 9 s d W 1 u M T I s M T F 9 J n F 1 b 3 Q 7 L C Z x d W 9 0 O 1 N l Y 3 R p b 2 4 x L 1 Z M U l 9 M a X N 0 Z X N f R X h w b 3 J 0 X 0 R J X z E 3 M T A y M D E 4 L T E 0 M D c 1 N i 9 U e X B l I G d l d 2 l q e m l n Z C 5 7 Q 2 9 s d W 1 u M T M s M T J 9 J n F 1 b 3 Q 7 L C Z x d W 9 0 O 1 N l Y 3 R p b 2 4 x L 1 Z M U l 9 M a X N 0 Z X N f R X h w b 3 J 0 X 0 R J X z E 3 M T A y M D E 4 L T E 0 M D c 1 N i 9 U e X B l I G d l d 2 l q e m l n Z C 5 7 Q 2 9 s d W 1 u M T Q s M T N 9 J n F 1 b 3 Q 7 L C Z x d W 9 0 O 1 N l Y 3 R p b 2 4 x L 1 Z M U l 9 M a X N 0 Z X N f R X h w b 3 J 0 X 0 R J X z E 3 M T A y M D E 4 L T E 0 M D c 1 N i 9 U e X B l I G d l d 2 l q e m l n Z C 5 7 Q 2 9 s d W 1 u M T U s M T R 9 J n F 1 b 3 Q 7 L C Z x d W 9 0 O 1 N l Y 3 R p b 2 4 x L 1 Z M U l 9 M a X N 0 Z X N f R X h w b 3 J 0 X 0 R J X z E 3 M T A y M D E 4 L T E 0 M D c 1 N i 9 U e X B l I G d l d 2 l q e m l n Z C 5 7 Q 2 9 s d W 1 u M T Y s M T V 9 J n F 1 b 3 Q 7 L C Z x d W 9 0 O 1 N l Y 3 R p b 2 4 x L 1 Z M U l 9 M a X N 0 Z X N f R X h w b 3 J 0 X 0 R J X z E 3 M T A y M D E 4 L T E 0 M D c 1 N i 9 U e X B l I G d l d 2 l q e m l n Z C 5 7 Q 2 9 s d W 1 u M T c s M T Z 9 J n F 1 b 3 Q 7 L C Z x d W 9 0 O 1 N l Y 3 R p b 2 4 x L 1 Z M U l 9 M a X N 0 Z X N f R X h w b 3 J 0 X 0 R J X z E 3 M T A y M D E 4 L T E 0 M D c 1 N i 9 U e X B l I G d l d 2 l q e m l n Z C 5 7 Q 2 9 s d W 1 u M T g s M T d 9 J n F 1 b 3 Q 7 L C Z x d W 9 0 O 1 N l Y 3 R p b 2 4 x L 1 Z M U l 9 M a X N 0 Z X N f R X h w b 3 J 0 X 0 R J X z E 3 M T A y M D E 4 L T E 0 M D c 1 N i 9 U e X B l I G d l d 2 l q e m l n Z C 5 7 Q 2 9 s d W 1 u M T k s M T h 9 J n F 1 b 3 Q 7 L C Z x d W 9 0 O 1 N l Y 3 R p b 2 4 x L 1 Z M U l 9 M a X N 0 Z X N f R X h w b 3 J 0 X 0 R J X z E 3 M T A y M D E 4 L T E 0 M D c 1 N i 9 U e X B l I G d l d 2 l q e m l n Z C 5 7 Q 2 9 s d W 1 u M j A s M T l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W T F J f T G l z d G V z X 0 V 4 c G 9 y d F 9 E S V 8 x N z E w M j A x O C 0 x N D A 3 N T Y v Q n J v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Z M U l 9 M a X N 0 Z X N f R X h w b 3 J 0 X 0 R J X z E 3 M T A y M D E 4 L T E 0 M D c 1 N i 9 U e X B l J T I w Z 2 V 3 a W p 6 a W d k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k x S X 0 V s d X N B d m V j T k 5 f R G V 0 Y W l s U G 9 0 X 0 V 4 c G 9 y d F 9 E S V 8 x N z E w M j A x O C 0 x N D A 4 M D M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x N T A 2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E 4 L T E w L T E 4 V D A 1 O j I 0 O j A 3 L j k z N T Q y M j R a I i A v P j x F b n R y e S B U e X B l P S J G a W x s Q 2 9 s d W 1 u V H l w Z X M i I F Z h b H V l P S J z Q m d Z R 0 J n W U d C Z 1 l H Q m d Z R 0 J n W U d C Z 1 l H Q m d Z R 0 J n W U d C Z 1 l H Q m d Z R 0 J n W U d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L C Z x d W 9 0 O 0 N v b H V t b j g m c X V v d D s s J n F 1 b 3 Q 7 Q 2 9 s d W 1 u O S Z x d W 9 0 O y w m c X V v d D t D b 2 x 1 b W 4 x M C Z x d W 9 0 O y w m c X V v d D t D b 2 x 1 b W 4 x M S Z x d W 9 0 O y w m c X V v d D t D b 2 x 1 b W 4 x M i Z x d W 9 0 O y w m c X V v d D t D b 2 x 1 b W 4 x M y Z x d W 9 0 O y w m c X V v d D t D b 2 x 1 b W 4 x N C Z x d W 9 0 O y w m c X V v d D t D b 2 x 1 b W 4 x N S Z x d W 9 0 O y w m c X V v d D t D b 2 x 1 b W 4 x N i Z x d W 9 0 O y w m c X V v d D t D b 2 x 1 b W 4 x N y Z x d W 9 0 O y w m c X V v d D t D b 2 x 1 b W 4 x O C Z x d W 9 0 O y w m c X V v d D t D b 2 x 1 b W 4 x O S Z x d W 9 0 O y w m c X V v d D t D b 2 x 1 b W 4 y M C Z x d W 9 0 O y w m c X V v d D t D b 2 x 1 b W 4 y M S Z x d W 9 0 O y w m c X V v d D t D b 2 x 1 b W 4 y M i Z x d W 9 0 O y w m c X V v d D t D b 2 x 1 b W 4 y M y Z x d W 9 0 O y w m c X V v d D t D b 2 x 1 b W 4 y N C Z x d W 9 0 O y w m c X V v d D t D b 2 x 1 b W 4 y N S Z x d W 9 0 O y w m c X V v d D t D b 2 x 1 b W 4 y N i Z x d W 9 0 O y w m c X V v d D t D b 2 x 1 b W 4 y N y Z x d W 9 0 O y w m c X V v d D t D b 2 x 1 b W 4 y O C Z x d W 9 0 O y w m c X V v d D t D b 2 x 1 b W 4 y O S Z x d W 9 0 O y w m c X V v d D t D b 2 x 1 b W 4 z M C Z x d W 9 0 O y w m c X V v d D t D b 2 x 1 b W 4 z M S Z x d W 9 0 O y w m c X V v d D t D b 2 x 1 b W 4 z M i Z x d W 9 0 O y w m c X V v d D t D b 2 x 1 b W 4 z M y Z x d W 9 0 O y w m c X V v d D t D b 2 x 1 b W 4 z N C Z x d W 9 0 O y w m c X V v d D t D b 2 x 1 b W 4 z N S Z x d W 9 0 O y w m c X V v d D t D b 2 x 1 b W 4 z N i Z x d W 9 0 O y w m c X V v d D t D b 2 x 1 b W 4 z N y Z x d W 9 0 O y w m c X V v d D t D b 2 x 1 b W 4 z O C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M 4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T F J f R W x 1 c 0 F 2 Z W N O T l 9 E Z X R h a W x Q b 3 R f R X h w b 3 J 0 X 0 R J X z E 3 M T A y M D E 4 L T E 0 M D g w M y 9 U e X B l I G d l d 2 l q e m l n Z C 5 7 Q 2 9 s d W 1 u M S w w f S Z x d W 9 0 O y w m c X V v d D t T Z W N 0 a W 9 u M S 9 W T F J f R W x 1 c 0 F 2 Z W N O T l 9 E Z X R h a W x Q b 3 R f R X h w b 3 J 0 X 0 R J X z E 3 M T A y M D E 4 L T E 0 M D g w M y 9 U e X B l I G d l d 2 l q e m l n Z C 5 7 Q 2 9 s d W 1 u M i w x f S Z x d W 9 0 O y w m c X V v d D t T Z W N 0 a W 9 u M S 9 W T F J f R W x 1 c 0 F 2 Z W N O T l 9 E Z X R h a W x Q b 3 R f R X h w b 3 J 0 X 0 R J X z E 3 M T A y M D E 4 L T E 0 M D g w M y 9 U e X B l I G d l d 2 l q e m l n Z C 5 7 Q 2 9 s d W 1 u M y w y f S Z x d W 9 0 O y w m c X V v d D t T Z W N 0 a W 9 u M S 9 W T F J f R W x 1 c 0 F 2 Z W N O T l 9 E Z X R h a W x Q b 3 R f R X h w b 3 J 0 X 0 R J X z E 3 M T A y M D E 4 L T E 0 M D g w M y 9 U e X B l I G d l d 2 l q e m l n Z C 5 7 Q 2 9 s d W 1 u N C w z f S Z x d W 9 0 O y w m c X V v d D t T Z W N 0 a W 9 u M S 9 W T F J f R W x 1 c 0 F 2 Z W N O T l 9 E Z X R h a W x Q b 3 R f R X h w b 3 J 0 X 0 R J X z E 3 M T A y M D E 4 L T E 0 M D g w M y 9 U e X B l I G d l d 2 l q e m l n Z C 5 7 Q 2 9 s d W 1 u N S w 0 f S Z x d W 9 0 O y w m c X V v d D t T Z W N 0 a W 9 u M S 9 W T F J f R W x 1 c 0 F 2 Z W N O T l 9 E Z X R h a W x Q b 3 R f R X h w b 3 J 0 X 0 R J X z E 3 M T A y M D E 4 L T E 0 M D g w M y 9 U e X B l I G d l d 2 l q e m l n Z C 5 7 Q 2 9 s d W 1 u N i w 1 f S Z x d W 9 0 O y w m c X V v d D t T Z W N 0 a W 9 u M S 9 W T F J f R W x 1 c 0 F 2 Z W N O T l 9 E Z X R h a W x Q b 3 R f R X h w b 3 J 0 X 0 R J X z E 3 M T A y M D E 4 L T E 0 M D g w M y 9 U e X B l I G d l d 2 l q e m l n Z C 5 7 Q 2 9 s d W 1 u N y w 2 f S Z x d W 9 0 O y w m c X V v d D t T Z W N 0 a W 9 u M S 9 W T F J f R W x 1 c 0 F 2 Z W N O T l 9 E Z X R h a W x Q b 3 R f R X h w b 3 J 0 X 0 R J X z E 3 M T A y M D E 4 L T E 0 M D g w M y 9 U e X B l I G d l d 2 l q e m l n Z C 5 7 Q 2 9 s d W 1 u O C w 3 f S Z x d W 9 0 O y w m c X V v d D t T Z W N 0 a W 9 u M S 9 W T F J f R W x 1 c 0 F 2 Z W N O T l 9 E Z X R h a W x Q b 3 R f R X h w b 3 J 0 X 0 R J X z E 3 M T A y M D E 4 L T E 0 M D g w M y 9 U e X B l I G d l d 2 l q e m l n Z C 5 7 Q 2 9 s d W 1 u O S w 4 f S Z x d W 9 0 O y w m c X V v d D t T Z W N 0 a W 9 u M S 9 W T F J f R W x 1 c 0 F 2 Z W N O T l 9 E Z X R h a W x Q b 3 R f R X h w b 3 J 0 X 0 R J X z E 3 M T A y M D E 4 L T E 0 M D g w M y 9 U e X B l I G d l d 2 l q e m l n Z C 5 7 Q 2 9 s d W 1 u M T A s O X 0 m c X V v d D s s J n F 1 b 3 Q 7 U 2 V j d G l v b j E v V k x S X 0 V s d X N B d m V j T k 5 f R G V 0 Y W l s U G 9 0 X 0 V 4 c G 9 y d F 9 E S V 8 x N z E w M j A x O C 0 x N D A 4 M D M v V H l w Z S B n Z X d p a n p p Z 2 Q u e 0 N v b H V t b j E x L D E w f S Z x d W 9 0 O y w m c X V v d D t T Z W N 0 a W 9 u M S 9 W T F J f R W x 1 c 0 F 2 Z W N O T l 9 E Z X R h a W x Q b 3 R f R X h w b 3 J 0 X 0 R J X z E 3 M T A y M D E 4 L T E 0 M D g w M y 9 U e X B l I G d l d 2 l q e m l n Z C 5 7 Q 2 9 s d W 1 u M T I s M T F 9 J n F 1 b 3 Q 7 L C Z x d W 9 0 O 1 N l Y 3 R p b 2 4 x L 1 Z M U l 9 F b H V z Q X Z l Y 0 5 O X 0 R l d G F p b F B v d F 9 F e H B v c n R f R E l f M T c x M D I w M T g t M T Q w O D A z L 1 R 5 c G U g Z 2 V 3 a W p 6 a W d k L n t D b 2 x 1 b W 4 x M y w x M n 0 m c X V v d D s s J n F 1 b 3 Q 7 U 2 V j d G l v b j E v V k x S X 0 V s d X N B d m V j T k 5 f R G V 0 Y W l s U G 9 0 X 0 V 4 c G 9 y d F 9 E S V 8 x N z E w M j A x O C 0 x N D A 4 M D M v V H l w Z S B n Z X d p a n p p Z 2 Q u e 0 N v b H V t b j E 0 L D E z f S Z x d W 9 0 O y w m c X V v d D t T Z W N 0 a W 9 u M S 9 W T F J f R W x 1 c 0 F 2 Z W N O T l 9 E Z X R h a W x Q b 3 R f R X h w b 3 J 0 X 0 R J X z E 3 M T A y M D E 4 L T E 0 M D g w M y 9 U e X B l I G d l d 2 l q e m l n Z C 5 7 Q 2 9 s d W 1 u M T U s M T R 9 J n F 1 b 3 Q 7 L C Z x d W 9 0 O 1 N l Y 3 R p b 2 4 x L 1 Z M U l 9 F b H V z Q X Z l Y 0 5 O X 0 R l d G F p b F B v d F 9 F e H B v c n R f R E l f M T c x M D I w M T g t M T Q w O D A z L 1 R 5 c G U g Z 2 V 3 a W p 6 a W d k L n t D b 2 x 1 b W 4 x N i w x N X 0 m c X V v d D s s J n F 1 b 3 Q 7 U 2 V j d G l v b j E v V k x S X 0 V s d X N B d m V j T k 5 f R G V 0 Y W l s U G 9 0 X 0 V 4 c G 9 y d F 9 E S V 8 x N z E w M j A x O C 0 x N D A 4 M D M v V H l w Z S B n Z X d p a n p p Z 2 Q u e 0 N v b H V t b j E 3 L D E 2 f S Z x d W 9 0 O y w m c X V v d D t T Z W N 0 a W 9 u M S 9 W T F J f R W x 1 c 0 F 2 Z W N O T l 9 E Z X R h a W x Q b 3 R f R X h w b 3 J 0 X 0 R J X z E 3 M T A y M D E 4 L T E 0 M D g w M y 9 U e X B l I G d l d 2 l q e m l n Z C 5 7 Q 2 9 s d W 1 u M T g s M T d 9 J n F 1 b 3 Q 7 L C Z x d W 9 0 O 1 N l Y 3 R p b 2 4 x L 1 Z M U l 9 F b H V z Q X Z l Y 0 5 O X 0 R l d G F p b F B v d F 9 F e H B v c n R f R E l f M T c x M D I w M T g t M T Q w O D A z L 1 R 5 c G U g Z 2 V 3 a W p 6 a W d k L n t D b 2 x 1 b W 4 x O S w x O H 0 m c X V v d D s s J n F 1 b 3 Q 7 U 2 V j d G l v b j E v V k x S X 0 V s d X N B d m V j T k 5 f R G V 0 Y W l s U G 9 0 X 0 V 4 c G 9 y d F 9 E S V 8 x N z E w M j A x O C 0 x N D A 4 M D M v V H l w Z S B n Z X d p a n p p Z 2 Q u e 0 N v b H V t b j I w L D E 5 f S Z x d W 9 0 O y w m c X V v d D t T Z W N 0 a W 9 u M S 9 W T F J f R W x 1 c 0 F 2 Z W N O T l 9 E Z X R h a W x Q b 3 R f R X h w b 3 J 0 X 0 R J X z E 3 M T A y M D E 4 L T E 0 M D g w M y 9 U e X B l I G d l d 2 l q e m l n Z C 5 7 Q 2 9 s d W 1 u M j E s M j B 9 J n F 1 b 3 Q 7 L C Z x d W 9 0 O 1 N l Y 3 R p b 2 4 x L 1 Z M U l 9 F b H V z Q X Z l Y 0 5 O X 0 R l d G F p b F B v d F 9 F e H B v c n R f R E l f M T c x M D I w M T g t M T Q w O D A z L 1 R 5 c G U g Z 2 V 3 a W p 6 a W d k L n t D b 2 x 1 b W 4 y M i w y M X 0 m c X V v d D s s J n F 1 b 3 Q 7 U 2 V j d G l v b j E v V k x S X 0 V s d X N B d m V j T k 5 f R G V 0 Y W l s U G 9 0 X 0 V 4 c G 9 y d F 9 E S V 8 x N z E w M j A x O C 0 x N D A 4 M D M v V H l w Z S B n Z X d p a n p p Z 2 Q u e 0 N v b H V t b j I z L D I y f S Z x d W 9 0 O y w m c X V v d D t T Z W N 0 a W 9 u M S 9 W T F J f R W x 1 c 0 F 2 Z W N O T l 9 E Z X R h a W x Q b 3 R f R X h w b 3 J 0 X 0 R J X z E 3 M T A y M D E 4 L T E 0 M D g w M y 9 U e X B l I G d l d 2 l q e m l n Z C 5 7 Q 2 9 s d W 1 u M j Q s M j N 9 J n F 1 b 3 Q 7 L C Z x d W 9 0 O 1 N l Y 3 R p b 2 4 x L 1 Z M U l 9 F b H V z Q X Z l Y 0 5 O X 0 R l d G F p b F B v d F 9 F e H B v c n R f R E l f M T c x M D I w M T g t M T Q w O D A z L 1 R 5 c G U g Z 2 V 3 a W p 6 a W d k L n t D b 2 x 1 b W 4 y N S w y N H 0 m c X V v d D s s J n F 1 b 3 Q 7 U 2 V j d G l v b j E v V k x S X 0 V s d X N B d m V j T k 5 f R G V 0 Y W l s U G 9 0 X 0 V 4 c G 9 y d F 9 E S V 8 x N z E w M j A x O C 0 x N D A 4 M D M v V H l w Z S B n Z X d p a n p p Z 2 Q u e 0 N v b H V t b j I 2 L D I 1 f S Z x d W 9 0 O y w m c X V v d D t T Z W N 0 a W 9 u M S 9 W T F J f R W x 1 c 0 F 2 Z W N O T l 9 E Z X R h a W x Q b 3 R f R X h w b 3 J 0 X 0 R J X z E 3 M T A y M D E 4 L T E 0 M D g w M y 9 U e X B l I G d l d 2 l q e m l n Z C 5 7 Q 2 9 s d W 1 u M j c s M j Z 9 J n F 1 b 3 Q 7 L C Z x d W 9 0 O 1 N l Y 3 R p b 2 4 x L 1 Z M U l 9 F b H V z Q X Z l Y 0 5 O X 0 R l d G F p b F B v d F 9 F e H B v c n R f R E l f M T c x M D I w M T g t M T Q w O D A z L 1 R 5 c G U g Z 2 V 3 a W p 6 a W d k L n t D b 2 x 1 b W 4 y O C w y N 3 0 m c X V v d D s s J n F 1 b 3 Q 7 U 2 V j d G l v b j E v V k x S X 0 V s d X N B d m V j T k 5 f R G V 0 Y W l s U G 9 0 X 0 V 4 c G 9 y d F 9 E S V 8 x N z E w M j A x O C 0 x N D A 4 M D M v V H l w Z S B n Z X d p a n p p Z 2 Q u e 0 N v b H V t b j I 5 L D I 4 f S Z x d W 9 0 O y w m c X V v d D t T Z W N 0 a W 9 u M S 9 W T F J f R W x 1 c 0 F 2 Z W N O T l 9 E Z X R h a W x Q b 3 R f R X h w b 3 J 0 X 0 R J X z E 3 M T A y M D E 4 L T E 0 M D g w M y 9 U e X B l I G d l d 2 l q e m l n Z C 5 7 Q 2 9 s d W 1 u M z A s M j l 9 J n F 1 b 3 Q 7 L C Z x d W 9 0 O 1 N l Y 3 R p b 2 4 x L 1 Z M U l 9 F b H V z Q X Z l Y 0 5 O X 0 R l d G F p b F B v d F 9 F e H B v c n R f R E l f M T c x M D I w M T g t M T Q w O D A z L 1 R 5 c G U g Z 2 V 3 a W p 6 a W d k L n t D b 2 x 1 b W 4 z M S w z M H 0 m c X V v d D s s J n F 1 b 3 Q 7 U 2 V j d G l v b j E v V k x S X 0 V s d X N B d m V j T k 5 f R G V 0 Y W l s U G 9 0 X 0 V 4 c G 9 y d F 9 E S V 8 x N z E w M j A x O C 0 x N D A 4 M D M v V H l w Z S B n Z X d p a n p p Z 2 Q u e 0 N v b H V t b j M y L D M x f S Z x d W 9 0 O y w m c X V v d D t T Z W N 0 a W 9 u M S 9 W T F J f R W x 1 c 0 F 2 Z W N O T l 9 E Z X R h a W x Q b 3 R f R X h w b 3 J 0 X 0 R J X z E 3 M T A y M D E 4 L T E 0 M D g w M y 9 U e X B l I G d l d 2 l q e m l n Z C 5 7 Q 2 9 s d W 1 u M z M s M z J 9 J n F 1 b 3 Q 7 L C Z x d W 9 0 O 1 N l Y 3 R p b 2 4 x L 1 Z M U l 9 F b H V z Q X Z l Y 0 5 O X 0 R l d G F p b F B v d F 9 F e H B v c n R f R E l f M T c x M D I w M T g t M T Q w O D A z L 1 R 5 c G U g Z 2 V 3 a W p 6 a W d k L n t D b 2 x 1 b W 4 z N C w z M 3 0 m c X V v d D s s J n F 1 b 3 Q 7 U 2 V j d G l v b j E v V k x S X 0 V s d X N B d m V j T k 5 f R G V 0 Y W l s U G 9 0 X 0 V 4 c G 9 y d F 9 E S V 8 x N z E w M j A x O C 0 x N D A 4 M D M v V H l w Z S B n Z X d p a n p p Z 2 Q u e 0 N v b H V t b j M 1 L D M 0 f S Z x d W 9 0 O y w m c X V v d D t T Z W N 0 a W 9 u M S 9 W T F J f R W x 1 c 0 F 2 Z W N O T l 9 E Z X R h a W x Q b 3 R f R X h w b 3 J 0 X 0 R J X z E 3 M T A y M D E 4 L T E 0 M D g w M y 9 U e X B l I G d l d 2 l q e m l n Z C 5 7 Q 2 9 s d W 1 u M z Y s M z V 9 J n F 1 b 3 Q 7 L C Z x d W 9 0 O 1 N l Y 3 R p b 2 4 x L 1 Z M U l 9 F b H V z Q X Z l Y 0 5 O X 0 R l d G F p b F B v d F 9 F e H B v c n R f R E l f M T c x M D I w M T g t M T Q w O D A z L 1 R 5 c G U g Z 2 V 3 a W p 6 a W d k L n t D b 2 x 1 b W 4 z N y w z N n 0 m c X V v d D s s J n F 1 b 3 Q 7 U 2 V j d G l v b j E v V k x S X 0 V s d X N B d m V j T k 5 f R G V 0 Y W l s U G 9 0 X 0 V 4 c G 9 y d F 9 E S V 8 x N z E w M j A x O C 0 x N D A 4 M D M v V H l w Z S B n Z X d p a n p p Z 2 Q u e 0 N v b H V t b j M 4 L D M 3 f S Z x d W 9 0 O 1 0 s J n F 1 b 3 Q 7 Q 2 9 s d W 1 u Q 2 9 1 b n Q m c X V v d D s 6 M z g s J n F 1 b 3 Q 7 S 2 V 5 Q 2 9 s d W 1 u T m F t Z X M m c X V v d D s 6 W 1 0 s J n F 1 b 3 Q 7 Q 2 9 s d W 1 u S W R l b n R p d G l l c y Z x d W 9 0 O z p b J n F 1 b 3 Q 7 U 2 V j d G l v b j E v V k x S X 0 V s d X N B d m V j T k 5 f R G V 0 Y W l s U G 9 0 X 0 V 4 c G 9 y d F 9 E S V 8 x N z E w M j A x O C 0 x N D A 4 M D M v V H l w Z S B n Z X d p a n p p Z 2 Q u e 0 N v b H V t b j E s M H 0 m c X V v d D s s J n F 1 b 3 Q 7 U 2 V j d G l v b j E v V k x S X 0 V s d X N B d m V j T k 5 f R G V 0 Y W l s U G 9 0 X 0 V 4 c G 9 y d F 9 E S V 8 x N z E w M j A x O C 0 x N D A 4 M D M v V H l w Z S B n Z X d p a n p p Z 2 Q u e 0 N v b H V t b j I s M X 0 m c X V v d D s s J n F 1 b 3 Q 7 U 2 V j d G l v b j E v V k x S X 0 V s d X N B d m V j T k 5 f R G V 0 Y W l s U G 9 0 X 0 V 4 c G 9 y d F 9 E S V 8 x N z E w M j A x O C 0 x N D A 4 M D M v V H l w Z S B n Z X d p a n p p Z 2 Q u e 0 N v b H V t b j M s M n 0 m c X V v d D s s J n F 1 b 3 Q 7 U 2 V j d G l v b j E v V k x S X 0 V s d X N B d m V j T k 5 f R G V 0 Y W l s U G 9 0 X 0 V 4 c G 9 y d F 9 E S V 8 x N z E w M j A x O C 0 x N D A 4 M D M v V H l w Z S B n Z X d p a n p p Z 2 Q u e 0 N v b H V t b j Q s M 3 0 m c X V v d D s s J n F 1 b 3 Q 7 U 2 V j d G l v b j E v V k x S X 0 V s d X N B d m V j T k 5 f R G V 0 Y W l s U G 9 0 X 0 V 4 c G 9 y d F 9 E S V 8 x N z E w M j A x O C 0 x N D A 4 M D M v V H l w Z S B n Z X d p a n p p Z 2 Q u e 0 N v b H V t b j U s N H 0 m c X V v d D s s J n F 1 b 3 Q 7 U 2 V j d G l v b j E v V k x S X 0 V s d X N B d m V j T k 5 f R G V 0 Y W l s U G 9 0 X 0 V 4 c G 9 y d F 9 E S V 8 x N z E w M j A x O C 0 x N D A 4 M D M v V H l w Z S B n Z X d p a n p p Z 2 Q u e 0 N v b H V t b j Y s N X 0 m c X V v d D s s J n F 1 b 3 Q 7 U 2 V j d G l v b j E v V k x S X 0 V s d X N B d m V j T k 5 f R G V 0 Y W l s U G 9 0 X 0 V 4 c G 9 y d F 9 E S V 8 x N z E w M j A x O C 0 x N D A 4 M D M v V H l w Z S B n Z X d p a n p p Z 2 Q u e 0 N v b H V t b j c s N n 0 m c X V v d D s s J n F 1 b 3 Q 7 U 2 V j d G l v b j E v V k x S X 0 V s d X N B d m V j T k 5 f R G V 0 Y W l s U G 9 0 X 0 V 4 c G 9 y d F 9 E S V 8 x N z E w M j A x O C 0 x N D A 4 M D M v V H l w Z S B n Z X d p a n p p Z 2 Q u e 0 N v b H V t b j g s N 3 0 m c X V v d D s s J n F 1 b 3 Q 7 U 2 V j d G l v b j E v V k x S X 0 V s d X N B d m V j T k 5 f R G V 0 Y W l s U G 9 0 X 0 V 4 c G 9 y d F 9 E S V 8 x N z E w M j A x O C 0 x N D A 4 M D M v V H l w Z S B n Z X d p a n p p Z 2 Q u e 0 N v b H V t b j k s O H 0 m c X V v d D s s J n F 1 b 3 Q 7 U 2 V j d G l v b j E v V k x S X 0 V s d X N B d m V j T k 5 f R G V 0 Y W l s U G 9 0 X 0 V 4 c G 9 y d F 9 E S V 8 x N z E w M j A x O C 0 x N D A 4 M D M v V H l w Z S B n Z X d p a n p p Z 2 Q u e 0 N v b H V t b j E w L D l 9 J n F 1 b 3 Q 7 L C Z x d W 9 0 O 1 N l Y 3 R p b 2 4 x L 1 Z M U l 9 F b H V z Q X Z l Y 0 5 O X 0 R l d G F p b F B v d F 9 F e H B v c n R f R E l f M T c x M D I w M T g t M T Q w O D A z L 1 R 5 c G U g Z 2 V 3 a W p 6 a W d k L n t D b 2 x 1 b W 4 x M S w x M H 0 m c X V v d D s s J n F 1 b 3 Q 7 U 2 V j d G l v b j E v V k x S X 0 V s d X N B d m V j T k 5 f R G V 0 Y W l s U G 9 0 X 0 V 4 c G 9 y d F 9 E S V 8 x N z E w M j A x O C 0 x N D A 4 M D M v V H l w Z S B n Z X d p a n p p Z 2 Q u e 0 N v b H V t b j E y L D E x f S Z x d W 9 0 O y w m c X V v d D t T Z W N 0 a W 9 u M S 9 W T F J f R W x 1 c 0 F 2 Z W N O T l 9 E Z X R h a W x Q b 3 R f R X h w b 3 J 0 X 0 R J X z E 3 M T A y M D E 4 L T E 0 M D g w M y 9 U e X B l I G d l d 2 l q e m l n Z C 5 7 Q 2 9 s d W 1 u M T M s M T J 9 J n F 1 b 3 Q 7 L C Z x d W 9 0 O 1 N l Y 3 R p b 2 4 x L 1 Z M U l 9 F b H V z Q X Z l Y 0 5 O X 0 R l d G F p b F B v d F 9 F e H B v c n R f R E l f M T c x M D I w M T g t M T Q w O D A z L 1 R 5 c G U g Z 2 V 3 a W p 6 a W d k L n t D b 2 x 1 b W 4 x N C w x M 3 0 m c X V v d D s s J n F 1 b 3 Q 7 U 2 V j d G l v b j E v V k x S X 0 V s d X N B d m V j T k 5 f R G V 0 Y W l s U G 9 0 X 0 V 4 c G 9 y d F 9 E S V 8 x N z E w M j A x O C 0 x N D A 4 M D M v V H l w Z S B n Z X d p a n p p Z 2 Q u e 0 N v b H V t b j E 1 L D E 0 f S Z x d W 9 0 O y w m c X V v d D t T Z W N 0 a W 9 u M S 9 W T F J f R W x 1 c 0 F 2 Z W N O T l 9 E Z X R h a W x Q b 3 R f R X h w b 3 J 0 X 0 R J X z E 3 M T A y M D E 4 L T E 0 M D g w M y 9 U e X B l I G d l d 2 l q e m l n Z C 5 7 Q 2 9 s d W 1 u M T Y s M T V 9 J n F 1 b 3 Q 7 L C Z x d W 9 0 O 1 N l Y 3 R p b 2 4 x L 1 Z M U l 9 F b H V z Q X Z l Y 0 5 O X 0 R l d G F p b F B v d F 9 F e H B v c n R f R E l f M T c x M D I w M T g t M T Q w O D A z L 1 R 5 c G U g Z 2 V 3 a W p 6 a W d k L n t D b 2 x 1 b W 4 x N y w x N n 0 m c X V v d D s s J n F 1 b 3 Q 7 U 2 V j d G l v b j E v V k x S X 0 V s d X N B d m V j T k 5 f R G V 0 Y W l s U G 9 0 X 0 V 4 c G 9 y d F 9 E S V 8 x N z E w M j A x O C 0 x N D A 4 M D M v V H l w Z S B n Z X d p a n p p Z 2 Q u e 0 N v b H V t b j E 4 L D E 3 f S Z x d W 9 0 O y w m c X V v d D t T Z W N 0 a W 9 u M S 9 W T F J f R W x 1 c 0 F 2 Z W N O T l 9 E Z X R h a W x Q b 3 R f R X h w b 3 J 0 X 0 R J X z E 3 M T A y M D E 4 L T E 0 M D g w M y 9 U e X B l I G d l d 2 l q e m l n Z C 5 7 Q 2 9 s d W 1 u M T k s M T h 9 J n F 1 b 3 Q 7 L C Z x d W 9 0 O 1 N l Y 3 R p b 2 4 x L 1 Z M U l 9 F b H V z Q X Z l Y 0 5 O X 0 R l d G F p b F B v d F 9 F e H B v c n R f R E l f M T c x M D I w M T g t M T Q w O D A z L 1 R 5 c G U g Z 2 V 3 a W p 6 a W d k L n t D b 2 x 1 b W 4 y M C w x O X 0 m c X V v d D s s J n F 1 b 3 Q 7 U 2 V j d G l v b j E v V k x S X 0 V s d X N B d m V j T k 5 f R G V 0 Y W l s U G 9 0 X 0 V 4 c G 9 y d F 9 E S V 8 x N z E w M j A x O C 0 x N D A 4 M D M v V H l w Z S B n Z X d p a n p p Z 2 Q u e 0 N v b H V t b j I x L D I w f S Z x d W 9 0 O y w m c X V v d D t T Z W N 0 a W 9 u M S 9 W T F J f R W x 1 c 0 F 2 Z W N O T l 9 E Z X R h a W x Q b 3 R f R X h w b 3 J 0 X 0 R J X z E 3 M T A y M D E 4 L T E 0 M D g w M y 9 U e X B l I G d l d 2 l q e m l n Z C 5 7 Q 2 9 s d W 1 u M j I s M j F 9 J n F 1 b 3 Q 7 L C Z x d W 9 0 O 1 N l Y 3 R p b 2 4 x L 1 Z M U l 9 F b H V z Q X Z l Y 0 5 O X 0 R l d G F p b F B v d F 9 F e H B v c n R f R E l f M T c x M D I w M T g t M T Q w O D A z L 1 R 5 c G U g Z 2 V 3 a W p 6 a W d k L n t D b 2 x 1 b W 4 y M y w y M n 0 m c X V v d D s s J n F 1 b 3 Q 7 U 2 V j d G l v b j E v V k x S X 0 V s d X N B d m V j T k 5 f R G V 0 Y W l s U G 9 0 X 0 V 4 c G 9 y d F 9 E S V 8 x N z E w M j A x O C 0 x N D A 4 M D M v V H l w Z S B n Z X d p a n p p Z 2 Q u e 0 N v b H V t b j I 0 L D I z f S Z x d W 9 0 O y w m c X V v d D t T Z W N 0 a W 9 u M S 9 W T F J f R W x 1 c 0 F 2 Z W N O T l 9 E Z X R h a W x Q b 3 R f R X h w b 3 J 0 X 0 R J X z E 3 M T A y M D E 4 L T E 0 M D g w M y 9 U e X B l I G d l d 2 l q e m l n Z C 5 7 Q 2 9 s d W 1 u M j U s M j R 9 J n F 1 b 3 Q 7 L C Z x d W 9 0 O 1 N l Y 3 R p b 2 4 x L 1 Z M U l 9 F b H V z Q X Z l Y 0 5 O X 0 R l d G F p b F B v d F 9 F e H B v c n R f R E l f M T c x M D I w M T g t M T Q w O D A z L 1 R 5 c G U g Z 2 V 3 a W p 6 a W d k L n t D b 2 x 1 b W 4 y N i w y N X 0 m c X V v d D s s J n F 1 b 3 Q 7 U 2 V j d G l v b j E v V k x S X 0 V s d X N B d m V j T k 5 f R G V 0 Y W l s U G 9 0 X 0 V 4 c G 9 y d F 9 E S V 8 x N z E w M j A x O C 0 x N D A 4 M D M v V H l w Z S B n Z X d p a n p p Z 2 Q u e 0 N v b H V t b j I 3 L D I 2 f S Z x d W 9 0 O y w m c X V v d D t T Z W N 0 a W 9 u M S 9 W T F J f R W x 1 c 0 F 2 Z W N O T l 9 E Z X R h a W x Q b 3 R f R X h w b 3 J 0 X 0 R J X z E 3 M T A y M D E 4 L T E 0 M D g w M y 9 U e X B l I G d l d 2 l q e m l n Z C 5 7 Q 2 9 s d W 1 u M j g s M j d 9 J n F 1 b 3 Q 7 L C Z x d W 9 0 O 1 N l Y 3 R p b 2 4 x L 1 Z M U l 9 F b H V z Q X Z l Y 0 5 O X 0 R l d G F p b F B v d F 9 F e H B v c n R f R E l f M T c x M D I w M T g t M T Q w O D A z L 1 R 5 c G U g Z 2 V 3 a W p 6 a W d k L n t D b 2 x 1 b W 4 y O S w y O H 0 m c X V v d D s s J n F 1 b 3 Q 7 U 2 V j d G l v b j E v V k x S X 0 V s d X N B d m V j T k 5 f R G V 0 Y W l s U G 9 0 X 0 V 4 c G 9 y d F 9 E S V 8 x N z E w M j A x O C 0 x N D A 4 M D M v V H l w Z S B n Z X d p a n p p Z 2 Q u e 0 N v b H V t b j M w L D I 5 f S Z x d W 9 0 O y w m c X V v d D t T Z W N 0 a W 9 u M S 9 W T F J f R W x 1 c 0 F 2 Z W N O T l 9 E Z X R h a W x Q b 3 R f R X h w b 3 J 0 X 0 R J X z E 3 M T A y M D E 4 L T E 0 M D g w M y 9 U e X B l I G d l d 2 l q e m l n Z C 5 7 Q 2 9 s d W 1 u M z E s M z B 9 J n F 1 b 3 Q 7 L C Z x d W 9 0 O 1 N l Y 3 R p b 2 4 x L 1 Z M U l 9 F b H V z Q X Z l Y 0 5 O X 0 R l d G F p b F B v d F 9 F e H B v c n R f R E l f M T c x M D I w M T g t M T Q w O D A z L 1 R 5 c G U g Z 2 V 3 a W p 6 a W d k L n t D b 2 x 1 b W 4 z M i w z M X 0 m c X V v d D s s J n F 1 b 3 Q 7 U 2 V j d G l v b j E v V k x S X 0 V s d X N B d m V j T k 5 f R G V 0 Y W l s U G 9 0 X 0 V 4 c G 9 y d F 9 E S V 8 x N z E w M j A x O C 0 x N D A 4 M D M v V H l w Z S B n Z X d p a n p p Z 2 Q u e 0 N v b H V t b j M z L D M y f S Z x d W 9 0 O y w m c X V v d D t T Z W N 0 a W 9 u M S 9 W T F J f R W x 1 c 0 F 2 Z W N O T l 9 E Z X R h a W x Q b 3 R f R X h w b 3 J 0 X 0 R J X z E 3 M T A y M D E 4 L T E 0 M D g w M y 9 U e X B l I G d l d 2 l q e m l n Z C 5 7 Q 2 9 s d W 1 u M z Q s M z N 9 J n F 1 b 3 Q 7 L C Z x d W 9 0 O 1 N l Y 3 R p b 2 4 x L 1 Z M U l 9 F b H V z Q X Z l Y 0 5 O X 0 R l d G F p b F B v d F 9 F e H B v c n R f R E l f M T c x M D I w M T g t M T Q w O D A z L 1 R 5 c G U g Z 2 V 3 a W p 6 a W d k L n t D b 2 x 1 b W 4 z N S w z N H 0 m c X V v d D s s J n F 1 b 3 Q 7 U 2 V j d G l v b j E v V k x S X 0 V s d X N B d m V j T k 5 f R G V 0 Y W l s U G 9 0 X 0 V 4 c G 9 y d F 9 E S V 8 x N z E w M j A x O C 0 x N D A 4 M D M v V H l w Z S B n Z X d p a n p p Z 2 Q u e 0 N v b H V t b j M 2 L D M 1 f S Z x d W 9 0 O y w m c X V v d D t T Z W N 0 a W 9 u M S 9 W T F J f R W x 1 c 0 F 2 Z W N O T l 9 E Z X R h a W x Q b 3 R f R X h w b 3 J 0 X 0 R J X z E 3 M T A y M D E 4 L T E 0 M D g w M y 9 U e X B l I G d l d 2 l q e m l n Z C 5 7 Q 2 9 s d W 1 u M z c s M z Z 9 J n F 1 b 3 Q 7 L C Z x d W 9 0 O 1 N l Y 3 R p b 2 4 x L 1 Z M U l 9 F b H V z Q X Z l Y 0 5 O X 0 R l d G F p b F B v d F 9 F e H B v c n R f R E l f M T c x M D I w M T g t M T Q w O D A z L 1 R 5 c G U g Z 2 V 3 a W p 6 a W d k L n t D b 2 x 1 b W 4 z O C w z N 3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Z M U l 9 F b H V z Q X Z l Y 0 5 O X 0 R l d G F p b F B v d F 9 F e H B v c n R f R E l f M T c x M D I w M T g t M T Q w O D A z L 0 J y b 2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T F J f R W x 1 c 0 F 2 Z W N O T l 9 E Z X R h a W x Q b 3 R f R X h w b 3 J 0 X 0 R J X z E 3 M T A y M D E 4 L T E 0 M D g w M y 9 U e X B l J T I w Z 2 V 3 a W p 6 a W d k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L 4 + M h R Y q 6 B B u Y x N X w 3 V j T Q A A A A A A g A A A A A A A 2 Y A A M A A A A A Q A A A A 3 b o L 5 g D k C X S w O L r J A x t z c Q A A A A A E g A A A o A A A A B A A A A B v 9 S i L m E h I 6 1 S c L l Z J z c 4 4 U A A A A M K C w G 6 y 1 Y e t K n e q A M 3 J M w / y z q 3 / J l S A L J b s w B X H 7 4 B y G L y x K j j p G n m 3 1 X O 6 M r 2 A G s 2 T + c Z H S B 5 o b u N + m U p 2 t s K 8 P t V A J k T L e D F F 9 e Q + n n M Q F A A A A K I s N P j g V B r z L f B H e 5 s A K 2 f G z G r D < / D a t a M a s h u p > 
</file>

<file path=customXml/itemProps1.xml><?xml version="1.0" encoding="utf-8"?>
<ds:datastoreItem xmlns:ds="http://schemas.openxmlformats.org/officeDocument/2006/customXml" ds:itemID="{55560238-036A-4A00-AA27-9ACAC27695C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algemeen</vt:lpstr>
      <vt:lpstr>lijsten</vt:lpstr>
      <vt:lpstr>kandidaten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Doesselaere, Tom</dc:creator>
  <cp:lastModifiedBy>Doesselaere, Tom</cp:lastModifiedBy>
  <dcterms:created xsi:type="dcterms:W3CDTF">2018-10-18T05:16:11Z</dcterms:created>
  <dcterms:modified xsi:type="dcterms:W3CDTF">2018-11-13T13:31:24Z</dcterms:modified>
</cp:coreProperties>
</file>