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vlaamseoverheid-my.sharepoint.com/personal/elke_vanhoefs_vlaanderen_be/Documents/Documenten/Hub Lokaal Woonbeleid - Huurprijs Lokale besturen/2024/"/>
    </mc:Choice>
  </mc:AlternateContent>
  <xr:revisionPtr revIDLastSave="0" documentId="8_{70D6C172-A71E-4A9C-945F-176CCC8A9B88}" xr6:coauthVersionLast="47" xr6:coauthVersionMax="47" xr10:uidLastSave="{00000000-0000-0000-0000-000000000000}"/>
  <bookViews>
    <workbookView xWindow="-120" yWindow="-120" windowWidth="29040" windowHeight="15840" xr2:uid="{00000000-000D-0000-FFFF-FFFF00000000}"/>
  </bookViews>
  <sheets>
    <sheet name="berekening huurprijs nieuw" sheetId="11" r:id="rId1"/>
    <sheet name="berekening huurprijs lopend" sheetId="8" r:id="rId2"/>
    <sheet name="berekeningsblad index" sheetId="10" r:id="rId3"/>
    <sheet name="verklarende woordenlijst"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1" l="1"/>
  <c r="B23" i="11"/>
  <c r="B21" i="8"/>
  <c r="B19" i="8"/>
  <c r="B16" i="8"/>
  <c r="B20" i="11" l="1"/>
  <c r="B18" i="11"/>
  <c r="B17" i="11"/>
  <c r="I6" i="11" l="1"/>
  <c r="I5" i="11"/>
  <c r="I4" i="11"/>
  <c r="H20" i="11"/>
  <c r="H21" i="11"/>
  <c r="H22" i="11"/>
  <c r="H23" i="11"/>
  <c r="H19" i="11"/>
  <c r="K22" i="11"/>
  <c r="K23" i="11"/>
  <c r="I11" i="11"/>
  <c r="I12" i="11"/>
  <c r="I13" i="11"/>
  <c r="I14" i="11"/>
  <c r="I10" i="11"/>
  <c r="I11" i="8"/>
  <c r="I12" i="8"/>
  <c r="I13" i="8"/>
  <c r="I14" i="8"/>
  <c r="I10" i="8"/>
  <c r="K20" i="8"/>
  <c r="K21" i="8"/>
  <c r="K22" i="8"/>
  <c r="K23" i="8"/>
  <c r="H20" i="8"/>
  <c r="H21" i="8"/>
  <c r="H19" i="8"/>
  <c r="K19" i="8" s="1"/>
  <c r="B23" i="8" l="1"/>
  <c r="B22" i="11"/>
  <c r="K21" i="11"/>
  <c r="K20" i="11"/>
  <c r="B11" i="11"/>
  <c r="I15" i="11"/>
  <c r="B4" i="11" s="1"/>
  <c r="J6" i="11"/>
  <c r="J5" i="11"/>
  <c r="J4" i="11"/>
  <c r="B7" i="11" l="1"/>
  <c r="B8" i="11" s="1"/>
  <c r="H24" i="11"/>
  <c r="K19" i="11"/>
  <c r="K24" i="11" s="1"/>
  <c r="B12" i="11"/>
  <c r="C10" i="10"/>
  <c r="C11" i="10"/>
  <c r="C12" i="10"/>
  <c r="B25" i="8"/>
  <c r="H22" i="8"/>
  <c r="H23" i="8"/>
  <c r="I6" i="8"/>
  <c r="J6" i="8" s="1"/>
  <c r="I5" i="8"/>
  <c r="J5" i="8" s="1"/>
  <c r="I4" i="8"/>
  <c r="J4" i="8" s="1"/>
  <c r="I15" i="8"/>
  <c r="B4" i="8" s="1"/>
  <c r="B6" i="8" s="1"/>
  <c r="B11" i="8"/>
  <c r="B12" i="8" l="1"/>
  <c r="K24" i="8"/>
  <c r="B27" i="8" s="1"/>
  <c r="H24" i="8"/>
  <c r="B9" i="11"/>
  <c r="B10" i="11" s="1"/>
  <c r="B13" i="11"/>
  <c r="B24" i="11"/>
  <c r="B7" i="8"/>
  <c r="B8" i="8" s="1"/>
  <c r="B13" i="8" l="1"/>
  <c r="B9" i="8"/>
  <c r="B10" i="8" s="1"/>
  <c r="B26" i="8"/>
  <c r="B28" i="8" s="1"/>
  <c r="B25" i="11"/>
  <c r="B27" i="11" s="1"/>
  <c r="B29" i="11" s="1"/>
  <c r="B30" i="8" l="1"/>
  <c r="B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vanholdo</author>
  </authors>
  <commentList>
    <comment ref="B5" authorId="0" shapeId="0" xr:uid="{8973BDCD-36A2-45F6-9101-98F34769B1C2}">
      <text>
        <r>
          <rPr>
            <b/>
            <sz val="9"/>
            <color indexed="81"/>
            <rFont val="Tahoma"/>
            <family val="2"/>
          </rPr>
          <t>vanholdo:</t>
        </r>
        <r>
          <rPr>
            <sz val="9"/>
            <color indexed="81"/>
            <rFont val="Tahoma"/>
            <family val="2"/>
          </rPr>
          <t xml:space="preserve">
artikel 25 BVR van 29/06/1994</t>
        </r>
      </text>
    </comment>
  </commentList>
</comments>
</file>

<file path=xl/sharedStrings.xml><?xml version="1.0" encoding="utf-8"?>
<sst xmlns="http://schemas.openxmlformats.org/spreadsheetml/2006/main" count="243" uniqueCount="127">
  <si>
    <t>IC</t>
  </si>
  <si>
    <t>Basishuur/2</t>
  </si>
  <si>
    <t>Inkomen/60</t>
  </si>
  <si>
    <t>geactualiseerde kostprijs</t>
  </si>
  <si>
    <t>actualisatiecoëfficiënt</t>
  </si>
  <si>
    <t>Jaar 1ste bewoning</t>
  </si>
  <si>
    <t>jaar renovatie</t>
  </si>
  <si>
    <t>sanering,verbeterings en aanpasingskosten</t>
  </si>
  <si>
    <t>oprichting en verwervingskosten</t>
  </si>
  <si>
    <t>gele velden zelf invullen</t>
  </si>
  <si>
    <t>oranje velden worden berekend</t>
  </si>
  <si>
    <t>basishuur/2</t>
  </si>
  <si>
    <t>basishuurcoëfficiënt</t>
  </si>
  <si>
    <t>inkomen</t>
  </si>
  <si>
    <t>basishuur</t>
  </si>
  <si>
    <t>inkomen/60</t>
  </si>
  <si>
    <t>aangepaste huurprijs</t>
  </si>
  <si>
    <t>functie waarbij de basishuurprijs in hoofde van elke individuele huurder wordt aangepast volgens inkomen en personen ten laste</t>
  </si>
  <si>
    <t>de minimale huurprijs van de woning, kan hoger zijn dan 1/60ste van inkomen</t>
  </si>
  <si>
    <t>voorlopig aangepaste huurprijs</t>
  </si>
  <si>
    <t>voorlopig aangepaste huur</t>
  </si>
  <si>
    <t>Reële huurprijs</t>
  </si>
  <si>
    <t>reële huurprijs</t>
  </si>
  <si>
    <t>maximale huurprijs, de door het lokaal bestuur geraamde huurprijs van een vergelijkbare woning in de omgeving op de private huurwoningmarkt</t>
  </si>
  <si>
    <t>de som van alle individueel geactualiseerde investeringen die in de woning werden gedaan, nodig om de basishuurprijs te bepalen</t>
  </si>
  <si>
    <t>normale huurwaarde</t>
  </si>
  <si>
    <t>berekening in functie van inkomen, het aantal personen ten laste en de kostprijs van de woning</t>
  </si>
  <si>
    <t xml:space="preserve">Inkomen </t>
  </si>
  <si>
    <t>is gelijk aan de voorlopig aangepaste huurprijs, rekening houdend met de % vermindeng basishuurprijs vanaf 3 PTL</t>
  </si>
  <si>
    <t>de uiteindelijk te betalen huurprijs is gelijk aan de aangepaste huurprijs, tenzij deze begrensd wordt door 1/60 inkomen, normale huurwaarde, de basishuurprijs of de minimale huurprijs,</t>
  </si>
  <si>
    <t>Jaar van eerste bewoning</t>
  </si>
  <si>
    <t xml:space="preserve">Actualisatiecoëfficiënt </t>
  </si>
  <si>
    <t>maximale huurprijs om de betaalbaarheid te garanderen, maar is ondergeschikt aan 1/2 basishuurprijs</t>
  </si>
  <si>
    <t>Energiecorrectie</t>
  </si>
  <si>
    <t>Patrimoniumkorting</t>
  </si>
  <si>
    <t>Wie?</t>
  </si>
  <si>
    <t>Inkomen</t>
  </si>
  <si>
    <t>Jaar inkomen</t>
  </si>
  <si>
    <t>Geïndexeerd inkomen</t>
  </si>
  <si>
    <t>Vrijstelling PTL a of b?</t>
  </si>
  <si>
    <t>toe te passen inkomen</t>
  </si>
  <si>
    <t>nee</t>
  </si>
  <si>
    <t>Persoon 2 (bvb. 26 jarige zoon met handicap)</t>
  </si>
  <si>
    <t>ja</t>
  </si>
  <si>
    <t>Personen ten laste</t>
  </si>
  <si>
    <t>Gezinskorting</t>
  </si>
  <si>
    <t>Persoon 3 (bvb. 22 jarige student)</t>
  </si>
  <si>
    <t>andere + 2PTL</t>
  </si>
  <si>
    <t>Aangepaste huurprijs</t>
  </si>
  <si>
    <t>Totaal</t>
  </si>
  <si>
    <t>Minimale huurprijs</t>
  </si>
  <si>
    <t xml:space="preserve">De energiecorrectie wordt berekend aan de hand van energetische parameters. Het resultaat wordt vermenigvuldigd met het sociaal tarief van september, voorafgaand aan de toepassing. De berekening van de energiecorrectie maakt geen deel uit van dit berekeningsblad. </t>
  </si>
  <si>
    <t>Iedere persoon met handicap, minderjarig kind of kinderbijslag dan wel wezentoelage gerechtigde persoon wordt beschouwd als persoon ten laste, op voorwaarde dat het in de woning gedomicilieerd is dan wel regelmatig verblijft.</t>
  </si>
  <si>
    <t>De berekeningswijze van de aangepaste huurprijs is gebaseerd op het inkomensaandeel. Er zijn 4 scenario's mogelijk:</t>
  </si>
  <si>
    <t>verschil</t>
  </si>
  <si>
    <t>%-overgang</t>
  </si>
  <si>
    <t>Inkomensgrenzen volgens gezinstype</t>
  </si>
  <si>
    <t>alleenstaande gehandicapte</t>
  </si>
  <si>
    <t>alleenstaande zonder PTL</t>
  </si>
  <si>
    <t>andere</t>
  </si>
  <si>
    <t>andere + 1 PTL</t>
  </si>
  <si>
    <t>andere + 3 PTL</t>
  </si>
  <si>
    <t>andere + 4 PTL</t>
  </si>
  <si>
    <t>andere + 5 PTL</t>
  </si>
  <si>
    <t>andere + 6 PTL</t>
  </si>
  <si>
    <t>andere + 7 PTL</t>
  </si>
  <si>
    <t>Oorspronkelijke huurprijs BVR 1994</t>
  </si>
  <si>
    <t>Nieuwe huurprijs BVCW 2021</t>
  </si>
  <si>
    <t>Berekening geactualiseerde kostprijs woning (vb. oplevering 1989, 2 maal gerenoveerd</t>
  </si>
  <si>
    <t xml:space="preserve">Normale Huurwaarde </t>
  </si>
  <si>
    <t xml:space="preserve">basishuurcoefficient </t>
  </si>
  <si>
    <t xml:space="preserve">Basishuur </t>
  </si>
  <si>
    <t>minimale huurprijs</t>
  </si>
  <si>
    <t>de berekende basishuurprijs is een percentage van de geactualiseerde kostprijs, tussen 3 en 7,5%</t>
  </si>
  <si>
    <t>de maximaal te betalen huurprijs, tussen 3 en 7,5% van de geactualiseerde kostprijs van de woning en mag niet hoger zijn dan de normale huurwaarde</t>
  </si>
  <si>
    <r>
      <t xml:space="preserve">de som van de volgende </t>
    </r>
    <r>
      <rPr>
        <u/>
        <sz val="10"/>
        <rFont val="Calibri"/>
        <family val="2"/>
      </rPr>
      <t>geïndexeerde</t>
    </r>
    <r>
      <rPr>
        <sz val="10"/>
        <rFont val="Calibri"/>
        <family val="2"/>
      </rPr>
      <t xml:space="preserve"> inkomsten, ontvangen in het jaar waarop het laatst beschikbare aanslagbiljet betrekking heeft:
a) het gezamenlijk belastbaar inkomen en de afzonderlijke belastbare inkomsten;
b) het leefloon;
c) de inkomensvervangende tegemoetkoming aan personen met een handicap;
d) de van belasting vrijgestelde beroepsinkomsten uit het buitenland of verworven bij een Europese of internationale instelling;                                                                                                                                                                                                                                                                        Het referentie-inkomen van een persoon die een persoon ten laste is als vermeld in artikel 1, eerste lid, 19°, a) of b) van het KSH wordt niet meegerekend. Het referentie-inkomen of een gedeelte ervan van de familieleden van de eerste, tweede en derde graad van de huurder die erkend zijn als ernstig gehandicapt, is vrijgesteld voor de huurprijsberekening. Het bedrag van de vrijstelling is gelijk aan de geïndexeerde inkomensvervangende tegemoetkoming die toegekend wordt aan de personen die behoren tot categorie B als vermeld in artikel 6, § 1, van de wet van 27 februari 1987 betreffende de tegemoetkomingen aan personen met een handicap. De voormelde geïndexeerde inkomensvervangende tegemoetkoming is de tegemoetkoming zoals die van toepassing is op 1 september van het jaar dat aan de vaststelling van het referentie-inkomen voorafgaat. De vrijstelling geldt per familielid van de eerste, tweede en derde graad van de huurder dat erkend is als ernstig gehandicapt. Als de vrijstelling groter is dan het referentie-inkomen van het familielid, wordt ze begrensd tot het referentie-inkomen van dat familielid.</t>
    </r>
  </si>
  <si>
    <t>begrip oorspronkelijke huurprijs</t>
  </si>
  <si>
    <t>begrip nieuwe huurprijs</t>
  </si>
  <si>
    <r>
      <t xml:space="preserve">de som van de volgende </t>
    </r>
    <r>
      <rPr>
        <u/>
        <sz val="10"/>
        <rFont val="Arial"/>
        <family val="2"/>
      </rPr>
      <t xml:space="preserve">niet-geïndexeerde </t>
    </r>
    <r>
      <rPr>
        <sz val="10"/>
        <rFont val="Arial"/>
        <family val="2"/>
      </rPr>
      <t>inkomsten, ontvangen in het jaar waarop het laatst beschikbare aanslagbiljet betrekking heeft:
a) het gezamenlijk belastbaar inkomen en de afzonderlijke belastbare inkomsten;
b) het leefloon;
c) de inkomensvervangende tegemoetkoming aan personen met een handicap;
d) de van belasting vrijgestelde beroepsinkomsten uit het buitenland of verworven bij een Europese of internationale instelling;                                                                                                                                                                                                                                                                        Het referentie-inkomen van een persoon die een persoon ten laste is als vermeld in artikel 1, eerste lid, 19°, a) of b) van het KSH wordt niet meegerekend. Het referentie-inkomen of een gedeelte ervan van de familieleden van de eerste, tweede en derde graad van de huurder die erkend zijn als ernstig gehandicapt, is vrijgesteld voor de huurprijsberekening. Het bedrag van de vrijstelling is gelijk aan de geïndexeerde inkomensvervangende tegemoetkoming die toegekend wordt aan de personen die behoren tot categorie B als vermeld in artikel 6, § 1, van de wet van 27 februari 1987 betreffende de tegemoetkomingen aan personen met een handicap. De voormelde geïndexeerde inkomensvervangende tegemoetkoming is de tegemoetkoming zoals die van toepassing is op 1 september van het jaar dat aan de vaststelling van het referentie-inkomen voorafgaat. De vrijstelling geldt per familielid van de eerste, tweede en derde graad van de huurder dat erkend is als ernstig gehandicapt. Als de vrijstelling groter is dan het referentie-inkomen van het familielid, wordt ze begrensd tot het referentie-inkomen van dat familielid.</t>
    </r>
  </si>
  <si>
    <t>marktwaarde</t>
  </si>
  <si>
    <t>energiecorrectie</t>
  </si>
  <si>
    <t>patrimoniumkorting</t>
  </si>
  <si>
    <t>gezinskorting</t>
  </si>
  <si>
    <t>toepasselijke inkomensgrens</t>
  </si>
  <si>
    <t>gezinstype inkomensgrens</t>
  </si>
  <si>
    <t>vermindering wegens handicap</t>
  </si>
  <si>
    <t>Persoon 1 (bvb. huurder</t>
  </si>
  <si>
    <t>Gezinsinkomen BVR 1994</t>
  </si>
  <si>
    <t>Gezinsinkomen BVCW 2021</t>
  </si>
  <si>
    <t>Personen ten laste (PTL)</t>
  </si>
  <si>
    <t>inkomenscoëfficiënt</t>
  </si>
  <si>
    <t>Inkomenscoëfficiënt</t>
  </si>
  <si>
    <t>De geschatte marktwaarde</t>
  </si>
  <si>
    <t>Overgansgregeling</t>
  </si>
  <si>
    <t>aan te rekenen huurprijs</t>
  </si>
  <si>
    <t>de berekende huurprijs volgens het stelsel</t>
  </si>
  <si>
    <t>verschil tussen de oorspronkelijke huurprijs volgens BVR 1994 en de nieuwe huurprijsberekening volgens het BVCW van 2021</t>
  </si>
  <si>
    <t>vermindering voor elk van eerste 2 personen ten laste</t>
  </si>
  <si>
    <t>noemer</t>
  </si>
  <si>
    <t>teller</t>
  </si>
  <si>
    <t>INKOMENSCOËFFICIËNT</t>
  </si>
  <si>
    <t>Geïndexeerd bedrag 2018</t>
  </si>
  <si>
    <t>Basisbedrag 1994</t>
  </si>
  <si>
    <t>AAN TE VULLEN &gt;&gt;&gt;</t>
  </si>
  <si>
    <t>Gezondheidsindex juni referentiejaar (=3jaar terugkijken) (basis 1988):</t>
  </si>
  <si>
    <t>INDEXERING BEDRAGEN BVR 29/09/1994</t>
  </si>
  <si>
    <t>Lopende huurprijs BVCW 2021</t>
  </si>
  <si>
    <t>de aan te rekenen huurprijs in 2024</t>
  </si>
  <si>
    <t>geïndexeerde basishuurprijs 2024</t>
  </si>
  <si>
    <t>energiecorrectie 2024</t>
  </si>
  <si>
    <t>marktwaarde 2023</t>
  </si>
  <si>
    <t>minimale huurprijs 2023</t>
  </si>
  <si>
    <t>patrimoniumkorting 2023</t>
  </si>
  <si>
    <t>minimale huurprijs 2024</t>
  </si>
  <si>
    <t>patrimoniumkorting 2024</t>
  </si>
  <si>
    <t>Obv de marktwaarde wordt een minimale huurprijs bepaald tussen de 149 en de 298 euro. Deze bedragen worden net zoals de basishuurprijs vastgelegd en geïndexeerd tot ze herzien wordt als de basishuurprijs wordt vervangen door de dan geldende marktwaarde.</t>
  </si>
  <si>
    <t>Obv de marktwaarde wordt een patrimoniumkorting bepaald tussen de 0 en de 168 euro. Deze bedragen worden net zoals de basishuurprijs vastgelegd en geïndexeerd tot ze herzien wordt als de basishuurprijs wordt vervangen door de dan geldende marktwaarde.</t>
  </si>
  <si>
    <t xml:space="preserve">Per persoon ten laste wordt een korting van 22 dan wel 11 euro toegekend, afhankelijk of het er ja dan nee gedomicilieerd is. Een minderjarige dan wel kinderbijslag of wezentoelage gerechtigde persoon met handicap telt dubbel. </t>
  </si>
  <si>
    <t>Scenario 1: het gezinsinkomen is gelijk aan of ligt lager dan de toepasselijke inkomensgrens: de aangepaste huurprijs wordt berekend op 1/54ste van het inkomen.</t>
  </si>
  <si>
    <t xml:space="preserve">Scenario 2: het gezinsinkomen ligt hoger dan de toepasselijke inkomensgrens maar lager dan 125%: de aangepaste huurprijs wordt berekend op 1/53ste van het inkomen. </t>
  </si>
  <si>
    <t>Scenario 3: het gezinsinkomen is gelijk aan of ligt hoger dan 125% van de toepasselijke inkomensgrens maar lager dan 150%: de aangepaste huurprijs wordt berekend op 1/52ste van de toepasselijke inkomensgrens.</t>
  </si>
  <si>
    <t>Scenario 4: het gezinsinkomen is gelijk aan of ligt hoger dan 150% van de toepasselijke inkomensgrens: de aangepaste huurprijs wordt berekend op 1/51ste van het inkomen.</t>
  </si>
  <si>
    <t>Dit is de reële huurprijs die de huurder betaalt, namelijk 1/54I (of 1/53 of 1/52 of 1/51) - PK - GK+EC. Kan nooit minder zijn dan de minimale huurprijs, verhoogd met de energiecorrectie, of meer dan de basishuurprijs.</t>
  </si>
  <si>
    <t>de huurprijs die de huurder dient te betalen in het jaar 2024.</t>
  </si>
  <si>
    <t>marktwaarde 2024</t>
  </si>
  <si>
    <t>%-overgang (minimaal 50% in 2024)</t>
  </si>
  <si>
    <t>mate waarin het verschil reeds in de aan te rekenen huurprijs voor 2024 zal worden verrekend. Minimum 25% in 2023, minimaal 50% in 2024 en minimaal 75% in 2025. Men kan steeds meer dan het vooropgesteld percentage gaan in het betreokken jaar, of ineens naar 100% gaan.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</si>
</sst>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 #,##0.00_-;_-* &quot;-&quot;??_-;_-@_-"/>
    <numFmt numFmtId="165" formatCode="_ * #,##0_ ;_ * \-#,##0_ ;_ * &quot;-&quot;??_ ;_ @_ "/>
    <numFmt numFmtId="166" formatCode="&quot;€&quot;\ #,##0.00"/>
    <numFmt numFmtId="167" formatCode="[$€-2]\ #,##0_-"/>
    <numFmt numFmtId="168" formatCode="_ * #,##0.0000_ ;_ * \-#,##0.0000_ ;_ * &quot;-&quot;??_ ;_ @_ "/>
  </numFmts>
  <fonts count="22" x14ac:knownFonts="1">
    <font>
      <sz val="10"/>
      <name val="Arial"/>
    </font>
    <font>
      <sz val="10"/>
      <name val="Arial"/>
      <family val="2"/>
    </font>
    <font>
      <sz val="10"/>
      <name val="Arial"/>
      <family val="2"/>
    </font>
    <font>
      <sz val="10"/>
      <name val="Calibri"/>
      <family val="2"/>
    </font>
    <font>
      <u/>
      <sz val="10"/>
      <name val="Arial"/>
      <family val="2"/>
    </font>
    <font>
      <u/>
      <sz val="10"/>
      <name val="Calibri"/>
      <family val="2"/>
    </font>
    <font>
      <sz val="11"/>
      <color theme="1"/>
      <name val="Calibri"/>
      <family val="2"/>
      <scheme val="minor"/>
    </font>
    <font>
      <sz val="10"/>
      <name val="Calibri"/>
      <family val="2"/>
      <scheme val="minor"/>
    </font>
    <font>
      <b/>
      <sz val="10"/>
      <name val="Calibri"/>
      <family val="2"/>
      <scheme val="minor"/>
    </font>
    <font>
      <sz val="8"/>
      <name val="Calibri"/>
      <family val="2"/>
      <scheme val="minor"/>
    </font>
    <font>
      <sz val="9"/>
      <name val="Calibri"/>
      <family val="2"/>
      <scheme val="minor"/>
    </font>
    <font>
      <b/>
      <sz val="9"/>
      <name val="Calibri"/>
      <family val="2"/>
      <scheme val="minor"/>
    </font>
    <font>
      <sz val="9"/>
      <color rgb="FF000000"/>
      <name val="Calibri"/>
      <family val="2"/>
      <scheme val="minor"/>
    </font>
    <font>
      <sz val="11"/>
      <color theme="1"/>
      <name val="Trebuchet MS"/>
      <family val="2"/>
    </font>
    <font>
      <sz val="8"/>
      <name val="Trebuchet MS"/>
      <family val="2"/>
    </font>
    <font>
      <b/>
      <sz val="8"/>
      <name val="Trebuchet MS"/>
      <family val="2"/>
    </font>
    <font>
      <sz val="10"/>
      <name val="Trebuchet MS"/>
      <family val="2"/>
    </font>
    <font>
      <b/>
      <sz val="8"/>
      <color indexed="10"/>
      <name val="Trebuchet MS"/>
      <family val="2"/>
    </font>
    <font>
      <b/>
      <sz val="10"/>
      <name val="Trebuchet MS"/>
      <family val="2"/>
    </font>
    <font>
      <b/>
      <sz val="9"/>
      <color indexed="81"/>
      <name val="Tahoma"/>
      <family val="2"/>
    </font>
    <font>
      <sz val="9"/>
      <color indexed="81"/>
      <name val="Tahoma"/>
      <family val="2"/>
    </font>
    <font>
      <b/>
      <sz val="10.5"/>
      <color rgb="FF000000"/>
      <name val="FlandersArtSans-Regular"/>
    </font>
  </fonts>
  <fills count="12">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indexed="11"/>
        <bgColor indexed="64"/>
      </patternFill>
    </fill>
    <fill>
      <patternFill patternType="solid">
        <fgColor indexed="13"/>
        <bgColor indexed="64"/>
      </patternFill>
    </fill>
  </fills>
  <borders count="39">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 fillId="0" borderId="0"/>
    <xf numFmtId="0" fontId="1" fillId="0" borderId="0"/>
  </cellStyleXfs>
  <cellXfs count="155">
    <xf numFmtId="0" fontId="0" fillId="0" borderId="0" xfId="0"/>
    <xf numFmtId="0" fontId="1" fillId="0" borderId="0" xfId="0" applyFont="1"/>
    <xf numFmtId="0" fontId="1" fillId="0" borderId="0" xfId="0" applyFont="1" applyBorder="1"/>
    <xf numFmtId="0" fontId="0" fillId="0" borderId="0" xfId="0" applyFill="1"/>
    <xf numFmtId="0" fontId="1" fillId="0" borderId="0" xfId="0" applyFont="1" applyFill="1"/>
    <xf numFmtId="0" fontId="7" fillId="0" borderId="1" xfId="4" applyFont="1" applyBorder="1" applyAlignment="1">
      <alignment horizontal="left" vertical="center" wrapText="1"/>
    </xf>
    <xf numFmtId="0" fontId="7" fillId="0" borderId="1" xfId="4" applyFont="1" applyBorder="1" applyAlignment="1">
      <alignment vertical="center" wrapText="1"/>
    </xf>
    <xf numFmtId="0" fontId="7" fillId="0" borderId="2" xfId="4" applyFont="1" applyBorder="1" applyAlignment="1">
      <alignment vertical="center" wrapText="1"/>
    </xf>
    <xf numFmtId="0" fontId="7" fillId="0" borderId="3" xfId="4" applyFont="1" applyBorder="1" applyAlignment="1">
      <alignment vertical="center" wrapText="1"/>
    </xf>
    <xf numFmtId="0" fontId="7" fillId="0" borderId="4" xfId="4" applyFont="1" applyBorder="1" applyAlignment="1">
      <alignment vertical="center" wrapText="1"/>
    </xf>
    <xf numFmtId="0" fontId="7" fillId="0" borderId="5" xfId="4" applyFont="1" applyBorder="1" applyAlignment="1">
      <alignment vertical="center" wrapText="1"/>
    </xf>
    <xf numFmtId="0" fontId="7" fillId="0" borderId="6" xfId="4" applyFont="1" applyBorder="1" applyAlignment="1">
      <alignment horizontal="left" vertical="center"/>
    </xf>
    <xf numFmtId="0" fontId="7" fillId="0" borderId="7" xfId="4" applyFont="1" applyBorder="1" applyAlignment="1">
      <alignment horizontal="left" vertical="center"/>
    </xf>
    <xf numFmtId="0" fontId="7" fillId="0" borderId="8" xfId="4" applyFont="1" applyBorder="1" applyAlignment="1">
      <alignment horizontal="left" vertical="center"/>
    </xf>
    <xf numFmtId="0" fontId="8" fillId="0" borderId="9" xfId="4" applyFont="1" applyBorder="1" applyAlignment="1">
      <alignment horizontal="left" vertical="center"/>
    </xf>
    <xf numFmtId="0" fontId="7" fillId="0" borderId="6" xfId="4" applyFont="1" applyBorder="1" applyAlignment="1">
      <alignment horizontal="left" vertical="center" wrapText="1"/>
    </xf>
    <xf numFmtId="0" fontId="10" fillId="0" borderId="6" xfId="4" applyFont="1" applyBorder="1" applyAlignment="1">
      <alignment horizontal="left" vertical="center"/>
    </xf>
    <xf numFmtId="0" fontId="10" fillId="0" borderId="10" xfId="4" applyFont="1" applyBorder="1" applyAlignment="1">
      <alignment horizontal="left" vertical="center"/>
    </xf>
    <xf numFmtId="0" fontId="9" fillId="0" borderId="9" xfId="4" applyFont="1" applyBorder="1" applyAlignment="1">
      <alignment vertical="center"/>
    </xf>
    <xf numFmtId="166" fontId="9" fillId="2" borderId="11" xfId="4" applyNumberFormat="1" applyFont="1" applyFill="1" applyBorder="1" applyAlignment="1">
      <alignment horizontal="center" vertical="center"/>
    </xf>
    <xf numFmtId="0" fontId="6" fillId="0" borderId="9" xfId="4" applyBorder="1"/>
    <xf numFmtId="166" fontId="9" fillId="0" borderId="9" xfId="4" applyNumberFormat="1" applyFont="1" applyBorder="1" applyAlignment="1">
      <alignment horizontal="center" vertical="center"/>
    </xf>
    <xf numFmtId="0" fontId="0" fillId="0" borderId="9" xfId="0" applyBorder="1" applyAlignment="1">
      <alignment vertical="center"/>
    </xf>
    <xf numFmtId="0" fontId="10" fillId="0" borderId="8" xfId="4" applyFont="1" applyBorder="1" applyAlignment="1">
      <alignment horizontal="left" vertical="center"/>
    </xf>
    <xf numFmtId="166" fontId="9" fillId="0" borderId="12" xfId="4" applyNumberFormat="1" applyFont="1" applyBorder="1" applyAlignment="1">
      <alignment horizontal="center" vertical="center"/>
    </xf>
    <xf numFmtId="0" fontId="6" fillId="0" borderId="12" xfId="4" applyBorder="1"/>
    <xf numFmtId="166" fontId="9" fillId="2" borderId="12" xfId="4" applyNumberFormat="1" applyFont="1" applyFill="1" applyBorder="1" applyAlignment="1">
      <alignment horizontal="center" vertical="center"/>
    </xf>
    <xf numFmtId="0" fontId="10" fillId="0" borderId="7" xfId="4" applyFont="1" applyBorder="1" applyAlignment="1">
      <alignment horizontal="left" vertical="center"/>
    </xf>
    <xf numFmtId="166" fontId="9" fillId="3" borderId="7" xfId="4" applyNumberFormat="1" applyFont="1" applyFill="1" applyBorder="1" applyAlignment="1">
      <alignment horizontal="center" vertical="center"/>
    </xf>
    <xf numFmtId="166" fontId="9" fillId="0" borderId="7" xfId="4" applyNumberFormat="1" applyFont="1" applyBorder="1" applyAlignment="1">
      <alignment horizontal="center" vertical="center"/>
    </xf>
    <xf numFmtId="0" fontId="10" fillId="0" borderId="9" xfId="4" applyFont="1" applyBorder="1" applyAlignment="1">
      <alignment horizontal="center" vertical="center"/>
    </xf>
    <xf numFmtId="0" fontId="10" fillId="0" borderId="9" xfId="4" applyFont="1" applyBorder="1" applyAlignment="1">
      <alignment horizontal="center" vertical="center" wrapText="1"/>
    </xf>
    <xf numFmtId="166" fontId="10" fillId="0" borderId="9" xfId="4" applyNumberFormat="1" applyFont="1" applyBorder="1" applyAlignment="1">
      <alignment horizontal="center" vertical="center" wrapText="1"/>
    </xf>
    <xf numFmtId="0" fontId="11" fillId="4" borderId="13" xfId="0" applyFont="1" applyFill="1" applyBorder="1"/>
    <xf numFmtId="0" fontId="11" fillId="4" borderId="14" xfId="0" applyFont="1" applyFill="1" applyBorder="1"/>
    <xf numFmtId="0" fontId="11" fillId="4" borderId="15" xfId="0" applyFont="1" applyFill="1" applyBorder="1"/>
    <xf numFmtId="0" fontId="11" fillId="4" borderId="16" xfId="0" applyFont="1" applyFill="1" applyBorder="1"/>
    <xf numFmtId="0" fontId="10" fillId="5" borderId="17" xfId="0" applyFont="1" applyFill="1" applyBorder="1" applyAlignment="1">
      <alignment horizontal="center" vertical="center"/>
    </xf>
    <xf numFmtId="0" fontId="10" fillId="6" borderId="18" xfId="0" applyFont="1" applyFill="1" applyBorder="1" applyAlignment="1">
      <alignment horizontal="center"/>
    </xf>
    <xf numFmtId="0" fontId="10" fillId="5" borderId="18" xfId="0" applyFont="1" applyFill="1" applyBorder="1" applyAlignment="1">
      <alignment horizontal="center"/>
    </xf>
    <xf numFmtId="0" fontId="10" fillId="7" borderId="18" xfId="0" applyFont="1" applyFill="1" applyBorder="1" applyAlignment="1">
      <alignment horizontal="center"/>
    </xf>
    <xf numFmtId="43" fontId="10" fillId="7" borderId="19" xfId="1" applyFont="1" applyFill="1" applyBorder="1" applyAlignment="1">
      <alignment horizontal="center"/>
    </xf>
    <xf numFmtId="0" fontId="10" fillId="6" borderId="20" xfId="0" applyFont="1" applyFill="1" applyBorder="1"/>
    <xf numFmtId="0" fontId="10" fillId="5" borderId="21" xfId="0" applyFont="1" applyFill="1" applyBorder="1" applyAlignment="1">
      <alignment horizontal="center"/>
    </xf>
    <xf numFmtId="43" fontId="10" fillId="7" borderId="22" xfId="1" applyFont="1" applyFill="1" applyBorder="1" applyAlignment="1">
      <alignment horizontal="center"/>
    </xf>
    <xf numFmtId="0" fontId="10" fillId="6" borderId="23" xfId="0" applyFont="1" applyFill="1" applyBorder="1"/>
    <xf numFmtId="0" fontId="10" fillId="5" borderId="24" xfId="0" applyFont="1" applyFill="1" applyBorder="1" applyAlignment="1">
      <alignment horizontal="center"/>
    </xf>
    <xf numFmtId="0" fontId="10" fillId="6" borderId="12" xfId="0" applyFont="1" applyFill="1" applyBorder="1" applyAlignment="1">
      <alignment horizontal="center"/>
    </xf>
    <xf numFmtId="0" fontId="11" fillId="0" borderId="25" xfId="0" applyFont="1" applyBorder="1"/>
    <xf numFmtId="43" fontId="10" fillId="5" borderId="26" xfId="1" applyFont="1" applyFill="1" applyBorder="1" applyAlignment="1" applyProtection="1">
      <alignment horizontal="right"/>
      <protection locked="0"/>
    </xf>
    <xf numFmtId="0" fontId="11" fillId="0" borderId="6" xfId="0" applyFont="1" applyBorder="1"/>
    <xf numFmtId="165" fontId="10" fillId="5" borderId="1" xfId="1" applyNumberFormat="1" applyFont="1" applyFill="1" applyBorder="1" applyAlignment="1" applyProtection="1">
      <alignment horizontal="right"/>
      <protection locked="0"/>
    </xf>
    <xf numFmtId="43" fontId="10" fillId="5" borderId="1" xfId="1" applyFont="1" applyFill="1" applyBorder="1" applyAlignment="1" applyProtection="1">
      <alignment horizontal="right"/>
      <protection locked="0"/>
    </xf>
    <xf numFmtId="43" fontId="10" fillId="7" borderId="1" xfId="1" applyFont="1" applyFill="1" applyBorder="1" applyAlignment="1" applyProtection="1">
      <alignment horizontal="right"/>
    </xf>
    <xf numFmtId="43" fontId="10" fillId="7" borderId="1" xfId="1" applyFont="1" applyFill="1" applyBorder="1" applyAlignment="1">
      <alignment horizontal="right"/>
    </xf>
    <xf numFmtId="0" fontId="11" fillId="0" borderId="27" xfId="0" applyFont="1" applyBorder="1"/>
    <xf numFmtId="43" fontId="10" fillId="7" borderId="2" xfId="1" applyFont="1" applyFill="1" applyBorder="1" applyAlignment="1">
      <alignment horizontal="right"/>
    </xf>
    <xf numFmtId="0" fontId="11" fillId="0" borderId="9" xfId="0" applyFont="1" applyBorder="1"/>
    <xf numFmtId="0" fontId="11" fillId="0" borderId="25" xfId="0" applyFont="1" applyFill="1" applyBorder="1"/>
    <xf numFmtId="43" fontId="10" fillId="5" borderId="25" xfId="1" applyFont="1" applyFill="1" applyBorder="1"/>
    <xf numFmtId="0" fontId="11" fillId="0" borderId="10" xfId="0" applyFont="1" applyFill="1" applyBorder="1"/>
    <xf numFmtId="43" fontId="10" fillId="5" borderId="10" xfId="1" applyFont="1" applyFill="1" applyBorder="1"/>
    <xf numFmtId="0" fontId="11" fillId="0" borderId="6" xfId="0" applyFont="1" applyFill="1" applyBorder="1"/>
    <xf numFmtId="43" fontId="10" fillId="7" borderId="6" xfId="1" applyFont="1" applyFill="1" applyBorder="1"/>
    <xf numFmtId="43" fontId="10" fillId="5" borderId="6" xfId="1" applyFont="1" applyFill="1" applyBorder="1" applyAlignment="1">
      <alignment horizontal="right"/>
    </xf>
    <xf numFmtId="0" fontId="11" fillId="0" borderId="8" xfId="0" applyFont="1" applyFill="1" applyBorder="1"/>
    <xf numFmtId="0" fontId="11" fillId="0" borderId="27" xfId="0" applyFont="1" applyFill="1" applyBorder="1"/>
    <xf numFmtId="43" fontId="10" fillId="7" borderId="1" xfId="1" applyFont="1" applyFill="1" applyBorder="1" applyAlignment="1" applyProtection="1">
      <alignment horizontal="right"/>
      <protection locked="0"/>
    </xf>
    <xf numFmtId="43" fontId="11" fillId="2" borderId="8" xfId="1" applyFont="1" applyFill="1" applyBorder="1"/>
    <xf numFmtId="0" fontId="10" fillId="0" borderId="13" xfId="4" applyFont="1" applyBorder="1" applyAlignment="1">
      <alignment horizontal="center" vertical="center"/>
    </xf>
    <xf numFmtId="0" fontId="10" fillId="0" borderId="29" xfId="4" applyFont="1" applyBorder="1" applyAlignment="1">
      <alignment horizontal="center" vertical="center"/>
    </xf>
    <xf numFmtId="9" fontId="10" fillId="5" borderId="25" xfId="2" applyFont="1" applyFill="1" applyBorder="1"/>
    <xf numFmtId="43" fontId="11" fillId="5" borderId="25" xfId="1" applyFont="1" applyFill="1" applyBorder="1" applyAlignment="1">
      <alignment horizontal="left"/>
    </xf>
    <xf numFmtId="43" fontId="11" fillId="7" borderId="6" xfId="1" applyFont="1" applyFill="1" applyBorder="1" applyAlignment="1">
      <alignment horizontal="left"/>
    </xf>
    <xf numFmtId="43" fontId="11" fillId="2" borderId="8" xfId="1" applyFont="1" applyFill="1" applyBorder="1" applyAlignment="1">
      <alignment horizontal="left"/>
    </xf>
    <xf numFmtId="0" fontId="11" fillId="8" borderId="9" xfId="0" applyFont="1" applyFill="1" applyBorder="1" applyAlignment="1" applyProtection="1">
      <alignment horizontal="left"/>
      <protection locked="0"/>
    </xf>
    <xf numFmtId="0" fontId="8" fillId="0" borderId="25" xfId="4" applyFont="1" applyBorder="1" applyAlignment="1">
      <alignment horizontal="left" vertical="center"/>
    </xf>
    <xf numFmtId="0" fontId="0" fillId="0" borderId="9" xfId="0" applyBorder="1"/>
    <xf numFmtId="0" fontId="7" fillId="0" borderId="6" xfId="4" applyFont="1" applyBorder="1" applyAlignment="1">
      <alignment vertical="center" wrapText="1"/>
    </xf>
    <xf numFmtId="0" fontId="7" fillId="0" borderId="8" xfId="4" applyFont="1" applyBorder="1" applyAlignment="1">
      <alignment vertical="center" wrapText="1"/>
    </xf>
    <xf numFmtId="0" fontId="10" fillId="0" borderId="30" xfId="0" applyFont="1" applyBorder="1" applyAlignment="1">
      <alignment vertical="center"/>
    </xf>
    <xf numFmtId="166" fontId="10" fillId="0" borderId="26" xfId="0" applyNumberFormat="1" applyFont="1" applyFill="1" applyBorder="1" applyAlignment="1">
      <alignment vertical="center"/>
    </xf>
    <xf numFmtId="0" fontId="10" fillId="0" borderId="20" xfId="0" applyFont="1" applyBorder="1" applyAlignment="1">
      <alignment vertical="center"/>
    </xf>
    <xf numFmtId="166" fontId="10" fillId="0" borderId="1" xfId="0" applyNumberFormat="1" applyFont="1" applyFill="1" applyBorder="1" applyAlignment="1">
      <alignment vertical="center"/>
    </xf>
    <xf numFmtId="166" fontId="10" fillId="0" borderId="31" xfId="0" applyNumberFormat="1" applyFont="1" applyFill="1" applyBorder="1" applyAlignment="1">
      <alignment vertical="center"/>
    </xf>
    <xf numFmtId="0" fontId="10" fillId="0" borderId="32" xfId="0" applyFont="1" applyBorder="1" applyAlignment="1">
      <alignment vertical="center"/>
    </xf>
    <xf numFmtId="4" fontId="12" fillId="0" borderId="20" xfId="0" applyNumberFormat="1" applyFont="1" applyBorder="1" applyAlignment="1">
      <alignment vertical="center"/>
    </xf>
    <xf numFmtId="4" fontId="12" fillId="0" borderId="23" xfId="0" applyNumberFormat="1" applyFont="1" applyBorder="1" applyAlignment="1">
      <alignment vertical="center"/>
    </xf>
    <xf numFmtId="166" fontId="10" fillId="0" borderId="33" xfId="0" applyNumberFormat="1" applyFont="1" applyFill="1" applyBorder="1" applyAlignment="1">
      <alignment vertical="center"/>
    </xf>
    <xf numFmtId="0" fontId="10" fillId="0" borderId="11" xfId="0" applyFont="1" applyBorder="1" applyAlignment="1">
      <alignment horizontal="right" vertical="center"/>
    </xf>
    <xf numFmtId="2" fontId="10" fillId="0" borderId="11" xfId="0" applyNumberFormat="1" applyFont="1" applyBorder="1" applyAlignment="1">
      <alignment horizontal="right" vertical="center"/>
    </xf>
    <xf numFmtId="0" fontId="10" fillId="0" borderId="9" xfId="0" applyFont="1" applyFill="1" applyBorder="1" applyAlignment="1">
      <alignment horizontal="right" vertical="center"/>
    </xf>
    <xf numFmtId="0" fontId="10" fillId="0" borderId="0" xfId="0" applyFont="1"/>
    <xf numFmtId="0" fontId="11" fillId="9" borderId="9" xfId="0" applyFont="1" applyFill="1" applyBorder="1" applyAlignment="1">
      <alignment horizontal="center" vertical="center" wrapText="1"/>
    </xf>
    <xf numFmtId="0" fontId="11" fillId="9" borderId="28" xfId="0" applyFont="1" applyFill="1" applyBorder="1" applyAlignment="1">
      <alignment horizontal="center" vertical="center" wrapText="1"/>
    </xf>
    <xf numFmtId="166" fontId="9" fillId="5" borderId="7" xfId="4" applyNumberFormat="1" applyFont="1" applyFill="1" applyBorder="1" applyAlignment="1" applyProtection="1">
      <alignment horizontal="center" vertical="center"/>
      <protection locked="0"/>
    </xf>
    <xf numFmtId="0" fontId="9" fillId="5" borderId="7" xfId="4" applyFont="1" applyFill="1" applyBorder="1" applyAlignment="1" applyProtection="1">
      <alignment horizontal="center" vertical="center"/>
      <protection locked="0"/>
    </xf>
    <xf numFmtId="166" fontId="9" fillId="5" borderId="6" xfId="4" applyNumberFormat="1" applyFont="1" applyFill="1" applyBorder="1" applyAlignment="1" applyProtection="1">
      <alignment horizontal="center" vertical="center"/>
      <protection locked="0"/>
    </xf>
    <xf numFmtId="0" fontId="9" fillId="5" borderId="6" xfId="4" applyFont="1" applyFill="1" applyBorder="1" applyAlignment="1" applyProtection="1">
      <alignment horizontal="center" vertical="center"/>
      <protection locked="0"/>
    </xf>
    <xf numFmtId="166" fontId="9" fillId="5" borderId="10" xfId="4" applyNumberFormat="1" applyFont="1" applyFill="1" applyBorder="1" applyAlignment="1" applyProtection="1">
      <alignment horizontal="center" vertical="center"/>
      <protection locked="0"/>
    </xf>
    <xf numFmtId="0" fontId="9" fillId="5" borderId="10" xfId="4" applyFont="1" applyFill="1" applyBorder="1" applyAlignment="1" applyProtection="1">
      <alignment horizontal="center" vertical="center"/>
      <protection locked="0"/>
    </xf>
    <xf numFmtId="166" fontId="9" fillId="5" borderId="8" xfId="4" applyNumberFormat="1" applyFont="1" applyFill="1" applyBorder="1" applyAlignment="1" applyProtection="1">
      <alignment horizontal="center" vertical="center"/>
      <protection locked="0"/>
    </xf>
    <xf numFmtId="0" fontId="9" fillId="5" borderId="8" xfId="4" applyFont="1" applyFill="1" applyBorder="1" applyAlignment="1" applyProtection="1">
      <alignment horizontal="center" vertical="center"/>
      <protection locked="0"/>
    </xf>
    <xf numFmtId="164" fontId="0" fillId="0" borderId="0" xfId="0" applyNumberFormat="1"/>
    <xf numFmtId="0" fontId="1" fillId="0" borderId="0" xfId="5"/>
    <xf numFmtId="0" fontId="13" fillId="0" borderId="0" xfId="5" applyFont="1"/>
    <xf numFmtId="167" fontId="14" fillId="0" borderId="21" xfId="5" applyNumberFormat="1" applyFont="1" applyBorder="1"/>
    <xf numFmtId="0" fontId="14" fillId="0" borderId="21" xfId="5" applyFont="1" applyBorder="1"/>
    <xf numFmtId="0" fontId="15" fillId="0" borderId="21" xfId="5" applyFont="1" applyBorder="1"/>
    <xf numFmtId="0" fontId="15" fillId="10" borderId="0" xfId="5" applyFont="1" applyFill="1" applyAlignment="1">
      <alignment horizontal="center"/>
    </xf>
    <xf numFmtId="0" fontId="16" fillId="0" borderId="0" xfId="5" applyFont="1" applyAlignment="1">
      <alignment horizontal="center"/>
    </xf>
    <xf numFmtId="0" fontId="16" fillId="0" borderId="0" xfId="5" applyFont="1"/>
    <xf numFmtId="0" fontId="14" fillId="0" borderId="0" xfId="5" applyFont="1"/>
    <xf numFmtId="0" fontId="17" fillId="11" borderId="0" xfId="5" applyFont="1" applyFill="1"/>
    <xf numFmtId="17" fontId="15" fillId="0" borderId="0" xfId="5" applyNumberFormat="1" applyFont="1" applyAlignment="1">
      <alignment horizontal="center"/>
    </xf>
    <xf numFmtId="0" fontId="18" fillId="0" borderId="0" xfId="5" applyFont="1" applyAlignment="1">
      <alignment horizontal="center"/>
    </xf>
    <xf numFmtId="0" fontId="13" fillId="0" borderId="28" xfId="5" applyFont="1" applyBorder="1"/>
    <xf numFmtId="43" fontId="14" fillId="0" borderId="21" xfId="1" applyFont="1" applyBorder="1"/>
    <xf numFmtId="4" fontId="21" fillId="0" borderId="0" xfId="0" applyNumberFormat="1" applyFont="1"/>
    <xf numFmtId="0" fontId="11" fillId="9" borderId="29" xfId="0" applyFont="1" applyFill="1" applyBorder="1" applyAlignment="1">
      <alignment horizontal="center"/>
    </xf>
    <xf numFmtId="0" fontId="0" fillId="0" borderId="34" xfId="0" applyBorder="1" applyAlignment="1">
      <alignment horizontal="center"/>
    </xf>
    <xf numFmtId="166" fontId="9" fillId="3" borderId="27" xfId="4" applyNumberFormat="1" applyFont="1" applyFill="1" applyBorder="1" applyAlignment="1">
      <alignment horizontal="center" vertical="center"/>
    </xf>
    <xf numFmtId="166" fontId="9" fillId="0" borderId="27" xfId="4" applyNumberFormat="1" applyFont="1" applyBorder="1" applyAlignment="1">
      <alignment horizontal="center" vertical="center"/>
    </xf>
    <xf numFmtId="166" fontId="9" fillId="0" borderId="15" xfId="4" applyNumberFormat="1" applyFont="1" applyBorder="1" applyAlignment="1">
      <alignment horizontal="center" vertical="center"/>
    </xf>
    <xf numFmtId="0" fontId="6" fillId="0" borderId="15" xfId="4" applyBorder="1"/>
    <xf numFmtId="166" fontId="9" fillId="2" borderId="16" xfId="4" applyNumberFormat="1" applyFont="1" applyFill="1" applyBorder="1" applyAlignment="1">
      <alignment horizontal="center" vertical="center"/>
    </xf>
    <xf numFmtId="166" fontId="9" fillId="0" borderId="14" xfId="4" applyNumberFormat="1" applyFont="1" applyBorder="1" applyAlignment="1">
      <alignment horizontal="center" vertical="center"/>
    </xf>
    <xf numFmtId="43" fontId="10" fillId="5" borderId="2" xfId="1" applyFont="1" applyFill="1" applyBorder="1"/>
    <xf numFmtId="43" fontId="10" fillId="5" borderId="26" xfId="1" applyFont="1" applyFill="1" applyBorder="1"/>
    <xf numFmtId="43" fontId="10" fillId="5" borderId="1" xfId="1" applyFont="1" applyFill="1" applyBorder="1"/>
    <xf numFmtId="43" fontId="10" fillId="7" borderId="1" xfId="1" applyFont="1" applyFill="1" applyBorder="1"/>
    <xf numFmtId="43" fontId="10" fillId="5" borderId="1" xfId="1" applyFont="1" applyFill="1" applyBorder="1" applyAlignment="1">
      <alignment horizontal="right"/>
    </xf>
    <xf numFmtId="43" fontId="10" fillId="7" borderId="1" xfId="1" applyNumberFormat="1" applyFont="1" applyFill="1" applyBorder="1"/>
    <xf numFmtId="43" fontId="11" fillId="2" borderId="38" xfId="1" applyFont="1" applyFill="1" applyBorder="1"/>
    <xf numFmtId="9" fontId="0" fillId="0" borderId="0" xfId="2" applyFont="1" applyFill="1"/>
    <xf numFmtId="2" fontId="11" fillId="8" borderId="9" xfId="0" applyNumberFormat="1" applyFont="1" applyFill="1" applyBorder="1" applyAlignment="1" applyProtection="1">
      <alignment horizontal="right"/>
      <protection locked="0"/>
    </xf>
    <xf numFmtId="2" fontId="11" fillId="2" borderId="28" xfId="0" applyNumberFormat="1" applyFont="1" applyFill="1" applyBorder="1" applyAlignment="1">
      <alignment horizontal="right"/>
    </xf>
    <xf numFmtId="168" fontId="10" fillId="7" borderId="6" xfId="1" applyNumberFormat="1" applyFont="1" applyFill="1" applyBorder="1"/>
    <xf numFmtId="168" fontId="10" fillId="7" borderId="1" xfId="1" applyNumberFormat="1" applyFont="1" applyFill="1" applyBorder="1" applyAlignment="1" applyProtection="1">
      <alignment horizontal="right"/>
    </xf>
    <xf numFmtId="166" fontId="0" fillId="0" borderId="0" xfId="0" applyNumberFormat="1"/>
    <xf numFmtId="0" fontId="11" fillId="9" borderId="29" xfId="0" applyFont="1" applyFill="1" applyBorder="1" applyAlignment="1">
      <alignment horizontal="center"/>
    </xf>
    <xf numFmtId="0" fontId="0" fillId="0" borderId="34" xfId="0" applyBorder="1" applyAlignment="1">
      <alignment horizontal="center"/>
    </xf>
    <xf numFmtId="0" fontId="11" fillId="9" borderId="28" xfId="0" applyFont="1" applyFill="1" applyBorder="1" applyAlignment="1">
      <alignment horizontal="center"/>
    </xf>
    <xf numFmtId="0" fontId="11" fillId="9" borderId="34" xfId="0" applyFont="1" applyFill="1" applyBorder="1" applyAlignment="1">
      <alignment horizontal="center"/>
    </xf>
    <xf numFmtId="0" fontId="9" fillId="0" borderId="29" xfId="4" applyFont="1"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9" fillId="0" borderId="35" xfId="4"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5" fillId="0" borderId="29" xfId="5" applyFont="1" applyBorder="1" applyAlignment="1">
      <alignment horizontal="center"/>
    </xf>
    <xf numFmtId="0" fontId="15" fillId="0" borderId="34" xfId="5" applyFont="1" applyBorder="1" applyAlignment="1">
      <alignment horizontal="center"/>
    </xf>
    <xf numFmtId="0" fontId="7" fillId="0" borderId="10" xfId="4" applyFont="1" applyBorder="1" applyAlignment="1">
      <alignment horizontal="left" vertical="center"/>
    </xf>
    <xf numFmtId="0" fontId="7" fillId="0" borderId="27" xfId="4" applyFont="1" applyBorder="1" applyAlignment="1">
      <alignment horizontal="left" vertical="center"/>
    </xf>
    <xf numFmtId="0" fontId="7" fillId="0" borderId="7" xfId="4" applyFont="1" applyBorder="1" applyAlignment="1">
      <alignment horizontal="left" vertical="center"/>
    </xf>
  </cellXfs>
  <cellStyles count="6">
    <cellStyle name="Komma" xfId="1" builtinId="3"/>
    <cellStyle name="Procent" xfId="2" builtinId="5"/>
    <cellStyle name="Standaard" xfId="0" builtinId="0"/>
    <cellStyle name="Standaard 2" xfId="3" xr:uid="{00000000-0005-0000-0000-000003000000}"/>
    <cellStyle name="Standaard 3" xfId="4" xr:uid="{00000000-0005-0000-0000-000004000000}"/>
    <cellStyle name="Standaard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8A04F-C0CA-4C1B-9A10-65A74DC8EDB3}">
  <dimension ref="A1:N112"/>
  <sheetViews>
    <sheetView tabSelected="1" topLeftCell="A7" workbookViewId="0">
      <selection activeCell="B17" sqref="B17"/>
    </sheetView>
  </sheetViews>
  <sheetFormatPr defaultRowHeight="13.2" x14ac:dyDescent="0.25"/>
  <cols>
    <col min="1" max="1" width="46.5546875" bestFit="1" customWidth="1"/>
    <col min="2" max="2" width="24.88671875" bestFit="1" customWidth="1"/>
    <col min="5" max="5" width="32" bestFit="1" customWidth="1"/>
    <col min="6" max="6" width="10.33203125" bestFit="1" customWidth="1"/>
    <col min="7" max="7" width="23.6640625" bestFit="1" customWidth="1"/>
    <col min="8" max="8" width="31.109375" bestFit="1" customWidth="1"/>
    <col min="9" max="9" width="16.5546875" bestFit="1" customWidth="1"/>
    <col min="10" max="10" width="22.6640625" bestFit="1" customWidth="1"/>
    <col min="11" max="11" width="16.5546875" bestFit="1" customWidth="1"/>
    <col min="12" max="12" width="41.21875" bestFit="1" customWidth="1"/>
    <col min="13" max="13" width="23.21875" style="92" customWidth="1"/>
    <col min="14" max="14" width="26.21875" style="92" customWidth="1"/>
  </cols>
  <sheetData>
    <row r="1" spans="1:14" ht="13.8" thickBot="1" x14ac:dyDescent="0.3">
      <c r="A1" s="140" t="s">
        <v>66</v>
      </c>
      <c r="B1" s="143">
        <v>2023</v>
      </c>
      <c r="C1" s="1"/>
      <c r="H1" s="1"/>
      <c r="M1" s="93" t="s">
        <v>30</v>
      </c>
      <c r="N1" s="94" t="s">
        <v>31</v>
      </c>
    </row>
    <row r="2" spans="1:14" ht="13.8" thickBot="1" x14ac:dyDescent="0.3">
      <c r="A2" s="48" t="s">
        <v>71</v>
      </c>
      <c r="B2" s="49">
        <v>700</v>
      </c>
      <c r="C2" s="1"/>
      <c r="E2" s="140" t="s">
        <v>68</v>
      </c>
      <c r="F2" s="143"/>
      <c r="G2" s="143"/>
      <c r="H2" s="143"/>
      <c r="I2" s="143"/>
      <c r="J2" s="142"/>
      <c r="M2" s="89">
        <v>1914</v>
      </c>
      <c r="N2" s="90">
        <v>171.09457826086955</v>
      </c>
    </row>
    <row r="3" spans="1:14" ht="13.8" thickBot="1" x14ac:dyDescent="0.3">
      <c r="A3" s="50" t="s">
        <v>89</v>
      </c>
      <c r="B3" s="51">
        <v>2</v>
      </c>
      <c r="C3" s="1"/>
      <c r="E3" s="33" t="s">
        <v>5</v>
      </c>
      <c r="F3" s="34" t="s">
        <v>6</v>
      </c>
      <c r="G3" s="35" t="s">
        <v>8</v>
      </c>
      <c r="H3" s="35" t="s">
        <v>7</v>
      </c>
      <c r="I3" s="35" t="s">
        <v>4</v>
      </c>
      <c r="J3" s="36" t="s">
        <v>3</v>
      </c>
      <c r="M3" s="89">
        <v>1915</v>
      </c>
      <c r="N3" s="90">
        <v>118.47940588235294</v>
      </c>
    </row>
    <row r="4" spans="1:14" ht="13.8" thickBot="1" x14ac:dyDescent="0.3">
      <c r="A4" s="50" t="s">
        <v>27</v>
      </c>
      <c r="B4" s="67">
        <f>I15</f>
        <v>15000</v>
      </c>
      <c r="C4" s="1"/>
      <c r="E4" s="37">
        <v>1989</v>
      </c>
      <c r="F4" s="38"/>
      <c r="G4" s="39">
        <v>105000</v>
      </c>
      <c r="H4" s="39">
        <v>0</v>
      </c>
      <c r="I4" s="40">
        <f>VLOOKUP(E4,$M$2:$N$112,2,FALSE)</f>
        <v>2.2636586246122028</v>
      </c>
      <c r="J4" s="41">
        <f>PRODUCT(G4+H4,I4)</f>
        <v>237684.15558428128</v>
      </c>
      <c r="M4" s="89">
        <v>1916</v>
      </c>
      <c r="N4" s="90">
        <v>89.596180434782625</v>
      </c>
    </row>
    <row r="5" spans="1:14" ht="13.8" thickBot="1" x14ac:dyDescent="0.3">
      <c r="A5" s="50" t="s">
        <v>69</v>
      </c>
      <c r="B5" s="52">
        <v>650</v>
      </c>
      <c r="C5" s="1"/>
      <c r="D5" s="2"/>
      <c r="E5" s="42"/>
      <c r="F5" s="43">
        <v>1998</v>
      </c>
      <c r="G5" s="38">
        <v>0</v>
      </c>
      <c r="H5" s="39">
        <v>20000</v>
      </c>
      <c r="I5" s="40">
        <f>VLOOKUP(F5,$M$2:$N$112,2,FALSE)</f>
        <v>2.0915808505620626</v>
      </c>
      <c r="J5" s="44">
        <f>PRODUCT(H5,I5)</f>
        <v>41831.617011241251</v>
      </c>
      <c r="M5" s="89">
        <v>1917</v>
      </c>
      <c r="N5" s="90">
        <v>66.939833333333326</v>
      </c>
    </row>
    <row r="6" spans="1:14" ht="13.8" thickBot="1" x14ac:dyDescent="0.3">
      <c r="A6" s="50" t="s">
        <v>90</v>
      </c>
      <c r="B6" s="138">
        <f>ROUNDDOWN((B4-IF(B3&lt;2,B3*1421,2*1421)+1269)/20289,4)</f>
        <v>0.66169999999999995</v>
      </c>
      <c r="C6" s="1"/>
      <c r="D6" s="2"/>
      <c r="E6" s="45"/>
      <c r="F6" s="46">
        <v>2014</v>
      </c>
      <c r="G6" s="47">
        <v>0</v>
      </c>
      <c r="H6" s="46">
        <v>10000</v>
      </c>
      <c r="I6" s="40">
        <f>VLOOKUP(F6,$M$2:$N$112,2,FALSE)</f>
        <v>1.3475310205115218</v>
      </c>
      <c r="J6" s="44">
        <f>PRODUCT(H6,I6)</f>
        <v>13475.310205115218</v>
      </c>
      <c r="M6" s="89">
        <v>1918</v>
      </c>
      <c r="N6" s="90">
        <v>59.939658333333334</v>
      </c>
    </row>
    <row r="7" spans="1:14" ht="13.8" thickBot="1" x14ac:dyDescent="0.3">
      <c r="A7" s="50" t="s">
        <v>3</v>
      </c>
      <c r="B7" s="54">
        <f>SUM(J4:J6)</f>
        <v>292991.08280063776</v>
      </c>
      <c r="C7" s="1"/>
      <c r="D7" s="2"/>
      <c r="E7" s="2"/>
      <c r="F7" s="2"/>
      <c r="G7" s="2"/>
      <c r="H7" s="1"/>
      <c r="M7" s="89">
        <v>1919</v>
      </c>
      <c r="N7" s="90">
        <v>54.527925925925928</v>
      </c>
    </row>
    <row r="8" spans="1:14" ht="13.8" thickBot="1" x14ac:dyDescent="0.3">
      <c r="A8" s="50" t="s">
        <v>70</v>
      </c>
      <c r="B8" s="53">
        <f>ROUND(B2*12*100/B7,4)</f>
        <v>2.867</v>
      </c>
      <c r="C8" s="1"/>
      <c r="D8" s="2"/>
      <c r="E8" s="140" t="s">
        <v>87</v>
      </c>
      <c r="F8" s="143"/>
      <c r="G8" s="141"/>
      <c r="H8" s="141"/>
      <c r="I8" s="141"/>
      <c r="M8" s="89">
        <v>1920</v>
      </c>
      <c r="N8" s="90">
        <v>49.646907692307686</v>
      </c>
    </row>
    <row r="9" spans="1:14" ht="13.8" thickBot="1" x14ac:dyDescent="0.3">
      <c r="A9" s="50" t="s">
        <v>20</v>
      </c>
      <c r="B9" s="53">
        <f>ROUND(B2*B6,4)</f>
        <v>463.19</v>
      </c>
      <c r="C9" s="1"/>
      <c r="D9" s="2"/>
      <c r="E9" s="69" t="s">
        <v>35</v>
      </c>
      <c r="F9" s="69" t="s">
        <v>36</v>
      </c>
      <c r="G9" s="69" t="s">
        <v>39</v>
      </c>
      <c r="H9" s="70" t="s">
        <v>85</v>
      </c>
      <c r="I9" s="30" t="s">
        <v>40</v>
      </c>
      <c r="M9" s="89">
        <v>1921</v>
      </c>
      <c r="N9" s="90">
        <v>46.242965999999996</v>
      </c>
    </row>
    <row r="10" spans="1:14" ht="13.8" thickBot="1" x14ac:dyDescent="0.3">
      <c r="A10" s="50" t="s">
        <v>16</v>
      </c>
      <c r="B10" s="54">
        <f>IF(B3&gt;=6,ROUND(B9-0.5*B2,2),IF(B3=5,ROUND(B9-0.4*B2,2),IF(B3=4,ROUND(B9-0.3*B2,2),IF(B3=3,ROUND(B9-0.2*B2,2),B9))))</f>
        <v>463.19</v>
      </c>
      <c r="C10" s="1"/>
      <c r="D10" s="2"/>
      <c r="E10" s="27" t="s">
        <v>86</v>
      </c>
      <c r="F10" s="95">
        <v>10000</v>
      </c>
      <c r="G10" s="96" t="s">
        <v>41</v>
      </c>
      <c r="H10" s="96" t="s">
        <v>41</v>
      </c>
      <c r="I10" s="29">
        <f>IF(OR(G10="",H10=""),"",ROUND(IF(G10="ja",0,IF(H10="ja",MAX(0,MIN(F10,F10-14865.77)),F10)),2))</f>
        <v>10000</v>
      </c>
      <c r="M10" s="89">
        <v>1922</v>
      </c>
      <c r="N10" s="90">
        <v>42.238612500000002</v>
      </c>
    </row>
    <row r="11" spans="1:14" ht="13.8" thickBot="1" x14ac:dyDescent="0.3">
      <c r="A11" s="50" t="s">
        <v>1</v>
      </c>
      <c r="B11" s="54">
        <f>B2/2</f>
        <v>350</v>
      </c>
      <c r="C11" s="1"/>
      <c r="D11" s="2"/>
      <c r="E11" s="16" t="s">
        <v>42</v>
      </c>
      <c r="F11" s="97">
        <v>12500</v>
      </c>
      <c r="G11" s="98" t="s">
        <v>41</v>
      </c>
      <c r="H11" s="98" t="s">
        <v>43</v>
      </c>
      <c r="I11" s="29">
        <f t="shared" ref="I11:I14" si="0">IF(OR(G11="",H11=""),"",ROUND(IF(G11="ja",0,IF(H11="ja",MAX(0,MIN(F11,F11-14865.77)),F11)),2))</f>
        <v>0</v>
      </c>
      <c r="J11" s="103"/>
      <c r="M11" s="89">
        <v>1923</v>
      </c>
      <c r="N11" s="90">
        <v>40.693058823529412</v>
      </c>
    </row>
    <row r="12" spans="1:14" ht="13.8" thickBot="1" x14ac:dyDescent="0.3">
      <c r="A12" s="55" t="s">
        <v>2</v>
      </c>
      <c r="B12" s="56">
        <f>ROUND(B4/60,2)</f>
        <v>250</v>
      </c>
      <c r="C12" s="1"/>
      <c r="D12" s="2"/>
      <c r="E12" s="16" t="s">
        <v>46</v>
      </c>
      <c r="F12" s="97">
        <v>5000</v>
      </c>
      <c r="G12" s="98" t="s">
        <v>41</v>
      </c>
      <c r="H12" s="98" t="s">
        <v>41</v>
      </c>
      <c r="I12" s="29">
        <f t="shared" si="0"/>
        <v>5000</v>
      </c>
      <c r="M12" s="89">
        <v>1924</v>
      </c>
      <c r="N12" s="90">
        <v>36.42811323529412</v>
      </c>
    </row>
    <row r="13" spans="1:14" ht="13.8" thickBot="1" x14ac:dyDescent="0.3">
      <c r="A13" s="57" t="s">
        <v>21</v>
      </c>
      <c r="B13" s="136">
        <f>IF(IF(ROUND(B6*B2,2)&lt;(B2/2),B2/2,IF(AND(ROUND(B6*B2,2),(B4/60)&lt;(B2/2)),B2/2,IF(AND(B10&gt;B2/2,B4/60&lt;B5,B10&gt;(B4/60)),ROUND(B4/60,2),IF(AND(B10&gt;B2/2,B4/60&gt;B5,B10&gt;B5),B5,B10))))&lt;B2/2,B2/2,IF(ROUND(B6*B2,2)&lt;B2/2,B2/2,IF(AND(ROUND(B6*B2,2)&gt;B2/2,B4/60&lt;B2/2),B2/2,IF(AND(B10&gt;B2/2,B4/60&lt;B5,B10&gt;B4/60),ROUND(B4/60,2),IF(AND(B10&gt;B2/2,B4/60&gt;B5,B10&gt;B5),B5,B10)))))</f>
        <v>350</v>
      </c>
      <c r="C13" s="1"/>
      <c r="D13" s="2"/>
      <c r="E13" s="16"/>
      <c r="F13" s="97"/>
      <c r="G13" s="98"/>
      <c r="H13" s="98"/>
      <c r="I13" s="29" t="str">
        <f t="shared" si="0"/>
        <v/>
      </c>
      <c r="M13" s="89">
        <v>1925</v>
      </c>
      <c r="N13" s="90">
        <v>44.075073913043482</v>
      </c>
    </row>
    <row r="14" spans="1:14" ht="13.8" thickBot="1" x14ac:dyDescent="0.3">
      <c r="A14" s="140" t="s">
        <v>67</v>
      </c>
      <c r="B14" s="143">
        <v>2023</v>
      </c>
      <c r="E14" s="17"/>
      <c r="F14" s="99"/>
      <c r="G14" s="100"/>
      <c r="H14" s="100"/>
      <c r="I14" s="29" t="str">
        <f t="shared" si="0"/>
        <v/>
      </c>
      <c r="M14" s="89">
        <v>1926</v>
      </c>
      <c r="N14" s="90">
        <v>39.010263157894741</v>
      </c>
    </row>
    <row r="15" spans="1:14" ht="15" thickBot="1" x14ac:dyDescent="0.35">
      <c r="A15" s="58" t="s">
        <v>124</v>
      </c>
      <c r="B15" s="59">
        <v>700</v>
      </c>
      <c r="E15" s="18" t="s">
        <v>49</v>
      </c>
      <c r="F15" s="22"/>
      <c r="G15" s="21"/>
      <c r="H15" s="20"/>
      <c r="I15" s="19">
        <f>SUM(I10:I14)</f>
        <v>15000</v>
      </c>
      <c r="J15" s="139"/>
      <c r="M15" s="89">
        <v>1927</v>
      </c>
      <c r="N15" s="90">
        <v>34.46815909090909</v>
      </c>
    </row>
    <row r="16" spans="1:14" ht="13.8" thickBot="1" x14ac:dyDescent="0.3">
      <c r="A16" s="60" t="s">
        <v>80</v>
      </c>
      <c r="B16" s="61">
        <v>0</v>
      </c>
      <c r="M16" s="89">
        <v>1928</v>
      </c>
      <c r="N16" s="90">
        <v>29.054274866310163</v>
      </c>
    </row>
    <row r="17" spans="1:14" ht="13.8" thickBot="1" x14ac:dyDescent="0.3">
      <c r="A17" s="62" t="s">
        <v>72</v>
      </c>
      <c r="B17" s="63">
        <f>ROUND(MAX(149,MIN(298,149+149*(B15-330)/(857-330))),0)</f>
        <v>254</v>
      </c>
      <c r="E17" s="140" t="s">
        <v>88</v>
      </c>
      <c r="F17" s="143"/>
      <c r="G17" s="141"/>
      <c r="H17" s="141"/>
      <c r="I17" s="141"/>
      <c r="J17" s="141"/>
      <c r="K17" s="141"/>
      <c r="M17" s="89">
        <v>1929</v>
      </c>
      <c r="N17" s="90">
        <v>24.924673991031391</v>
      </c>
    </row>
    <row r="18" spans="1:14" ht="24.6" thickBot="1" x14ac:dyDescent="0.3">
      <c r="A18" s="62" t="s">
        <v>81</v>
      </c>
      <c r="B18" s="63">
        <f>ROUND(MAX(0,MIN(168,168*(857-B15)/(857-330))),0)</f>
        <v>50</v>
      </c>
      <c r="E18" s="30" t="s">
        <v>35</v>
      </c>
      <c r="F18" s="30" t="s">
        <v>36</v>
      </c>
      <c r="G18" s="30" t="s">
        <v>37</v>
      </c>
      <c r="H18" s="30" t="s">
        <v>38</v>
      </c>
      <c r="I18" s="31" t="s">
        <v>39</v>
      </c>
      <c r="J18" s="32" t="s">
        <v>85</v>
      </c>
      <c r="K18" s="31" t="s">
        <v>40</v>
      </c>
      <c r="M18" s="89">
        <v>1930</v>
      </c>
      <c r="N18" s="90">
        <v>27.348925961538455</v>
      </c>
    </row>
    <row r="19" spans="1:14" ht="13.8" thickBot="1" x14ac:dyDescent="0.3">
      <c r="A19" s="50" t="s">
        <v>89</v>
      </c>
      <c r="B19" s="51">
        <v>2</v>
      </c>
      <c r="E19" s="27" t="s">
        <v>86</v>
      </c>
      <c r="F19" s="95">
        <v>10000</v>
      </c>
      <c r="G19" s="96">
        <v>2021</v>
      </c>
      <c r="H19" s="28">
        <f>IF(OR(F19="",G19=""),"",IF(G19=2022,F19*1.0502,IF(G19=2021,F19*1.1418,F19*1)))</f>
        <v>11418</v>
      </c>
      <c r="I19" s="96" t="s">
        <v>41</v>
      </c>
      <c r="J19" s="96" t="s">
        <v>41</v>
      </c>
      <c r="K19" s="29">
        <f>IF(OR(I19="",J19=""),"",ROUND(IF(I19="ja",0,IF(J19="ja",MAX(0,MIN(H19,H19-14865.77)),H19)),2))</f>
        <v>11418</v>
      </c>
      <c r="M19" s="89">
        <v>1931</v>
      </c>
      <c r="N19" s="90">
        <v>32.890461016949146</v>
      </c>
    </row>
    <row r="20" spans="1:14" ht="13.8" thickBot="1" x14ac:dyDescent="0.3">
      <c r="A20" s="62" t="s">
        <v>82</v>
      </c>
      <c r="B20" s="63">
        <f>B19*22</f>
        <v>44</v>
      </c>
      <c r="E20" s="16" t="s">
        <v>42</v>
      </c>
      <c r="F20" s="97">
        <v>12500</v>
      </c>
      <c r="G20" s="96">
        <v>2021</v>
      </c>
      <c r="H20" s="28">
        <f t="shared" ref="H20:H23" si="1">IF(OR(F20="",G20=""),"",IF(G20=2022,F20*1.0502,IF(G20=2021,F20*1.1418,F20*1)))</f>
        <v>14272.499999999998</v>
      </c>
      <c r="I20" s="98" t="s">
        <v>41</v>
      </c>
      <c r="J20" s="98" t="s">
        <v>43</v>
      </c>
      <c r="K20" s="29">
        <f t="shared" ref="K20:K23" si="2">IF(OR(I20="",J20=""),"",ROUND(IF(I20="ja",0,IF(J20="ja",MAX(0,MIN(H20,H20-14865.77)),H20)),2))</f>
        <v>0</v>
      </c>
      <c r="M20" s="89">
        <v>1932</v>
      </c>
      <c r="N20" s="90">
        <v>36.325044512195127</v>
      </c>
    </row>
    <row r="21" spans="1:14" ht="13.8" thickBot="1" x14ac:dyDescent="0.3">
      <c r="A21" s="62" t="s">
        <v>84</v>
      </c>
      <c r="B21" s="64" t="s">
        <v>47</v>
      </c>
      <c r="E21" s="16" t="s">
        <v>46</v>
      </c>
      <c r="F21" s="97">
        <v>5000</v>
      </c>
      <c r="G21" s="96">
        <v>2021</v>
      </c>
      <c r="H21" s="28">
        <f t="shared" si="1"/>
        <v>5709</v>
      </c>
      <c r="I21" s="98" t="s">
        <v>41</v>
      </c>
      <c r="J21" s="98" t="s">
        <v>41</v>
      </c>
      <c r="K21" s="29">
        <f t="shared" si="2"/>
        <v>5709</v>
      </c>
      <c r="M21" s="89">
        <v>1933</v>
      </c>
      <c r="N21" s="90">
        <v>42.039059999999999</v>
      </c>
    </row>
    <row r="22" spans="1:14" ht="13.8" thickBot="1" x14ac:dyDescent="0.3">
      <c r="A22" s="62" t="s">
        <v>83</v>
      </c>
      <c r="B22" s="63">
        <f>VLOOKUP(B21,E27:F36,2,FALSE)</f>
        <v>49220</v>
      </c>
      <c r="E22" s="16"/>
      <c r="F22" s="97"/>
      <c r="G22" s="98"/>
      <c r="H22" s="28" t="str">
        <f t="shared" si="1"/>
        <v/>
      </c>
      <c r="I22" s="98"/>
      <c r="J22" s="98"/>
      <c r="K22" s="29" t="str">
        <f t="shared" si="2"/>
        <v/>
      </c>
      <c r="M22" s="89">
        <v>1934</v>
      </c>
      <c r="N22" s="90">
        <v>42.390200000000007</v>
      </c>
    </row>
    <row r="23" spans="1:14" ht="13.8" thickBot="1" x14ac:dyDescent="0.3">
      <c r="A23" s="62" t="s">
        <v>90</v>
      </c>
      <c r="B23" s="137">
        <f>IF(K24&lt;=B22,1/54,IF(K24&lt;B22*1.25,1/53,IF(K24&lt;B24*1.5,1/52,1/51)))</f>
        <v>1.8518518518518517E-2</v>
      </c>
      <c r="E23" s="17"/>
      <c r="F23" s="99"/>
      <c r="G23" s="100"/>
      <c r="H23" s="121" t="str">
        <f t="shared" si="1"/>
        <v/>
      </c>
      <c r="I23" s="100"/>
      <c r="J23" s="100"/>
      <c r="K23" s="122" t="str">
        <f t="shared" si="2"/>
        <v/>
      </c>
      <c r="M23" s="89">
        <v>1935</v>
      </c>
      <c r="N23" s="90">
        <v>40.916790384615382</v>
      </c>
    </row>
    <row r="24" spans="1:14" ht="15" thickBot="1" x14ac:dyDescent="0.35">
      <c r="A24" s="66" t="s">
        <v>13</v>
      </c>
      <c r="B24" s="67">
        <f>K24</f>
        <v>17127</v>
      </c>
      <c r="E24" s="144" t="s">
        <v>49</v>
      </c>
      <c r="F24" s="145"/>
      <c r="G24" s="146"/>
      <c r="H24" s="126">
        <f>SUM(H19:H23)</f>
        <v>31399.5</v>
      </c>
      <c r="I24" s="123"/>
      <c r="J24" s="124"/>
      <c r="K24" s="125">
        <f>SUM(K19:K23)</f>
        <v>17127</v>
      </c>
      <c r="M24" s="89">
        <v>1936</v>
      </c>
      <c r="N24" s="90">
        <v>37.540336206896555</v>
      </c>
    </row>
    <row r="25" spans="1:14" ht="13.8" thickBot="1" x14ac:dyDescent="0.3">
      <c r="A25" s="65" t="s">
        <v>48</v>
      </c>
      <c r="B25" s="68">
        <f>MAX(B17+B16,MIN(B15,B24*B23-B18-B20+B16))</f>
        <v>254</v>
      </c>
      <c r="M25" s="89">
        <v>1937</v>
      </c>
      <c r="N25" s="90">
        <v>31.979322488038278</v>
      </c>
    </row>
    <row r="26" spans="1:14" ht="13.8" thickBot="1" x14ac:dyDescent="0.3">
      <c r="A26" s="140" t="s">
        <v>93</v>
      </c>
      <c r="B26" s="141"/>
      <c r="E26" s="140" t="s">
        <v>56</v>
      </c>
      <c r="F26" s="142"/>
      <c r="K26" s="139"/>
      <c r="M26" s="89">
        <v>1938</v>
      </c>
      <c r="N26" s="90">
        <v>25.420070631970262</v>
      </c>
    </row>
    <row r="27" spans="1:14" ht="13.8" thickBot="1" x14ac:dyDescent="0.3">
      <c r="A27" s="58" t="s">
        <v>54</v>
      </c>
      <c r="B27" s="63">
        <f>B25-B13</f>
        <v>-96</v>
      </c>
      <c r="E27" s="80" t="s">
        <v>57</v>
      </c>
      <c r="F27" s="81">
        <v>31987</v>
      </c>
      <c r="M27" s="89">
        <v>1939</v>
      </c>
      <c r="N27" s="90">
        <v>30.691407894736844</v>
      </c>
    </row>
    <row r="28" spans="1:14" ht="13.8" thickBot="1" x14ac:dyDescent="0.3">
      <c r="A28" s="62" t="s">
        <v>125</v>
      </c>
      <c r="B28" s="71">
        <v>0.5</v>
      </c>
      <c r="C28" s="3"/>
      <c r="D28" s="3"/>
      <c r="E28" s="82" t="s">
        <v>58</v>
      </c>
      <c r="F28" s="83">
        <v>29515</v>
      </c>
      <c r="G28" s="3"/>
      <c r="H28" s="3"/>
      <c r="M28" s="89">
        <v>1940</v>
      </c>
      <c r="N28" s="90">
        <v>22.374824062499997</v>
      </c>
    </row>
    <row r="29" spans="1:14" ht="13.8" thickBot="1" x14ac:dyDescent="0.3">
      <c r="A29" s="65" t="s">
        <v>94</v>
      </c>
      <c r="B29" s="135">
        <f>B13+(B27*B28)</f>
        <v>302</v>
      </c>
      <c r="C29" s="4"/>
      <c r="D29" s="3"/>
      <c r="E29" s="82" t="s">
        <v>59</v>
      </c>
      <c r="F29" s="83">
        <v>44270</v>
      </c>
      <c r="G29" s="3"/>
      <c r="H29" s="3"/>
      <c r="M29" s="89">
        <v>1941</v>
      </c>
      <c r="N29" s="90">
        <v>16.069227631578947</v>
      </c>
    </row>
    <row r="30" spans="1:14" ht="13.8" thickBot="1" x14ac:dyDescent="0.3">
      <c r="C30" s="3"/>
      <c r="D30" s="3"/>
      <c r="E30" s="82" t="s">
        <v>60</v>
      </c>
      <c r="F30" s="84">
        <v>46745</v>
      </c>
      <c r="G30" s="3"/>
      <c r="H30" s="3"/>
      <c r="M30" s="89">
        <v>1942</v>
      </c>
      <c r="N30" s="90">
        <v>13.833676383763837</v>
      </c>
    </row>
    <row r="31" spans="1:14" ht="13.8" thickBot="1" x14ac:dyDescent="0.3">
      <c r="A31" s="72" t="s">
        <v>9</v>
      </c>
      <c r="E31" s="85" t="s">
        <v>47</v>
      </c>
      <c r="F31" s="84">
        <v>49220</v>
      </c>
      <c r="M31" s="89">
        <v>1943</v>
      </c>
      <c r="N31" s="90">
        <v>10.540465384615384</v>
      </c>
    </row>
    <row r="32" spans="1:14" ht="13.8" thickBot="1" x14ac:dyDescent="0.3">
      <c r="A32" s="73" t="s">
        <v>10</v>
      </c>
      <c r="E32" s="86" t="s">
        <v>61</v>
      </c>
      <c r="F32" s="84">
        <v>51695</v>
      </c>
      <c r="M32" s="89">
        <v>1944</v>
      </c>
      <c r="N32" s="90">
        <v>9.0876454861111124</v>
      </c>
    </row>
    <row r="33" spans="1:14" ht="13.8" thickBot="1" x14ac:dyDescent="0.3">
      <c r="A33" s="74" t="s">
        <v>95</v>
      </c>
      <c r="E33" s="86" t="s">
        <v>62</v>
      </c>
      <c r="F33" s="84">
        <v>54170</v>
      </c>
      <c r="M33" s="89">
        <v>1945</v>
      </c>
      <c r="N33" s="90">
        <v>7.5096392523364477</v>
      </c>
    </row>
    <row r="34" spans="1:14" ht="13.8" thickBot="1" x14ac:dyDescent="0.3">
      <c r="A34" s="75" t="s">
        <v>107</v>
      </c>
      <c r="E34" s="86" t="s">
        <v>63</v>
      </c>
      <c r="F34" s="84">
        <v>56645</v>
      </c>
      <c r="M34" s="89">
        <v>1946</v>
      </c>
      <c r="N34" s="90">
        <v>7.2309261213720308</v>
      </c>
    </row>
    <row r="35" spans="1:14" ht="13.8" thickBot="1" x14ac:dyDescent="0.3">
      <c r="E35" s="86" t="s">
        <v>64</v>
      </c>
      <c r="F35" s="84">
        <v>59120</v>
      </c>
      <c r="M35" s="89">
        <v>1947</v>
      </c>
      <c r="N35" s="90">
        <v>6.3639435703479581</v>
      </c>
    </row>
    <row r="36" spans="1:14" ht="13.8" thickBot="1" x14ac:dyDescent="0.3">
      <c r="E36" s="87" t="s">
        <v>65</v>
      </c>
      <c r="F36" s="88">
        <v>61595</v>
      </c>
      <c r="M36" s="89">
        <v>1948</v>
      </c>
      <c r="N36" s="90">
        <v>6.7582615384615385</v>
      </c>
    </row>
    <row r="37" spans="1:14" ht="13.8" thickBot="1" x14ac:dyDescent="0.3">
      <c r="M37" s="89">
        <v>1949</v>
      </c>
      <c r="N37" s="90">
        <v>6.9972817315329632</v>
      </c>
    </row>
    <row r="38" spans="1:14" ht="13.8" thickBot="1" x14ac:dyDescent="0.3">
      <c r="M38" s="89">
        <v>1950</v>
      </c>
      <c r="N38" s="90">
        <v>6.6282732352941176</v>
      </c>
    </row>
    <row r="39" spans="1:14" ht="13.8" thickBot="1" x14ac:dyDescent="0.3">
      <c r="M39" s="89">
        <v>1951</v>
      </c>
      <c r="N39" s="90">
        <v>5.9246287090558774</v>
      </c>
    </row>
    <row r="40" spans="1:14" ht="13.8" thickBot="1" x14ac:dyDescent="0.3">
      <c r="M40" s="89">
        <v>1952</v>
      </c>
      <c r="N40" s="90">
        <v>6.0982968992248061</v>
      </c>
    </row>
    <row r="41" spans="1:14" ht="13.8" thickBot="1" x14ac:dyDescent="0.3">
      <c r="M41" s="89">
        <v>1953</v>
      </c>
      <c r="N41" s="90">
        <v>6.8712672119487914</v>
      </c>
    </row>
    <row r="42" spans="1:14" ht="13.8" thickBot="1" x14ac:dyDescent="0.3">
      <c r="M42" s="89">
        <v>1954</v>
      </c>
      <c r="N42" s="90">
        <v>6.7287273655547999</v>
      </c>
    </row>
    <row r="43" spans="1:14" ht="13.8" thickBot="1" x14ac:dyDescent="0.3">
      <c r="M43" s="89">
        <v>1955</v>
      </c>
      <c r="N43" s="90">
        <v>7.2205434689507513</v>
      </c>
    </row>
    <row r="44" spans="1:14" ht="13.8" thickBot="1" x14ac:dyDescent="0.3">
      <c r="M44" s="89">
        <v>1956</v>
      </c>
      <c r="N44" s="90">
        <v>6.8003436268068329</v>
      </c>
    </row>
    <row r="45" spans="1:14" ht="13.8" thickBot="1" x14ac:dyDescent="0.3">
      <c r="M45" s="89">
        <v>1957</v>
      </c>
      <c r="N45" s="90">
        <v>6.3199562649164678</v>
      </c>
    </row>
    <row r="46" spans="1:14" ht="13.8" thickBot="1" x14ac:dyDescent="0.3">
      <c r="M46" s="89">
        <v>1958</v>
      </c>
      <c r="N46" s="90">
        <v>6.8174162264150944</v>
      </c>
    </row>
    <row r="47" spans="1:14" ht="13.8" thickBot="1" x14ac:dyDescent="0.3">
      <c r="M47" s="89">
        <v>1959</v>
      </c>
      <c r="N47" s="90">
        <v>7.0249894236858754</v>
      </c>
    </row>
    <row r="48" spans="1:14" ht="13.8" thickBot="1" x14ac:dyDescent="0.3">
      <c r="M48" s="89">
        <v>1960</v>
      </c>
      <c r="N48" s="90">
        <v>6.591490243902439</v>
      </c>
    </row>
    <row r="49" spans="13:14" ht="13.8" thickBot="1" x14ac:dyDescent="0.3">
      <c r="M49" s="89">
        <v>1961</v>
      </c>
      <c r="N49" s="90">
        <v>6.5357093415869443</v>
      </c>
    </row>
    <row r="50" spans="13:14" ht="13.8" thickBot="1" x14ac:dyDescent="0.3">
      <c r="M50" s="89">
        <v>1962</v>
      </c>
      <c r="N50" s="90">
        <v>6.5780872093023257</v>
      </c>
    </row>
    <row r="51" spans="13:14" ht="13.8" thickBot="1" x14ac:dyDescent="0.3">
      <c r="M51" s="89">
        <v>1963</v>
      </c>
      <c r="N51" s="90">
        <v>6.331108641332639</v>
      </c>
    </row>
    <row r="52" spans="13:14" ht="13.8" thickBot="1" x14ac:dyDescent="0.3">
      <c r="M52" s="89">
        <v>1964</v>
      </c>
      <c r="N52" s="90">
        <v>5.7960381462505826</v>
      </c>
    </row>
    <row r="53" spans="13:14" ht="13.8" thickBot="1" x14ac:dyDescent="0.3">
      <c r="M53" s="89">
        <v>1965</v>
      </c>
      <c r="N53" s="90">
        <v>6.0066557547169817</v>
      </c>
    </row>
    <row r="54" spans="13:14" ht="13.8" thickBot="1" x14ac:dyDescent="0.3">
      <c r="M54" s="89">
        <v>1966</v>
      </c>
      <c r="N54" s="90">
        <v>5.6318533275713047</v>
      </c>
    </row>
    <row r="55" spans="13:14" ht="13.8" thickBot="1" x14ac:dyDescent="0.3">
      <c r="M55" s="89">
        <v>1967</v>
      </c>
      <c r="N55" s="90">
        <v>5.5310777270841971</v>
      </c>
    </row>
    <row r="56" spans="13:14" ht="13.8" thickBot="1" x14ac:dyDescent="0.3">
      <c r="M56" s="89">
        <v>1968</v>
      </c>
      <c r="N56" s="90">
        <v>5.5792029026982819</v>
      </c>
    </row>
    <row r="57" spans="13:14" ht="13.8" thickBot="1" x14ac:dyDescent="0.3">
      <c r="M57" s="89">
        <v>1969</v>
      </c>
      <c r="N57" s="90">
        <v>5.3315592210767466</v>
      </c>
    </row>
    <row r="58" spans="13:14" ht="13.8" thickBot="1" x14ac:dyDescent="0.3">
      <c r="M58" s="89">
        <v>1970</v>
      </c>
      <c r="N58" s="90">
        <v>4.9801181596375041</v>
      </c>
    </row>
    <row r="59" spans="13:14" ht="13.8" thickBot="1" x14ac:dyDescent="0.3">
      <c r="M59" s="89">
        <v>1971</v>
      </c>
      <c r="N59" s="90">
        <v>4.8428441536932763</v>
      </c>
    </row>
    <row r="60" spans="13:14" ht="13.8" thickBot="1" x14ac:dyDescent="0.3">
      <c r="M60" s="89">
        <v>1972</v>
      </c>
      <c r="N60" s="90">
        <v>4.6026675783650886</v>
      </c>
    </row>
    <row r="61" spans="13:14" ht="13.8" thickBot="1" x14ac:dyDescent="0.3">
      <c r="M61" s="89">
        <v>1973</v>
      </c>
      <c r="N61" s="90">
        <v>4.2381465174129351</v>
      </c>
    </row>
    <row r="62" spans="13:14" ht="13.8" thickBot="1" x14ac:dyDescent="0.3">
      <c r="M62" s="89">
        <v>1974</v>
      </c>
      <c r="N62" s="90">
        <v>3.3378970869657665</v>
      </c>
    </row>
    <row r="63" spans="13:14" ht="13.8" thickBot="1" x14ac:dyDescent="0.3">
      <c r="M63" s="89">
        <v>1975</v>
      </c>
      <c r="N63" s="90">
        <v>3.0881299000768636</v>
      </c>
    </row>
    <row r="64" spans="13:14" ht="13.8" thickBot="1" x14ac:dyDescent="0.3">
      <c r="M64" s="89">
        <v>1976</v>
      </c>
      <c r="N64" s="90">
        <v>2.9019418063150471</v>
      </c>
    </row>
    <row r="65" spans="13:14" ht="13.8" thickBot="1" x14ac:dyDescent="0.3">
      <c r="M65" s="89">
        <v>1977</v>
      </c>
      <c r="N65" s="90">
        <v>2.7008067671584346</v>
      </c>
    </row>
    <row r="66" spans="13:14" ht="13.8" thickBot="1" x14ac:dyDescent="0.3">
      <c r="M66" s="89">
        <v>1978</v>
      </c>
      <c r="N66" s="90">
        <v>2.6586485736314573</v>
      </c>
    </row>
    <row r="67" spans="13:14" ht="13.8" thickBot="1" x14ac:dyDescent="0.3">
      <c r="M67" s="89">
        <v>1979</v>
      </c>
      <c r="N67" s="90">
        <v>2.6423750711184311</v>
      </c>
    </row>
    <row r="68" spans="13:14" ht="13.8" thickBot="1" x14ac:dyDescent="0.3">
      <c r="M68" s="89">
        <v>1980</v>
      </c>
      <c r="N68" s="90">
        <v>2.5757154284899473</v>
      </c>
    </row>
    <row r="69" spans="13:14" ht="13.8" thickBot="1" x14ac:dyDescent="0.3">
      <c r="M69" s="89">
        <v>1981</v>
      </c>
      <c r="N69" s="90">
        <v>2.6360392984457439</v>
      </c>
    </row>
    <row r="70" spans="13:14" ht="13.8" thickBot="1" x14ac:dyDescent="0.3">
      <c r="M70" s="89">
        <v>1982</v>
      </c>
      <c r="N70" s="90">
        <v>2.6975013546271209</v>
      </c>
    </row>
    <row r="71" spans="13:14" ht="13.8" thickBot="1" x14ac:dyDescent="0.3">
      <c r="M71" s="89">
        <v>1983</v>
      </c>
      <c r="N71" s="90">
        <v>2.6289002444655711</v>
      </c>
    </row>
    <row r="72" spans="13:14" ht="13.8" thickBot="1" x14ac:dyDescent="0.3">
      <c r="M72" s="89">
        <v>1984</v>
      </c>
      <c r="N72" s="90">
        <v>2.5372953363228699</v>
      </c>
    </row>
    <row r="73" spans="13:14" ht="13.8" thickBot="1" x14ac:dyDescent="0.3">
      <c r="M73" s="89">
        <v>1985</v>
      </c>
      <c r="N73" s="90">
        <v>2.4730386699206837</v>
      </c>
    </row>
    <row r="74" spans="13:14" ht="13.8" thickBot="1" x14ac:dyDescent="0.3">
      <c r="M74" s="89">
        <v>1986</v>
      </c>
      <c r="N74" s="90">
        <v>2.5285578523489933</v>
      </c>
    </row>
    <row r="75" spans="13:14" ht="13.8" thickBot="1" x14ac:dyDescent="0.3">
      <c r="M75" s="89">
        <v>1987</v>
      </c>
      <c r="N75" s="90">
        <v>2.4318890761185359</v>
      </c>
    </row>
    <row r="76" spans="13:14" ht="13.8" thickBot="1" x14ac:dyDescent="0.3">
      <c r="M76" s="89">
        <v>1988</v>
      </c>
      <c r="N76" s="90">
        <v>2.3623586248758413</v>
      </c>
    </row>
    <row r="77" spans="13:14" ht="13.8" thickBot="1" x14ac:dyDescent="0.3">
      <c r="M77" s="89">
        <v>1989</v>
      </c>
      <c r="N77" s="90">
        <v>2.2636586246122028</v>
      </c>
    </row>
    <row r="78" spans="13:14" ht="13.8" thickBot="1" x14ac:dyDescent="0.3">
      <c r="M78" s="89">
        <v>1990</v>
      </c>
      <c r="N78" s="90">
        <v>2.1825933151432468</v>
      </c>
    </row>
    <row r="79" spans="13:14" ht="13.8" thickBot="1" x14ac:dyDescent="0.3">
      <c r="M79" s="89">
        <v>1991</v>
      </c>
      <c r="N79" s="90">
        <v>2.076049990938746</v>
      </c>
    </row>
    <row r="80" spans="13:14" ht="13.8" thickBot="1" x14ac:dyDescent="0.3">
      <c r="M80" s="89">
        <v>1992</v>
      </c>
      <c r="N80" s="90">
        <v>2.0143372216968967</v>
      </c>
    </row>
    <row r="81" spans="13:14" ht="13.8" thickBot="1" x14ac:dyDescent="0.3">
      <c r="M81" s="89">
        <v>1993</v>
      </c>
      <c r="N81" s="90">
        <v>2.0045394177681111</v>
      </c>
    </row>
    <row r="82" spans="13:14" ht="13.8" thickBot="1" x14ac:dyDescent="0.3">
      <c r="M82" s="89">
        <v>1994</v>
      </c>
      <c r="N82" s="90">
        <v>2.0372298020954598</v>
      </c>
    </row>
    <row r="83" spans="13:14" ht="13.8" thickBot="1" x14ac:dyDescent="0.3">
      <c r="M83" s="89">
        <v>1995</v>
      </c>
      <c r="N83" s="90">
        <v>2.0191203724604967</v>
      </c>
    </row>
    <row r="84" spans="13:14" ht="13.8" thickBot="1" x14ac:dyDescent="0.3">
      <c r="M84" s="89">
        <v>1996</v>
      </c>
      <c r="N84" s="90">
        <v>2.0594203298471441</v>
      </c>
    </row>
    <row r="85" spans="13:14" ht="13.8" thickBot="1" x14ac:dyDescent="0.3">
      <c r="M85" s="89">
        <v>1997</v>
      </c>
      <c r="N85" s="90">
        <v>2.1314587839461669</v>
      </c>
    </row>
    <row r="86" spans="13:14" ht="13.8" thickBot="1" x14ac:dyDescent="0.3">
      <c r="M86" s="89">
        <v>1998</v>
      </c>
      <c r="N86" s="90">
        <v>2.0915808505620626</v>
      </c>
    </row>
    <row r="87" spans="13:14" ht="13.8" thickBot="1" x14ac:dyDescent="0.3">
      <c r="M87" s="89">
        <v>1999</v>
      </c>
      <c r="N87" s="90">
        <v>2.0742964060185547</v>
      </c>
    </row>
    <row r="88" spans="13:14" ht="13.8" thickBot="1" x14ac:dyDescent="0.3">
      <c r="M88" s="89">
        <v>2000</v>
      </c>
      <c r="N88" s="90">
        <v>1.9646311747766374</v>
      </c>
    </row>
    <row r="89" spans="13:14" ht="13.8" thickBot="1" x14ac:dyDescent="0.3">
      <c r="M89" s="89">
        <v>2001</v>
      </c>
      <c r="N89" s="90">
        <v>1.8590693124650643</v>
      </c>
    </row>
    <row r="90" spans="13:14" ht="13.8" thickBot="1" x14ac:dyDescent="0.3">
      <c r="M90" s="89">
        <v>2002</v>
      </c>
      <c r="N90" s="90">
        <v>1.835218650848393</v>
      </c>
    </row>
    <row r="91" spans="13:14" ht="13.8" thickBot="1" x14ac:dyDescent="0.3">
      <c r="M91" s="89">
        <v>2003</v>
      </c>
      <c r="N91" s="90">
        <v>1.7925621505086573</v>
      </c>
    </row>
    <row r="92" spans="13:14" ht="13.8" thickBot="1" x14ac:dyDescent="0.3">
      <c r="M92" s="89">
        <v>2004</v>
      </c>
      <c r="N92" s="90">
        <v>1.7013236140418184</v>
      </c>
    </row>
    <row r="93" spans="13:14" ht="13.8" thickBot="1" x14ac:dyDescent="0.3">
      <c r="M93" s="89">
        <v>2005</v>
      </c>
      <c r="N93" s="90">
        <v>1.6401800024657871</v>
      </c>
    </row>
    <row r="94" spans="13:14" ht="13.8" thickBot="1" x14ac:dyDescent="0.3">
      <c r="M94" s="89">
        <v>2006</v>
      </c>
      <c r="N94" s="90">
        <v>1.5490588912176877</v>
      </c>
    </row>
    <row r="95" spans="13:14" ht="13.8" thickBot="1" x14ac:dyDescent="0.3">
      <c r="M95" s="89">
        <v>2007</v>
      </c>
      <c r="N95" s="90">
        <v>1.5095313741064336</v>
      </c>
    </row>
    <row r="96" spans="13:14" ht="13.8" thickBot="1" x14ac:dyDescent="0.3">
      <c r="M96" s="89">
        <v>2008</v>
      </c>
      <c r="N96" s="90">
        <v>1.444384126811791</v>
      </c>
    </row>
    <row r="97" spans="13:14" ht="13.8" thickBot="1" x14ac:dyDescent="0.3">
      <c r="M97" s="89">
        <v>2009</v>
      </c>
      <c r="N97" s="90">
        <v>1.4983106205653789</v>
      </c>
    </row>
    <row r="98" spans="13:14" ht="13.8" thickBot="1" x14ac:dyDescent="0.3">
      <c r="M98" s="89">
        <v>2010</v>
      </c>
      <c r="N98" s="90">
        <v>1.4548884514435696</v>
      </c>
    </row>
    <row r="99" spans="13:14" ht="13.8" thickBot="1" x14ac:dyDescent="0.3">
      <c r="M99" s="89">
        <v>2011</v>
      </c>
      <c r="N99" s="90">
        <v>1.4239764516992239</v>
      </c>
    </row>
    <row r="100" spans="13:14" ht="13.8" thickBot="1" x14ac:dyDescent="0.3">
      <c r="M100" s="89">
        <v>2012</v>
      </c>
      <c r="N100" s="90">
        <v>1.3771026344392112</v>
      </c>
    </row>
    <row r="101" spans="13:14" ht="13.8" thickBot="1" x14ac:dyDescent="0.3">
      <c r="M101" s="89">
        <v>2013</v>
      </c>
      <c r="N101" s="90">
        <v>1.3584703359542529</v>
      </c>
    </row>
    <row r="102" spans="13:14" ht="13.8" thickBot="1" x14ac:dyDescent="0.3">
      <c r="M102" s="89">
        <v>2014</v>
      </c>
      <c r="N102" s="90">
        <v>1.3475310205115218</v>
      </c>
    </row>
    <row r="103" spans="13:14" ht="13.8" thickBot="1" x14ac:dyDescent="0.3">
      <c r="M103" s="89">
        <v>2015</v>
      </c>
      <c r="N103" s="90">
        <v>1.3493762044832132</v>
      </c>
    </row>
    <row r="104" spans="13:14" ht="13.8" thickBot="1" x14ac:dyDescent="0.3">
      <c r="M104" s="89">
        <v>2016</v>
      </c>
      <c r="N104" s="90">
        <v>1.3314817594955712</v>
      </c>
    </row>
    <row r="105" spans="13:14" ht="13.8" thickBot="1" x14ac:dyDescent="0.3">
      <c r="M105" s="89">
        <v>2017</v>
      </c>
      <c r="N105" s="90">
        <v>1.2954379473197333</v>
      </c>
    </row>
    <row r="106" spans="13:14" ht="13.8" thickBot="1" x14ac:dyDescent="0.3">
      <c r="M106" s="89">
        <v>2018</v>
      </c>
      <c r="N106" s="90">
        <v>1.2409981343283583</v>
      </c>
    </row>
    <row r="107" spans="13:14" ht="13.8" thickBot="1" x14ac:dyDescent="0.3">
      <c r="M107" s="89">
        <v>2019</v>
      </c>
      <c r="N107" s="90">
        <v>1.205245515491937</v>
      </c>
    </row>
    <row r="108" spans="13:14" ht="13.8" thickBot="1" x14ac:dyDescent="0.3">
      <c r="M108" s="89">
        <v>2020</v>
      </c>
      <c r="N108" s="90">
        <v>1.1701556865159644</v>
      </c>
    </row>
    <row r="109" spans="13:14" ht="13.8" thickBot="1" x14ac:dyDescent="0.3">
      <c r="M109" s="91">
        <v>2021</v>
      </c>
      <c r="N109" s="90">
        <v>1.1081632653061224</v>
      </c>
    </row>
    <row r="110" spans="13:14" ht="13.8" thickBot="1" x14ac:dyDescent="0.3">
      <c r="M110" s="91">
        <v>2022</v>
      </c>
      <c r="N110" s="90">
        <v>1</v>
      </c>
    </row>
    <row r="111" spans="13:14" ht="13.8" thickBot="1" x14ac:dyDescent="0.3">
      <c r="M111" s="91">
        <v>2023</v>
      </c>
      <c r="N111" s="90">
        <v>1</v>
      </c>
    </row>
    <row r="112" spans="13:14" ht="13.8" thickBot="1" x14ac:dyDescent="0.3">
      <c r="M112" s="91">
        <v>2024</v>
      </c>
      <c r="N112" s="90">
        <v>1</v>
      </c>
    </row>
  </sheetData>
  <mergeCells count="8">
    <mergeCell ref="A26:B26"/>
    <mergeCell ref="E26:F26"/>
    <mergeCell ref="A1:B1"/>
    <mergeCell ref="E2:J2"/>
    <mergeCell ref="E8:I8"/>
    <mergeCell ref="A14:B14"/>
    <mergeCell ref="E17:K17"/>
    <mergeCell ref="E24:G24"/>
  </mergeCells>
  <dataValidations count="1">
    <dataValidation type="list" allowBlank="1" showInputMessage="1" showErrorMessage="1" sqref="B21" xr:uid="{4A2B5D5A-C7B4-4FF2-9E17-F872DFC7637B}">
      <formula1>$E$27:$E$36</formula1>
    </dataValidation>
  </dataValidations>
  <pageMargins left="0.7" right="0.7" top="0.75" bottom="0.75" header="0.3" footer="0.3"/>
  <pageSetup paperSize="9" orientation="portrait" r:id="rId1"/>
  <ignoredErrors>
    <ignoredError sqref="B24 B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1"/>
  <sheetViews>
    <sheetView topLeftCell="C5" workbookViewId="0">
      <selection activeCell="G20" sqref="G20"/>
    </sheetView>
  </sheetViews>
  <sheetFormatPr defaultRowHeight="13.2" x14ac:dyDescent="0.25"/>
  <cols>
    <col min="1" max="1" width="46.5546875" bestFit="1" customWidth="1"/>
    <col min="2" max="2" width="24.88671875" bestFit="1" customWidth="1"/>
    <col min="5" max="5" width="32" bestFit="1" customWidth="1"/>
    <col min="6" max="6" width="10.33203125" bestFit="1" customWidth="1"/>
    <col min="7" max="7" width="23.6640625" bestFit="1" customWidth="1"/>
    <col min="8" max="8" width="31.109375" bestFit="1" customWidth="1"/>
    <col min="9" max="9" width="16.5546875" bestFit="1" customWidth="1"/>
    <col min="10" max="10" width="22.6640625" bestFit="1" customWidth="1"/>
    <col min="11" max="11" width="16.5546875" bestFit="1" customWidth="1"/>
    <col min="12" max="12" width="41.21875" bestFit="1" customWidth="1"/>
    <col min="13" max="13" width="23.21875" style="92" customWidth="1"/>
    <col min="14" max="14" width="26.21875" style="92" customWidth="1"/>
  </cols>
  <sheetData>
    <row r="1" spans="1:14" ht="13.8" thickBot="1" x14ac:dyDescent="0.3">
      <c r="A1" s="140" t="s">
        <v>66</v>
      </c>
      <c r="B1" s="143">
        <v>2023</v>
      </c>
      <c r="C1" s="1"/>
      <c r="H1" s="1"/>
      <c r="M1" s="93" t="s">
        <v>30</v>
      </c>
      <c r="N1" s="94" t="s">
        <v>31</v>
      </c>
    </row>
    <row r="2" spans="1:14" ht="13.8" thickBot="1" x14ac:dyDescent="0.3">
      <c r="A2" s="48" t="s">
        <v>71</v>
      </c>
      <c r="B2" s="49">
        <v>700</v>
      </c>
      <c r="C2" s="1"/>
      <c r="E2" s="140" t="s">
        <v>68</v>
      </c>
      <c r="F2" s="143"/>
      <c r="G2" s="143"/>
      <c r="H2" s="143"/>
      <c r="I2" s="143"/>
      <c r="J2" s="142"/>
      <c r="M2" s="89">
        <v>1914</v>
      </c>
      <c r="N2" s="90">
        <v>171.09457826086955</v>
      </c>
    </row>
    <row r="3" spans="1:14" ht="13.8" thickBot="1" x14ac:dyDescent="0.3">
      <c r="A3" s="50" t="s">
        <v>89</v>
      </c>
      <c r="B3" s="51">
        <v>2</v>
      </c>
      <c r="C3" s="1"/>
      <c r="E3" s="33" t="s">
        <v>5</v>
      </c>
      <c r="F3" s="34" t="s">
        <v>6</v>
      </c>
      <c r="G3" s="35" t="s">
        <v>8</v>
      </c>
      <c r="H3" s="35" t="s">
        <v>7</v>
      </c>
      <c r="I3" s="35" t="s">
        <v>4</v>
      </c>
      <c r="J3" s="36" t="s">
        <v>3</v>
      </c>
      <c r="M3" s="89">
        <v>1915</v>
      </c>
      <c r="N3" s="90">
        <v>118.47940588235294</v>
      </c>
    </row>
    <row r="4" spans="1:14" ht="13.8" thickBot="1" x14ac:dyDescent="0.3">
      <c r="A4" s="50" t="s">
        <v>27</v>
      </c>
      <c r="B4" s="67">
        <f>I15</f>
        <v>15000</v>
      </c>
      <c r="C4" s="1"/>
      <c r="E4" s="37">
        <v>1989</v>
      </c>
      <c r="F4" s="38"/>
      <c r="G4" s="39">
        <v>105000</v>
      </c>
      <c r="H4" s="39">
        <v>0</v>
      </c>
      <c r="I4" s="40">
        <f>VLOOKUP(E4,$M$2:$N$111,2,FALSE)</f>
        <v>2.2636586246122028</v>
      </c>
      <c r="J4" s="41">
        <f>PRODUCT(G4+H4,I4)</f>
        <v>237684.15558428128</v>
      </c>
      <c r="M4" s="89">
        <v>1916</v>
      </c>
      <c r="N4" s="90">
        <v>89.596180434782625</v>
      </c>
    </row>
    <row r="5" spans="1:14" ht="13.8" thickBot="1" x14ac:dyDescent="0.3">
      <c r="A5" s="50" t="s">
        <v>69</v>
      </c>
      <c r="B5" s="52">
        <v>650</v>
      </c>
      <c r="C5" s="1"/>
      <c r="D5" s="2"/>
      <c r="E5" s="42"/>
      <c r="F5" s="43">
        <v>1998</v>
      </c>
      <c r="G5" s="38">
        <v>0</v>
      </c>
      <c r="H5" s="39">
        <v>20000</v>
      </c>
      <c r="I5" s="40">
        <f>VLOOKUP(F5,$M$2:$N$111,2,FALSE)</f>
        <v>2.0915808505620626</v>
      </c>
      <c r="J5" s="44">
        <f>PRODUCT(H5,I5)</f>
        <v>41831.617011241251</v>
      </c>
      <c r="M5" s="89">
        <v>1917</v>
      </c>
      <c r="N5" s="90">
        <v>66.939833333333326</v>
      </c>
    </row>
    <row r="6" spans="1:14" ht="13.8" thickBot="1" x14ac:dyDescent="0.3">
      <c r="A6" s="50" t="s">
        <v>90</v>
      </c>
      <c r="B6" s="53">
        <f>ROUNDDOWN((B4-IF(B3&lt;2,B3*1421,2*1421)+1269)/20289,4)</f>
        <v>0.66169999999999995</v>
      </c>
      <c r="C6" s="1"/>
      <c r="D6" s="2"/>
      <c r="E6" s="45"/>
      <c r="F6" s="46">
        <v>2014</v>
      </c>
      <c r="G6" s="47">
        <v>0</v>
      </c>
      <c r="H6" s="46">
        <v>10000</v>
      </c>
      <c r="I6" s="40">
        <f>VLOOKUP(F6,$M$2:$N$111,2,FALSE)</f>
        <v>1.3475310205115218</v>
      </c>
      <c r="J6" s="44">
        <f>PRODUCT(H6,I6)</f>
        <v>13475.310205115218</v>
      </c>
      <c r="M6" s="89">
        <v>1918</v>
      </c>
      <c r="N6" s="90">
        <v>59.939658333333334</v>
      </c>
    </row>
    <row r="7" spans="1:14" ht="13.8" thickBot="1" x14ac:dyDescent="0.3">
      <c r="A7" s="50" t="s">
        <v>3</v>
      </c>
      <c r="B7" s="54">
        <f>SUM(J4:J6)</f>
        <v>292991.08280063776</v>
      </c>
      <c r="C7" s="1"/>
      <c r="D7" s="2"/>
      <c r="E7" s="2"/>
      <c r="F7" s="2"/>
      <c r="G7" s="2"/>
      <c r="H7" s="1"/>
      <c r="M7" s="89">
        <v>1919</v>
      </c>
      <c r="N7" s="90">
        <v>54.527925925925928</v>
      </c>
    </row>
    <row r="8" spans="1:14" ht="13.8" thickBot="1" x14ac:dyDescent="0.3">
      <c r="A8" s="50" t="s">
        <v>70</v>
      </c>
      <c r="B8" s="53">
        <f>ROUND(B2*12*100/B7,4)</f>
        <v>2.867</v>
      </c>
      <c r="C8" s="1"/>
      <c r="D8" s="2"/>
      <c r="E8" s="140" t="s">
        <v>87</v>
      </c>
      <c r="F8" s="143"/>
      <c r="G8" s="141"/>
      <c r="H8" s="141"/>
      <c r="I8" s="141"/>
      <c r="M8" s="89">
        <v>1920</v>
      </c>
      <c r="N8" s="90">
        <v>49.646907692307686</v>
      </c>
    </row>
    <row r="9" spans="1:14" ht="13.8" thickBot="1" x14ac:dyDescent="0.3">
      <c r="A9" s="50" t="s">
        <v>20</v>
      </c>
      <c r="B9" s="53">
        <f>ROUND(B2*B6,4)</f>
        <v>463.19</v>
      </c>
      <c r="C9" s="1"/>
      <c r="D9" s="2"/>
      <c r="E9" s="69" t="s">
        <v>35</v>
      </c>
      <c r="F9" s="69" t="s">
        <v>36</v>
      </c>
      <c r="G9" s="69" t="s">
        <v>39</v>
      </c>
      <c r="H9" s="70" t="s">
        <v>85</v>
      </c>
      <c r="I9" s="30" t="s">
        <v>40</v>
      </c>
      <c r="M9" s="89">
        <v>1921</v>
      </c>
      <c r="N9" s="90">
        <v>46.242965999999996</v>
      </c>
    </row>
    <row r="10" spans="1:14" ht="13.8" thickBot="1" x14ac:dyDescent="0.3">
      <c r="A10" s="50" t="s">
        <v>16</v>
      </c>
      <c r="B10" s="54">
        <f>IF(B3&gt;=6,ROUND(B9-0.5*B2,2),IF(B3=5,ROUND(B9-0.4*B2,2),IF(B3=4,ROUND(B9-0.3*B2,2),IF(B3=3,ROUND(B9-0.2*B2,2),B9))))</f>
        <v>463.19</v>
      </c>
      <c r="C10" s="1"/>
      <c r="D10" s="2"/>
      <c r="E10" s="27" t="s">
        <v>86</v>
      </c>
      <c r="F10" s="95">
        <v>10000</v>
      </c>
      <c r="G10" s="96" t="s">
        <v>41</v>
      </c>
      <c r="H10" s="96" t="s">
        <v>41</v>
      </c>
      <c r="I10" s="29">
        <f>IF(OR(G10="",H10=""),"",ROUND(IF(G10="ja",0,IF(H10="ja",MAX(0,MIN(F10,F10-14865.77)),F10)),2))</f>
        <v>10000</v>
      </c>
      <c r="M10" s="89">
        <v>1922</v>
      </c>
      <c r="N10" s="90">
        <v>42.238612500000002</v>
      </c>
    </row>
    <row r="11" spans="1:14" ht="13.8" thickBot="1" x14ac:dyDescent="0.3">
      <c r="A11" s="50" t="s">
        <v>1</v>
      </c>
      <c r="B11" s="54">
        <f>B2/2</f>
        <v>350</v>
      </c>
      <c r="C11" s="1"/>
      <c r="D11" s="2"/>
      <c r="E11" s="16" t="s">
        <v>42</v>
      </c>
      <c r="F11" s="97">
        <v>12500</v>
      </c>
      <c r="G11" s="98" t="s">
        <v>41</v>
      </c>
      <c r="H11" s="98" t="s">
        <v>43</v>
      </c>
      <c r="I11" s="29">
        <f t="shared" ref="I11:I14" si="0">IF(OR(G11="",H11=""),"",ROUND(IF(G11="ja",0,IF(H11="ja",MAX(0,MIN(F11,F11-14865.77)),F11)),2))</f>
        <v>0</v>
      </c>
      <c r="J11" s="103"/>
      <c r="M11" s="89">
        <v>1923</v>
      </c>
      <c r="N11" s="90">
        <v>40.693058823529412</v>
      </c>
    </row>
    <row r="12" spans="1:14" ht="13.8" thickBot="1" x14ac:dyDescent="0.3">
      <c r="A12" s="55" t="s">
        <v>2</v>
      </c>
      <c r="B12" s="56">
        <f>ROUND(B4/60,2)</f>
        <v>250</v>
      </c>
      <c r="C12" s="1"/>
      <c r="D12" s="2"/>
      <c r="E12" s="16" t="s">
        <v>46</v>
      </c>
      <c r="F12" s="97">
        <v>5000</v>
      </c>
      <c r="G12" s="98" t="s">
        <v>41</v>
      </c>
      <c r="H12" s="98" t="s">
        <v>41</v>
      </c>
      <c r="I12" s="29">
        <f t="shared" si="0"/>
        <v>5000</v>
      </c>
      <c r="M12" s="89">
        <v>1924</v>
      </c>
      <c r="N12" s="90">
        <v>36.42811323529412</v>
      </c>
    </row>
    <row r="13" spans="1:14" ht="13.8" thickBot="1" x14ac:dyDescent="0.3">
      <c r="A13" s="57" t="s">
        <v>21</v>
      </c>
      <c r="B13" s="136">
        <f>IF(IF(ROUND(B6*B2,2)&lt;(B2/2),B2/2,IF(AND(ROUND(B6*B2,2),(B4/60)&lt;(B2/2)),B2/2,IF(AND(B10&gt;B2/2,B4/60&lt;B5,B10&gt;(B4/60)),ROUND(B4/60,2),IF(AND(B10&gt;B2/2,B4/60&gt;B5,B10&gt;B5),B5,B10))))&lt;B2/2,B2/2,IF(ROUND(B6*B2,2)&lt;B2/2,B2/2,IF(AND(ROUND(B6*B2,2)&gt;B2/2,B4/60&lt;B2/2),B2/2,IF(AND(B10&gt;B2/2,B4/60&lt;B5,B10&gt;B4/60),ROUND(B4/60,2),IF(AND(B10&gt;B2/2,B4/60&gt;B5,B10&gt;B5),B5,B10)))))</f>
        <v>350</v>
      </c>
      <c r="C13" s="1"/>
      <c r="D13" s="2"/>
      <c r="E13" s="16"/>
      <c r="F13" s="97"/>
      <c r="G13" s="98"/>
      <c r="H13" s="98"/>
      <c r="I13" s="29" t="str">
        <f t="shared" si="0"/>
        <v/>
      </c>
      <c r="M13" s="89">
        <v>1925</v>
      </c>
      <c r="N13" s="90">
        <v>44.075073913043482</v>
      </c>
    </row>
    <row r="14" spans="1:14" ht="13.8" thickBot="1" x14ac:dyDescent="0.3">
      <c r="A14" s="140" t="s">
        <v>106</v>
      </c>
      <c r="B14" s="142">
        <v>2023</v>
      </c>
      <c r="E14" s="17"/>
      <c r="F14" s="99"/>
      <c r="G14" s="100"/>
      <c r="H14" s="100"/>
      <c r="I14" s="29" t="str">
        <f t="shared" si="0"/>
        <v/>
      </c>
      <c r="M14" s="89">
        <v>1926</v>
      </c>
      <c r="N14" s="90">
        <v>39.010263157894741</v>
      </c>
    </row>
    <row r="15" spans="1:14" ht="15" thickBot="1" x14ac:dyDescent="0.35">
      <c r="A15" s="58" t="s">
        <v>110</v>
      </c>
      <c r="B15" s="128">
        <v>700</v>
      </c>
      <c r="E15" s="18" t="s">
        <v>49</v>
      </c>
      <c r="F15" s="22"/>
      <c r="G15" s="21"/>
      <c r="H15" s="20"/>
      <c r="I15" s="19">
        <f>SUM(I10:I14)</f>
        <v>15000</v>
      </c>
      <c r="M15" s="89">
        <v>1927</v>
      </c>
      <c r="N15" s="90">
        <v>34.46815909090909</v>
      </c>
    </row>
    <row r="16" spans="1:14" ht="13.8" thickBot="1" x14ac:dyDescent="0.3">
      <c r="A16" s="66" t="s">
        <v>108</v>
      </c>
      <c r="B16" s="54">
        <f>1.0502*B15</f>
        <v>735.14</v>
      </c>
      <c r="M16" s="89">
        <v>1928</v>
      </c>
      <c r="N16" s="90">
        <v>29.054274866310163</v>
      </c>
    </row>
    <row r="17" spans="1:14" ht="13.8" thickBot="1" x14ac:dyDescent="0.3">
      <c r="A17" s="62" t="s">
        <v>109</v>
      </c>
      <c r="B17" s="127">
        <v>0</v>
      </c>
      <c r="E17" s="140" t="s">
        <v>88</v>
      </c>
      <c r="F17" s="143"/>
      <c r="G17" s="141"/>
      <c r="H17" s="141"/>
      <c r="I17" s="141"/>
      <c r="J17" s="141"/>
      <c r="K17" s="141"/>
      <c r="M17" s="89">
        <v>1929</v>
      </c>
      <c r="N17" s="90">
        <v>24.924673991031391</v>
      </c>
    </row>
    <row r="18" spans="1:14" ht="24.6" thickBot="1" x14ac:dyDescent="0.3">
      <c r="A18" s="62" t="s">
        <v>111</v>
      </c>
      <c r="B18" s="129">
        <v>246</v>
      </c>
      <c r="E18" s="30" t="s">
        <v>35</v>
      </c>
      <c r="F18" s="30" t="s">
        <v>36</v>
      </c>
      <c r="G18" s="30" t="s">
        <v>37</v>
      </c>
      <c r="H18" s="30" t="s">
        <v>38</v>
      </c>
      <c r="I18" s="31" t="s">
        <v>39</v>
      </c>
      <c r="J18" s="32" t="s">
        <v>85</v>
      </c>
      <c r="K18" s="31" t="s">
        <v>40</v>
      </c>
      <c r="M18" s="89">
        <v>1930</v>
      </c>
      <c r="N18" s="90">
        <v>27.348925961538455</v>
      </c>
    </row>
    <row r="19" spans="1:14" ht="13.8" thickBot="1" x14ac:dyDescent="0.3">
      <c r="A19" s="66" t="s">
        <v>113</v>
      </c>
      <c r="B19" s="130">
        <f>ROUND(B18*1.02,0)*1.0502</f>
        <v>263.60020000000003</v>
      </c>
      <c r="E19" s="27" t="s">
        <v>86</v>
      </c>
      <c r="F19" s="95">
        <v>10000</v>
      </c>
      <c r="G19" s="96">
        <v>2021</v>
      </c>
      <c r="H19" s="28">
        <f>IF(OR(F19="",G19=""),"",IF(G19=2022,F19*1.0502,IF(G19=2021,F19*1.1418,F19*1)))</f>
        <v>11418</v>
      </c>
      <c r="I19" s="96" t="s">
        <v>41</v>
      </c>
      <c r="J19" s="96" t="s">
        <v>41</v>
      </c>
      <c r="K19" s="29">
        <f>IF(OR(I19="",J19=""),"",ROUND(IF(I19="ja",0,IF(J19="ja",MAX(0,MIN(H19,H19-14865.77)),H19)),2))</f>
        <v>11418</v>
      </c>
      <c r="M19" s="89">
        <v>1931</v>
      </c>
      <c r="N19" s="90">
        <v>32.890461016949146</v>
      </c>
    </row>
    <row r="20" spans="1:14" ht="13.8" thickBot="1" x14ac:dyDescent="0.3">
      <c r="A20" s="62" t="s">
        <v>112</v>
      </c>
      <c r="B20" s="129">
        <v>37</v>
      </c>
      <c r="E20" s="16" t="s">
        <v>42</v>
      </c>
      <c r="F20" s="97">
        <v>12500</v>
      </c>
      <c r="G20" s="96">
        <v>2021</v>
      </c>
      <c r="H20" s="28">
        <f t="shared" ref="H20:H21" si="1">IF(OR(F20="",G20=""),"",IF(G20=2022,F20*1.0502,IF(G20=2021,F20*1.1418,F20*1)))</f>
        <v>14272.499999999998</v>
      </c>
      <c r="I20" s="98" t="s">
        <v>41</v>
      </c>
      <c r="J20" s="98" t="s">
        <v>43</v>
      </c>
      <c r="K20" s="29">
        <f t="shared" ref="K20:K23" si="2">IF(OR(I20="",J20=""),"",ROUND(IF(I20="ja",0,IF(J20="ja",MAX(0,MIN(H20,H20-14865.77)),H20)),2))</f>
        <v>0</v>
      </c>
      <c r="M20" s="89">
        <v>1932</v>
      </c>
      <c r="N20" s="90">
        <v>36.325044512195127</v>
      </c>
    </row>
    <row r="21" spans="1:14" ht="13.8" thickBot="1" x14ac:dyDescent="0.3">
      <c r="A21" s="66" t="s">
        <v>114</v>
      </c>
      <c r="B21" s="130">
        <f>B20*1.0502</f>
        <v>38.857399999999998</v>
      </c>
      <c r="E21" s="16" t="s">
        <v>46</v>
      </c>
      <c r="F21" s="97">
        <v>5000</v>
      </c>
      <c r="G21" s="96">
        <v>2021</v>
      </c>
      <c r="H21" s="28">
        <f t="shared" si="1"/>
        <v>5709</v>
      </c>
      <c r="I21" s="98" t="s">
        <v>41</v>
      </c>
      <c r="J21" s="98" t="s">
        <v>41</v>
      </c>
      <c r="K21" s="29">
        <f t="shared" si="2"/>
        <v>5709</v>
      </c>
      <c r="M21" s="89">
        <v>1933</v>
      </c>
      <c r="N21" s="90">
        <v>42.039059999999999</v>
      </c>
    </row>
    <row r="22" spans="1:14" ht="13.8" thickBot="1" x14ac:dyDescent="0.3">
      <c r="A22" s="50" t="s">
        <v>89</v>
      </c>
      <c r="B22" s="51">
        <v>2</v>
      </c>
      <c r="E22" s="16"/>
      <c r="F22" s="97"/>
      <c r="G22" s="98"/>
      <c r="H22" s="28" t="str">
        <f>IF(OR(F22="",G22=""),"",IF(G22=2020,F22*1.0997,IF(G22=2021,F22*1.0873,F22*1)))</f>
        <v/>
      </c>
      <c r="I22" s="98"/>
      <c r="J22" s="98"/>
      <c r="K22" s="29" t="str">
        <f t="shared" si="2"/>
        <v/>
      </c>
      <c r="M22" s="89">
        <v>1934</v>
      </c>
      <c r="N22" s="90">
        <v>42.390200000000007</v>
      </c>
    </row>
    <row r="23" spans="1:14" ht="13.8" thickBot="1" x14ac:dyDescent="0.3">
      <c r="A23" s="62" t="s">
        <v>82</v>
      </c>
      <c r="B23" s="130">
        <f>B22*22</f>
        <v>44</v>
      </c>
      <c r="E23" s="23"/>
      <c r="F23" s="101"/>
      <c r="G23" s="102"/>
      <c r="H23" s="28" t="str">
        <f>IF(OR(F23="",G23=""),"",IF(G23=2020,F23*1.0997,IF(G23=2021,F23*1.0873,F23*1)))</f>
        <v/>
      </c>
      <c r="I23" s="102"/>
      <c r="J23" s="102"/>
      <c r="K23" s="29" t="str">
        <f t="shared" si="2"/>
        <v/>
      </c>
      <c r="M23" s="89">
        <v>1935</v>
      </c>
      <c r="N23" s="90">
        <v>40.916790384615382</v>
      </c>
    </row>
    <row r="24" spans="1:14" ht="15" thickBot="1" x14ac:dyDescent="0.35">
      <c r="A24" s="62" t="s">
        <v>84</v>
      </c>
      <c r="B24" s="131" t="s">
        <v>47</v>
      </c>
      <c r="E24" s="147" t="s">
        <v>49</v>
      </c>
      <c r="F24" s="148"/>
      <c r="G24" s="149"/>
      <c r="H24" s="24">
        <f>SUM(H19:H23)</f>
        <v>31399.5</v>
      </c>
      <c r="I24" s="24"/>
      <c r="J24" s="25"/>
      <c r="K24" s="26">
        <f>SUM(K19:K23)</f>
        <v>17127</v>
      </c>
      <c r="M24" s="89">
        <v>1936</v>
      </c>
      <c r="N24" s="90">
        <v>37.540336206896555</v>
      </c>
    </row>
    <row r="25" spans="1:14" ht="13.8" thickBot="1" x14ac:dyDescent="0.3">
      <c r="A25" s="62" t="s">
        <v>83</v>
      </c>
      <c r="B25" s="130">
        <f>VLOOKUP(B24,E27:F36,2,FALSE)</f>
        <v>49220</v>
      </c>
      <c r="M25" s="89">
        <v>1937</v>
      </c>
      <c r="N25" s="90">
        <v>31.979322488038278</v>
      </c>
    </row>
    <row r="26" spans="1:14" ht="13.8" thickBot="1" x14ac:dyDescent="0.3">
      <c r="A26" s="62" t="s">
        <v>90</v>
      </c>
      <c r="B26" s="132">
        <f>IF(K24&lt;=B25,1/54,IF(K24&lt;B25*1.25,1/53,IF(K24&lt;B27*1.5,1/52,1/51)))</f>
        <v>1.8518518518518517E-2</v>
      </c>
      <c r="E26" s="140" t="s">
        <v>56</v>
      </c>
      <c r="F26" s="143"/>
      <c r="M26" s="89">
        <v>1938</v>
      </c>
      <c r="N26" s="90">
        <v>25.420070631970262</v>
      </c>
    </row>
    <row r="27" spans="1:14" ht="15" thickBot="1" x14ac:dyDescent="0.35">
      <c r="A27" s="66" t="s">
        <v>13</v>
      </c>
      <c r="B27" s="67">
        <f>K24</f>
        <v>17127</v>
      </c>
      <c r="E27" s="80" t="s">
        <v>57</v>
      </c>
      <c r="F27" s="81">
        <v>31987</v>
      </c>
      <c r="H27" s="118"/>
      <c r="M27" s="89">
        <v>1939</v>
      </c>
      <c r="N27" s="90">
        <v>30.691407894736844</v>
      </c>
    </row>
    <row r="28" spans="1:14" ht="13.8" thickBot="1" x14ac:dyDescent="0.3">
      <c r="A28" s="65" t="s">
        <v>48</v>
      </c>
      <c r="B28" s="133">
        <f>MAX(B19+B17,MIN(B16,B27*B26-B21-B23+B17))</f>
        <v>263.60020000000003</v>
      </c>
      <c r="C28" s="3"/>
      <c r="D28" s="3"/>
      <c r="E28" s="82" t="s">
        <v>58</v>
      </c>
      <c r="F28" s="83">
        <v>29515</v>
      </c>
      <c r="G28" s="3"/>
      <c r="H28" s="3"/>
      <c r="M28" s="89">
        <v>1940</v>
      </c>
      <c r="N28" s="90">
        <v>22.374824062499997</v>
      </c>
    </row>
    <row r="29" spans="1:14" ht="13.8" thickBot="1" x14ac:dyDescent="0.3">
      <c r="A29" s="119" t="s">
        <v>93</v>
      </c>
      <c r="B29" s="120"/>
      <c r="C29" s="4"/>
      <c r="D29" s="3"/>
      <c r="E29" s="82" t="s">
        <v>59</v>
      </c>
      <c r="F29" s="83">
        <v>44270</v>
      </c>
      <c r="G29" s="3"/>
      <c r="H29" s="3"/>
      <c r="M29" s="89">
        <v>1941</v>
      </c>
      <c r="N29" s="90">
        <v>16.069227631578947</v>
      </c>
    </row>
    <row r="30" spans="1:14" ht="13.8" thickBot="1" x14ac:dyDescent="0.3">
      <c r="A30" s="58" t="s">
        <v>54</v>
      </c>
      <c r="B30" s="63">
        <f>B28-B13</f>
        <v>-86.399799999999971</v>
      </c>
      <c r="C30" s="3"/>
      <c r="D30" s="134"/>
      <c r="E30" s="82" t="s">
        <v>60</v>
      </c>
      <c r="F30" s="84">
        <v>46745</v>
      </c>
      <c r="G30" s="3"/>
      <c r="H30" s="3"/>
      <c r="M30" s="89">
        <v>1942</v>
      </c>
      <c r="N30" s="90">
        <v>13.833676383763837</v>
      </c>
    </row>
    <row r="31" spans="1:14" ht="13.8" thickBot="1" x14ac:dyDescent="0.3">
      <c r="A31" s="62" t="s">
        <v>125</v>
      </c>
      <c r="B31" s="71">
        <v>0.5</v>
      </c>
      <c r="E31" s="85" t="s">
        <v>47</v>
      </c>
      <c r="F31" s="84">
        <v>49220</v>
      </c>
      <c r="M31" s="89">
        <v>1943</v>
      </c>
      <c r="N31" s="90">
        <v>10.540465384615384</v>
      </c>
    </row>
    <row r="32" spans="1:14" ht="13.8" thickBot="1" x14ac:dyDescent="0.3">
      <c r="A32" s="65" t="s">
        <v>94</v>
      </c>
      <c r="B32" s="135">
        <f>B13+(B30*B31)</f>
        <v>306.80010000000004</v>
      </c>
      <c r="E32" s="86" t="s">
        <v>61</v>
      </c>
      <c r="F32" s="84">
        <v>51695</v>
      </c>
      <c r="M32" s="89">
        <v>1944</v>
      </c>
      <c r="N32" s="90">
        <v>9.0876454861111124</v>
      </c>
    </row>
    <row r="33" spans="1:14" ht="13.8" thickBot="1" x14ac:dyDescent="0.3">
      <c r="E33" s="86" t="s">
        <v>62</v>
      </c>
      <c r="F33" s="84">
        <v>54170</v>
      </c>
      <c r="M33" s="89">
        <v>1945</v>
      </c>
      <c r="N33" s="90">
        <v>7.5096392523364477</v>
      </c>
    </row>
    <row r="34" spans="1:14" ht="13.8" thickBot="1" x14ac:dyDescent="0.3">
      <c r="A34" s="72" t="s">
        <v>9</v>
      </c>
      <c r="E34" s="86" t="s">
        <v>63</v>
      </c>
      <c r="F34" s="84">
        <v>56645</v>
      </c>
      <c r="M34" s="89">
        <v>1946</v>
      </c>
      <c r="N34" s="90">
        <v>7.2309261213720308</v>
      </c>
    </row>
    <row r="35" spans="1:14" ht="13.8" thickBot="1" x14ac:dyDescent="0.3">
      <c r="A35" s="73" t="s">
        <v>10</v>
      </c>
      <c r="E35" s="86" t="s">
        <v>64</v>
      </c>
      <c r="F35" s="84">
        <v>59120</v>
      </c>
      <c r="M35" s="89">
        <v>1947</v>
      </c>
      <c r="N35" s="90">
        <v>6.3639435703479581</v>
      </c>
    </row>
    <row r="36" spans="1:14" ht="13.8" thickBot="1" x14ac:dyDescent="0.3">
      <c r="A36" s="74" t="s">
        <v>95</v>
      </c>
      <c r="E36" s="87" t="s">
        <v>65</v>
      </c>
      <c r="F36" s="88">
        <v>61595</v>
      </c>
      <c r="M36" s="89">
        <v>1948</v>
      </c>
      <c r="N36" s="90">
        <v>6.7582615384615385</v>
      </c>
    </row>
    <row r="37" spans="1:14" ht="13.8" thickBot="1" x14ac:dyDescent="0.3">
      <c r="A37" s="75" t="s">
        <v>107</v>
      </c>
      <c r="M37" s="89">
        <v>1949</v>
      </c>
      <c r="N37" s="90">
        <v>6.9972817315329632</v>
      </c>
    </row>
    <row r="38" spans="1:14" ht="13.8" thickBot="1" x14ac:dyDescent="0.3">
      <c r="M38" s="89">
        <v>1950</v>
      </c>
      <c r="N38" s="90">
        <v>6.6282732352941176</v>
      </c>
    </row>
    <row r="39" spans="1:14" ht="13.8" thickBot="1" x14ac:dyDescent="0.3">
      <c r="M39" s="89">
        <v>1951</v>
      </c>
      <c r="N39" s="90">
        <v>5.9246287090558774</v>
      </c>
    </row>
    <row r="40" spans="1:14" ht="13.8" thickBot="1" x14ac:dyDescent="0.3">
      <c r="M40" s="89">
        <v>1952</v>
      </c>
      <c r="N40" s="90">
        <v>6.0982968992248061</v>
      </c>
    </row>
    <row r="41" spans="1:14" ht="13.8" thickBot="1" x14ac:dyDescent="0.3">
      <c r="M41" s="89">
        <v>1953</v>
      </c>
      <c r="N41" s="90">
        <v>6.8712672119487914</v>
      </c>
    </row>
    <row r="42" spans="1:14" ht="13.8" thickBot="1" x14ac:dyDescent="0.3">
      <c r="M42" s="89">
        <v>1954</v>
      </c>
      <c r="N42" s="90">
        <v>6.7287273655547999</v>
      </c>
    </row>
    <row r="43" spans="1:14" ht="13.8" thickBot="1" x14ac:dyDescent="0.3">
      <c r="M43" s="89">
        <v>1955</v>
      </c>
      <c r="N43" s="90">
        <v>7.2205434689507513</v>
      </c>
    </row>
    <row r="44" spans="1:14" ht="13.8" thickBot="1" x14ac:dyDescent="0.3">
      <c r="M44" s="89">
        <v>1956</v>
      </c>
      <c r="N44" s="90">
        <v>6.8003436268068329</v>
      </c>
    </row>
    <row r="45" spans="1:14" ht="13.8" thickBot="1" x14ac:dyDescent="0.3">
      <c r="M45" s="89">
        <v>1957</v>
      </c>
      <c r="N45" s="90">
        <v>6.3199562649164678</v>
      </c>
    </row>
    <row r="46" spans="1:14" ht="13.8" thickBot="1" x14ac:dyDescent="0.3">
      <c r="M46" s="89">
        <v>1958</v>
      </c>
      <c r="N46" s="90">
        <v>6.8174162264150944</v>
      </c>
    </row>
    <row r="47" spans="1:14" ht="13.8" thickBot="1" x14ac:dyDescent="0.3">
      <c r="M47" s="89">
        <v>1959</v>
      </c>
      <c r="N47" s="90">
        <v>7.0249894236858754</v>
      </c>
    </row>
    <row r="48" spans="1:14" ht="13.8" thickBot="1" x14ac:dyDescent="0.3">
      <c r="M48" s="89">
        <v>1960</v>
      </c>
      <c r="N48" s="90">
        <v>6.591490243902439</v>
      </c>
    </row>
    <row r="49" spans="13:14" ht="13.8" thickBot="1" x14ac:dyDescent="0.3">
      <c r="M49" s="89">
        <v>1961</v>
      </c>
      <c r="N49" s="90">
        <v>6.5357093415869443</v>
      </c>
    </row>
    <row r="50" spans="13:14" ht="13.8" thickBot="1" x14ac:dyDescent="0.3">
      <c r="M50" s="89">
        <v>1962</v>
      </c>
      <c r="N50" s="90">
        <v>6.5780872093023257</v>
      </c>
    </row>
    <row r="51" spans="13:14" ht="13.8" thickBot="1" x14ac:dyDescent="0.3">
      <c r="M51" s="89">
        <v>1963</v>
      </c>
      <c r="N51" s="90">
        <v>6.331108641332639</v>
      </c>
    </row>
    <row r="52" spans="13:14" ht="13.8" thickBot="1" x14ac:dyDescent="0.3">
      <c r="M52" s="89">
        <v>1964</v>
      </c>
      <c r="N52" s="90">
        <v>5.7960381462505826</v>
      </c>
    </row>
    <row r="53" spans="13:14" ht="13.8" thickBot="1" x14ac:dyDescent="0.3">
      <c r="M53" s="89">
        <v>1965</v>
      </c>
      <c r="N53" s="90">
        <v>6.0066557547169817</v>
      </c>
    </row>
    <row r="54" spans="13:14" ht="13.8" thickBot="1" x14ac:dyDescent="0.3">
      <c r="M54" s="89">
        <v>1966</v>
      </c>
      <c r="N54" s="90">
        <v>5.6318533275713047</v>
      </c>
    </row>
    <row r="55" spans="13:14" ht="13.8" thickBot="1" x14ac:dyDescent="0.3">
      <c r="M55" s="89">
        <v>1967</v>
      </c>
      <c r="N55" s="90">
        <v>5.5310777270841971</v>
      </c>
    </row>
    <row r="56" spans="13:14" ht="13.8" thickBot="1" x14ac:dyDescent="0.3">
      <c r="M56" s="89">
        <v>1968</v>
      </c>
      <c r="N56" s="90">
        <v>5.5792029026982819</v>
      </c>
    </row>
    <row r="57" spans="13:14" ht="13.8" thickBot="1" x14ac:dyDescent="0.3">
      <c r="M57" s="89">
        <v>1969</v>
      </c>
      <c r="N57" s="90">
        <v>5.3315592210767466</v>
      </c>
    </row>
    <row r="58" spans="13:14" ht="13.8" thickBot="1" x14ac:dyDescent="0.3">
      <c r="M58" s="89">
        <v>1970</v>
      </c>
      <c r="N58" s="90">
        <v>4.9801181596375041</v>
      </c>
    </row>
    <row r="59" spans="13:14" ht="13.8" thickBot="1" x14ac:dyDescent="0.3">
      <c r="M59" s="89">
        <v>1971</v>
      </c>
      <c r="N59" s="90">
        <v>4.8428441536932763</v>
      </c>
    </row>
    <row r="60" spans="13:14" ht="13.8" thickBot="1" x14ac:dyDescent="0.3">
      <c r="M60" s="89">
        <v>1972</v>
      </c>
      <c r="N60" s="90">
        <v>4.6026675783650886</v>
      </c>
    </row>
    <row r="61" spans="13:14" ht="13.8" thickBot="1" x14ac:dyDescent="0.3">
      <c r="M61" s="89">
        <v>1973</v>
      </c>
      <c r="N61" s="90">
        <v>4.2381465174129351</v>
      </c>
    </row>
    <row r="62" spans="13:14" ht="13.8" thickBot="1" x14ac:dyDescent="0.3">
      <c r="M62" s="89">
        <v>1974</v>
      </c>
      <c r="N62" s="90">
        <v>3.3378970869657665</v>
      </c>
    </row>
    <row r="63" spans="13:14" ht="13.8" thickBot="1" x14ac:dyDescent="0.3">
      <c r="M63" s="89">
        <v>1975</v>
      </c>
      <c r="N63" s="90">
        <v>3.0881299000768636</v>
      </c>
    </row>
    <row r="64" spans="13:14" ht="13.8" thickBot="1" x14ac:dyDescent="0.3">
      <c r="M64" s="89">
        <v>1976</v>
      </c>
      <c r="N64" s="90">
        <v>2.9019418063150471</v>
      </c>
    </row>
    <row r="65" spans="13:14" ht="13.8" thickBot="1" x14ac:dyDescent="0.3">
      <c r="M65" s="89">
        <v>1977</v>
      </c>
      <c r="N65" s="90">
        <v>2.7008067671584346</v>
      </c>
    </row>
    <row r="66" spans="13:14" ht="13.8" thickBot="1" x14ac:dyDescent="0.3">
      <c r="M66" s="89">
        <v>1978</v>
      </c>
      <c r="N66" s="90">
        <v>2.6586485736314573</v>
      </c>
    </row>
    <row r="67" spans="13:14" ht="13.8" thickBot="1" x14ac:dyDescent="0.3">
      <c r="M67" s="89">
        <v>1979</v>
      </c>
      <c r="N67" s="90">
        <v>2.6423750711184311</v>
      </c>
    </row>
    <row r="68" spans="13:14" ht="13.8" thickBot="1" x14ac:dyDescent="0.3">
      <c r="M68" s="89">
        <v>1980</v>
      </c>
      <c r="N68" s="90">
        <v>2.5757154284899473</v>
      </c>
    </row>
    <row r="69" spans="13:14" ht="13.8" thickBot="1" x14ac:dyDescent="0.3">
      <c r="M69" s="89">
        <v>1981</v>
      </c>
      <c r="N69" s="90">
        <v>2.6360392984457439</v>
      </c>
    </row>
    <row r="70" spans="13:14" ht="13.8" thickBot="1" x14ac:dyDescent="0.3">
      <c r="M70" s="89">
        <v>1982</v>
      </c>
      <c r="N70" s="90">
        <v>2.6975013546271209</v>
      </c>
    </row>
    <row r="71" spans="13:14" ht="13.8" thickBot="1" x14ac:dyDescent="0.3">
      <c r="M71" s="89">
        <v>1983</v>
      </c>
      <c r="N71" s="90">
        <v>2.6289002444655711</v>
      </c>
    </row>
    <row r="72" spans="13:14" ht="13.8" thickBot="1" x14ac:dyDescent="0.3">
      <c r="M72" s="89">
        <v>1984</v>
      </c>
      <c r="N72" s="90">
        <v>2.5372953363228699</v>
      </c>
    </row>
    <row r="73" spans="13:14" ht="13.8" thickBot="1" x14ac:dyDescent="0.3">
      <c r="M73" s="89">
        <v>1985</v>
      </c>
      <c r="N73" s="90">
        <v>2.4730386699206837</v>
      </c>
    </row>
    <row r="74" spans="13:14" ht="13.8" thickBot="1" x14ac:dyDescent="0.3">
      <c r="M74" s="89">
        <v>1986</v>
      </c>
      <c r="N74" s="90">
        <v>2.5285578523489933</v>
      </c>
    </row>
    <row r="75" spans="13:14" ht="13.8" thickBot="1" x14ac:dyDescent="0.3">
      <c r="M75" s="89">
        <v>1987</v>
      </c>
      <c r="N75" s="90">
        <v>2.4318890761185359</v>
      </c>
    </row>
    <row r="76" spans="13:14" ht="13.8" thickBot="1" x14ac:dyDescent="0.3">
      <c r="M76" s="89">
        <v>1988</v>
      </c>
      <c r="N76" s="90">
        <v>2.3623586248758413</v>
      </c>
    </row>
    <row r="77" spans="13:14" ht="13.8" thickBot="1" x14ac:dyDescent="0.3">
      <c r="M77" s="89">
        <v>1989</v>
      </c>
      <c r="N77" s="90">
        <v>2.2636586246122028</v>
      </c>
    </row>
    <row r="78" spans="13:14" ht="13.8" thickBot="1" x14ac:dyDescent="0.3">
      <c r="M78" s="89">
        <v>1990</v>
      </c>
      <c r="N78" s="90">
        <v>2.1825933151432468</v>
      </c>
    </row>
    <row r="79" spans="13:14" ht="13.8" thickBot="1" x14ac:dyDescent="0.3">
      <c r="M79" s="89">
        <v>1991</v>
      </c>
      <c r="N79" s="90">
        <v>2.076049990938746</v>
      </c>
    </row>
    <row r="80" spans="13:14" ht="13.8" thickBot="1" x14ac:dyDescent="0.3">
      <c r="M80" s="89">
        <v>1992</v>
      </c>
      <c r="N80" s="90">
        <v>2.0143372216968967</v>
      </c>
    </row>
    <row r="81" spans="13:14" ht="13.8" thickBot="1" x14ac:dyDescent="0.3">
      <c r="M81" s="89">
        <v>1993</v>
      </c>
      <c r="N81" s="90">
        <v>2.0045394177681111</v>
      </c>
    </row>
    <row r="82" spans="13:14" ht="13.8" thickBot="1" x14ac:dyDescent="0.3">
      <c r="M82" s="89">
        <v>1994</v>
      </c>
      <c r="N82" s="90">
        <v>2.0372298020954598</v>
      </c>
    </row>
    <row r="83" spans="13:14" ht="13.8" thickBot="1" x14ac:dyDescent="0.3">
      <c r="M83" s="89">
        <v>1995</v>
      </c>
      <c r="N83" s="90">
        <v>2.0191203724604967</v>
      </c>
    </row>
    <row r="84" spans="13:14" ht="13.8" thickBot="1" x14ac:dyDescent="0.3">
      <c r="M84" s="89">
        <v>1996</v>
      </c>
      <c r="N84" s="90">
        <v>2.0594203298471441</v>
      </c>
    </row>
    <row r="85" spans="13:14" ht="13.8" thickBot="1" x14ac:dyDescent="0.3">
      <c r="M85" s="89">
        <v>1997</v>
      </c>
      <c r="N85" s="90">
        <v>2.1314587839461669</v>
      </c>
    </row>
    <row r="86" spans="13:14" ht="13.8" thickBot="1" x14ac:dyDescent="0.3">
      <c r="M86" s="89">
        <v>1998</v>
      </c>
      <c r="N86" s="90">
        <v>2.0915808505620626</v>
      </c>
    </row>
    <row r="87" spans="13:14" ht="13.8" thickBot="1" x14ac:dyDescent="0.3">
      <c r="M87" s="89">
        <v>1999</v>
      </c>
      <c r="N87" s="90">
        <v>2.0742964060185547</v>
      </c>
    </row>
    <row r="88" spans="13:14" ht="13.8" thickBot="1" x14ac:dyDescent="0.3">
      <c r="M88" s="89">
        <v>2000</v>
      </c>
      <c r="N88" s="90">
        <v>1.9646311747766374</v>
      </c>
    </row>
    <row r="89" spans="13:14" ht="13.8" thickBot="1" x14ac:dyDescent="0.3">
      <c r="M89" s="89">
        <v>2001</v>
      </c>
      <c r="N89" s="90">
        <v>1.8590693124650643</v>
      </c>
    </row>
    <row r="90" spans="13:14" ht="13.8" thickBot="1" x14ac:dyDescent="0.3">
      <c r="M90" s="89">
        <v>2002</v>
      </c>
      <c r="N90" s="90">
        <v>1.835218650848393</v>
      </c>
    </row>
    <row r="91" spans="13:14" ht="13.8" thickBot="1" x14ac:dyDescent="0.3">
      <c r="M91" s="89">
        <v>2003</v>
      </c>
      <c r="N91" s="90">
        <v>1.7925621505086573</v>
      </c>
    </row>
    <row r="92" spans="13:14" ht="13.8" thickBot="1" x14ac:dyDescent="0.3">
      <c r="M92" s="89">
        <v>2004</v>
      </c>
      <c r="N92" s="90">
        <v>1.7013236140418184</v>
      </c>
    </row>
    <row r="93" spans="13:14" ht="13.8" thickBot="1" x14ac:dyDescent="0.3">
      <c r="M93" s="89">
        <v>2005</v>
      </c>
      <c r="N93" s="90">
        <v>1.6401800024657871</v>
      </c>
    </row>
    <row r="94" spans="13:14" ht="13.8" thickBot="1" x14ac:dyDescent="0.3">
      <c r="M94" s="89">
        <v>2006</v>
      </c>
      <c r="N94" s="90">
        <v>1.5490588912176877</v>
      </c>
    </row>
    <row r="95" spans="13:14" ht="13.8" thickBot="1" x14ac:dyDescent="0.3">
      <c r="M95" s="89">
        <v>2007</v>
      </c>
      <c r="N95" s="90">
        <v>1.5095313741064336</v>
      </c>
    </row>
    <row r="96" spans="13:14" ht="13.8" thickBot="1" x14ac:dyDescent="0.3">
      <c r="M96" s="89">
        <v>2008</v>
      </c>
      <c r="N96" s="90">
        <v>1.444384126811791</v>
      </c>
    </row>
    <row r="97" spans="13:14" ht="13.8" thickBot="1" x14ac:dyDescent="0.3">
      <c r="M97" s="89">
        <v>2009</v>
      </c>
      <c r="N97" s="90">
        <v>1.4983106205653789</v>
      </c>
    </row>
    <row r="98" spans="13:14" ht="13.8" thickBot="1" x14ac:dyDescent="0.3">
      <c r="M98" s="89">
        <v>2010</v>
      </c>
      <c r="N98" s="90">
        <v>1.4548884514435696</v>
      </c>
    </row>
    <row r="99" spans="13:14" ht="13.8" thickBot="1" x14ac:dyDescent="0.3">
      <c r="M99" s="89">
        <v>2011</v>
      </c>
      <c r="N99" s="90">
        <v>1.4239764516992239</v>
      </c>
    </row>
    <row r="100" spans="13:14" ht="13.8" thickBot="1" x14ac:dyDescent="0.3">
      <c r="M100" s="89">
        <v>2012</v>
      </c>
      <c r="N100" s="90">
        <v>1.3771026344392112</v>
      </c>
    </row>
    <row r="101" spans="13:14" ht="13.8" thickBot="1" x14ac:dyDescent="0.3">
      <c r="M101" s="89">
        <v>2013</v>
      </c>
      <c r="N101" s="90">
        <v>1.3584703359542529</v>
      </c>
    </row>
    <row r="102" spans="13:14" ht="13.8" thickBot="1" x14ac:dyDescent="0.3">
      <c r="M102" s="89">
        <v>2014</v>
      </c>
      <c r="N102" s="90">
        <v>1.3475310205115218</v>
      </c>
    </row>
    <row r="103" spans="13:14" ht="13.8" thickBot="1" x14ac:dyDescent="0.3">
      <c r="M103" s="89">
        <v>2015</v>
      </c>
      <c r="N103" s="90">
        <v>1.3493762044832132</v>
      </c>
    </row>
    <row r="104" spans="13:14" ht="13.8" thickBot="1" x14ac:dyDescent="0.3">
      <c r="M104" s="89">
        <v>2016</v>
      </c>
      <c r="N104" s="90">
        <v>1.3314817594955712</v>
      </c>
    </row>
    <row r="105" spans="13:14" ht="13.8" thickBot="1" x14ac:dyDescent="0.3">
      <c r="M105" s="89">
        <v>2017</v>
      </c>
      <c r="N105" s="90">
        <v>1.2954379473197333</v>
      </c>
    </row>
    <row r="106" spans="13:14" ht="13.8" thickBot="1" x14ac:dyDescent="0.3">
      <c r="M106" s="89">
        <v>2018</v>
      </c>
      <c r="N106" s="90">
        <v>1.2409981343283583</v>
      </c>
    </row>
    <row r="107" spans="13:14" ht="13.8" thickBot="1" x14ac:dyDescent="0.3">
      <c r="M107" s="89">
        <v>2019</v>
      </c>
      <c r="N107" s="90">
        <v>1.205245515491937</v>
      </c>
    </row>
    <row r="108" spans="13:14" ht="13.8" thickBot="1" x14ac:dyDescent="0.3">
      <c r="M108" s="89">
        <v>2020</v>
      </c>
      <c r="N108" s="90">
        <v>1.1701556865159644</v>
      </c>
    </row>
    <row r="109" spans="13:14" ht="13.8" thickBot="1" x14ac:dyDescent="0.3">
      <c r="M109" s="91">
        <v>2021</v>
      </c>
      <c r="N109" s="90">
        <v>1.1081632653061224</v>
      </c>
    </row>
    <row r="110" spans="13:14" ht="13.8" thickBot="1" x14ac:dyDescent="0.3">
      <c r="M110" s="91">
        <v>2022</v>
      </c>
      <c r="N110" s="90">
        <v>1</v>
      </c>
    </row>
    <row r="111" spans="13:14" ht="13.8" thickBot="1" x14ac:dyDescent="0.3">
      <c r="M111" s="91">
        <v>2023</v>
      </c>
      <c r="N111" s="90">
        <v>1</v>
      </c>
    </row>
  </sheetData>
  <mergeCells count="7">
    <mergeCell ref="E26:F26"/>
    <mergeCell ref="E2:J2"/>
    <mergeCell ref="E17:K17"/>
    <mergeCell ref="A1:B1"/>
    <mergeCell ref="A14:B14"/>
    <mergeCell ref="E24:G24"/>
    <mergeCell ref="E8:I8"/>
  </mergeCells>
  <dataValidations count="1">
    <dataValidation type="list" allowBlank="1" showInputMessage="1" showErrorMessage="1" sqref="B24" xr:uid="{00000000-0002-0000-0000-000000000000}">
      <formula1>$E$27:$E$36</formula1>
    </dataValidation>
  </dataValidations>
  <pageMargins left="0.7" right="0.7" top="0.75" bottom="0.75" header="0.3" footer="0.3"/>
  <pageSetup paperSize="9" orientation="portrait" r:id="rId1"/>
  <ignoredErrors>
    <ignoredError sqref="B4"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19433-23CC-4DBD-9DA8-8C5B0D44016D}">
  <dimension ref="A1:C12"/>
  <sheetViews>
    <sheetView workbookViewId="0">
      <selection activeCell="B17" sqref="B17"/>
    </sheetView>
  </sheetViews>
  <sheetFormatPr defaultColWidth="9.21875" defaultRowHeight="14.4" x14ac:dyDescent="0.3"/>
  <cols>
    <col min="1" max="1" width="54.21875" style="105" customWidth="1"/>
    <col min="2" max="2" width="19.77734375" style="105" bestFit="1" customWidth="1"/>
    <col min="3" max="3" width="21.21875" style="105" bestFit="1" customWidth="1"/>
    <col min="4" max="16384" width="9.21875" style="104"/>
  </cols>
  <sheetData>
    <row r="1" spans="1:3" ht="15" thickBot="1" x14ac:dyDescent="0.35">
      <c r="A1" s="150" t="s">
        <v>105</v>
      </c>
      <c r="B1" s="151"/>
      <c r="C1" s="116"/>
    </row>
    <row r="2" spans="1:3" ht="15" x14ac:dyDescent="0.35">
      <c r="A2" s="115"/>
      <c r="B2" s="115"/>
    </row>
    <row r="3" spans="1:3" ht="15" x14ac:dyDescent="0.35">
      <c r="A3" s="115"/>
      <c r="C3" s="114">
        <v>44348</v>
      </c>
    </row>
    <row r="4" spans="1:3" ht="13.8" x14ac:dyDescent="0.3">
      <c r="A4" s="112" t="s">
        <v>104</v>
      </c>
      <c r="B4" s="113" t="s">
        <v>103</v>
      </c>
      <c r="C4" s="117">
        <v>184.4</v>
      </c>
    </row>
    <row r="5" spans="1:3" x14ac:dyDescent="0.3">
      <c r="A5" s="112"/>
      <c r="B5" s="117">
        <v>108.15</v>
      </c>
    </row>
    <row r="6" spans="1:3" ht="15" x14ac:dyDescent="0.35">
      <c r="A6" s="111"/>
      <c r="B6" s="110"/>
    </row>
    <row r="7" spans="1:3" x14ac:dyDescent="0.3">
      <c r="B7" s="109" t="s">
        <v>102</v>
      </c>
      <c r="C7" s="109" t="s">
        <v>101</v>
      </c>
    </row>
    <row r="9" spans="1:3" x14ac:dyDescent="0.3">
      <c r="A9" s="108" t="s">
        <v>100</v>
      </c>
    </row>
    <row r="10" spans="1:3" ht="13.8" x14ac:dyDescent="0.3">
      <c r="A10" s="107" t="s">
        <v>99</v>
      </c>
      <c r="B10" s="106">
        <v>743.68</v>
      </c>
      <c r="C10" s="106">
        <f>CEILING($B10*$C$4/$B$5,1)</f>
        <v>1269</v>
      </c>
    </row>
    <row r="11" spans="1:3" ht="13.8" x14ac:dyDescent="0.3">
      <c r="A11" s="107" t="s">
        <v>98</v>
      </c>
      <c r="B11" s="106">
        <v>11898.89</v>
      </c>
      <c r="C11" s="106">
        <f>CEILING($B11*$C$4/$B$5,1)</f>
        <v>20289</v>
      </c>
    </row>
    <row r="12" spans="1:3" ht="13.8" x14ac:dyDescent="0.3">
      <c r="A12" s="107" t="s">
        <v>97</v>
      </c>
      <c r="B12" s="106">
        <v>832.92</v>
      </c>
      <c r="C12" s="106">
        <f>CEILING($B12*$C$4/$B$5,1)</f>
        <v>1421</v>
      </c>
    </row>
  </sheetData>
  <mergeCells count="1">
    <mergeCell ref="A1:B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topLeftCell="B1" zoomScaleNormal="100" workbookViewId="0">
      <selection activeCell="B4" sqref="B4"/>
    </sheetView>
  </sheetViews>
  <sheetFormatPr defaultRowHeight="13.2" x14ac:dyDescent="0.25"/>
  <cols>
    <col min="1" max="1" width="44.21875" bestFit="1" customWidth="1"/>
    <col min="2" max="2" width="255.77734375" bestFit="1" customWidth="1"/>
  </cols>
  <sheetData>
    <row r="1" spans="1:2" ht="14.4" thickBot="1" x14ac:dyDescent="0.3">
      <c r="A1" s="14" t="s">
        <v>76</v>
      </c>
      <c r="B1" s="14"/>
    </row>
    <row r="2" spans="1:2" ht="13.8" x14ac:dyDescent="0.25">
      <c r="A2" s="12" t="s">
        <v>14</v>
      </c>
      <c r="B2" s="12" t="s">
        <v>74</v>
      </c>
    </row>
    <row r="3" spans="1:2" ht="13.8" x14ac:dyDescent="0.25">
      <c r="A3" s="11" t="s">
        <v>44</v>
      </c>
      <c r="B3" s="6" t="s">
        <v>52</v>
      </c>
    </row>
    <row r="4" spans="1:2" ht="119.4" x14ac:dyDescent="0.25">
      <c r="A4" s="11" t="s">
        <v>13</v>
      </c>
      <c r="B4" s="15" t="s">
        <v>78</v>
      </c>
    </row>
    <row r="5" spans="1:2" ht="13.8" x14ac:dyDescent="0.25">
      <c r="A5" s="11" t="s">
        <v>11</v>
      </c>
      <c r="B5" s="11" t="s">
        <v>18</v>
      </c>
    </row>
    <row r="6" spans="1:2" ht="13.8" x14ac:dyDescent="0.25">
      <c r="A6" s="11" t="s">
        <v>12</v>
      </c>
      <c r="B6" s="11" t="s">
        <v>73</v>
      </c>
    </row>
    <row r="7" spans="1:2" ht="13.8" x14ac:dyDescent="0.25">
      <c r="A7" s="11" t="s">
        <v>3</v>
      </c>
      <c r="B7" s="11" t="s">
        <v>24</v>
      </c>
    </row>
    <row r="8" spans="1:2" ht="13.8" x14ac:dyDescent="0.25">
      <c r="A8" s="11" t="s">
        <v>25</v>
      </c>
      <c r="B8" s="11" t="s">
        <v>23</v>
      </c>
    </row>
    <row r="9" spans="1:2" ht="13.8" x14ac:dyDescent="0.25">
      <c r="A9" s="11" t="s">
        <v>15</v>
      </c>
      <c r="B9" s="11" t="s">
        <v>32</v>
      </c>
    </row>
    <row r="10" spans="1:2" ht="13.8" x14ac:dyDescent="0.25">
      <c r="A10" s="11" t="s">
        <v>0</v>
      </c>
      <c r="B10" s="11" t="s">
        <v>17</v>
      </c>
    </row>
    <row r="11" spans="1:2" ht="13.8" x14ac:dyDescent="0.25">
      <c r="A11" s="11" t="s">
        <v>19</v>
      </c>
      <c r="B11" s="11" t="s">
        <v>26</v>
      </c>
    </row>
    <row r="12" spans="1:2" ht="13.8" x14ac:dyDescent="0.25">
      <c r="A12" s="11" t="s">
        <v>16</v>
      </c>
      <c r="B12" s="11" t="s">
        <v>28</v>
      </c>
    </row>
    <row r="13" spans="1:2" ht="14.4" thickBot="1" x14ac:dyDescent="0.3">
      <c r="A13" s="13" t="s">
        <v>22</v>
      </c>
      <c r="B13" s="13" t="s">
        <v>29</v>
      </c>
    </row>
    <row r="14" spans="1:2" ht="13.8" thickBot="1" x14ac:dyDescent="0.3">
      <c r="A14" s="1"/>
    </row>
    <row r="15" spans="1:2" ht="14.4" thickBot="1" x14ac:dyDescent="0.3">
      <c r="A15" s="14" t="s">
        <v>77</v>
      </c>
      <c r="B15" s="14"/>
    </row>
    <row r="16" spans="1:2" ht="13.8" x14ac:dyDescent="0.25">
      <c r="A16" s="11" t="s">
        <v>79</v>
      </c>
      <c r="B16" s="5" t="s">
        <v>92</v>
      </c>
    </row>
    <row r="17" spans="1:2" ht="13.8" x14ac:dyDescent="0.25">
      <c r="A17" s="11" t="s">
        <v>33</v>
      </c>
      <c r="B17" s="6" t="s">
        <v>51</v>
      </c>
    </row>
    <row r="18" spans="1:2" ht="13.8" x14ac:dyDescent="0.25">
      <c r="A18" s="11" t="s">
        <v>50</v>
      </c>
      <c r="B18" s="6" t="s">
        <v>115</v>
      </c>
    </row>
    <row r="19" spans="1:2" ht="13.8" x14ac:dyDescent="0.25">
      <c r="A19" s="11" t="s">
        <v>34</v>
      </c>
      <c r="B19" s="6" t="s">
        <v>116</v>
      </c>
    </row>
    <row r="20" spans="1:2" ht="13.8" x14ac:dyDescent="0.25">
      <c r="A20" s="11" t="s">
        <v>44</v>
      </c>
      <c r="B20" s="6" t="s">
        <v>52</v>
      </c>
    </row>
    <row r="21" spans="1:2" ht="13.8" x14ac:dyDescent="0.25">
      <c r="A21" s="11" t="s">
        <v>45</v>
      </c>
      <c r="B21" s="6" t="s">
        <v>117</v>
      </c>
    </row>
    <row r="22" spans="1:2" ht="13.8" x14ac:dyDescent="0.25">
      <c r="A22" s="152" t="s">
        <v>91</v>
      </c>
      <c r="B22" s="7" t="s">
        <v>53</v>
      </c>
    </row>
    <row r="23" spans="1:2" ht="13.8" x14ac:dyDescent="0.25">
      <c r="A23" s="153"/>
      <c r="B23" s="8" t="s">
        <v>118</v>
      </c>
    </row>
    <row r="24" spans="1:2" ht="13.8" x14ac:dyDescent="0.25">
      <c r="A24" s="153"/>
      <c r="B24" s="8" t="s">
        <v>119</v>
      </c>
    </row>
    <row r="25" spans="1:2" ht="13.8" x14ac:dyDescent="0.25">
      <c r="A25" s="153"/>
      <c r="B25" s="8" t="s">
        <v>120</v>
      </c>
    </row>
    <row r="26" spans="1:2" ht="13.8" x14ac:dyDescent="0.25">
      <c r="A26" s="154"/>
      <c r="B26" s="9" t="s">
        <v>121</v>
      </c>
    </row>
    <row r="27" spans="1:2" ht="124.2" x14ac:dyDescent="0.25">
      <c r="A27" s="11" t="s">
        <v>36</v>
      </c>
      <c r="B27" s="6" t="s">
        <v>75</v>
      </c>
    </row>
    <row r="28" spans="1:2" ht="14.4" thickBot="1" x14ac:dyDescent="0.3">
      <c r="A28" s="13" t="s">
        <v>48</v>
      </c>
      <c r="B28" s="10" t="s">
        <v>122</v>
      </c>
    </row>
    <row r="29" spans="1:2" ht="13.8" thickBot="1" x14ac:dyDescent="0.3"/>
    <row r="30" spans="1:2" ht="14.4" thickBot="1" x14ac:dyDescent="0.3">
      <c r="A30" s="76" t="s">
        <v>93</v>
      </c>
      <c r="B30" s="77"/>
    </row>
    <row r="31" spans="1:2" ht="13.8" x14ac:dyDescent="0.25">
      <c r="A31" s="11" t="s">
        <v>54</v>
      </c>
      <c r="B31" s="78" t="s">
        <v>96</v>
      </c>
    </row>
    <row r="32" spans="1:2" ht="13.8" x14ac:dyDescent="0.25">
      <c r="A32" s="11" t="s">
        <v>55</v>
      </c>
      <c r="B32" s="78" t="s">
        <v>126</v>
      </c>
    </row>
    <row r="33" spans="1:2" ht="14.4" thickBot="1" x14ac:dyDescent="0.3">
      <c r="A33" s="13" t="s">
        <v>94</v>
      </c>
      <c r="B33" s="79" t="s">
        <v>123</v>
      </c>
    </row>
  </sheetData>
  <mergeCells count="1">
    <mergeCell ref="A22:A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23E2519974C8498A732EC96E18C790" ma:contentTypeVersion="13" ma:contentTypeDescription="Een nieuw document maken." ma:contentTypeScope="" ma:versionID="1f924875fd477fb85b3935ecaac8c3c8">
  <xsd:schema xmlns:xsd="http://www.w3.org/2001/XMLSchema" xmlns:xs="http://www.w3.org/2001/XMLSchema" xmlns:p="http://schemas.microsoft.com/office/2006/metadata/properties" xmlns:ns3="acd6c2f6-c2aa-4a9c-9ba0-8c2abf312150" xmlns:ns4="41ec812c-17ae-4437-ac3d-ee9bafe9e05b" targetNamespace="http://schemas.microsoft.com/office/2006/metadata/properties" ma:root="true" ma:fieldsID="b7e8f3ab5219f6400f0790992b6b8a48" ns3:_="" ns4:_="">
    <xsd:import namespace="acd6c2f6-c2aa-4a9c-9ba0-8c2abf312150"/>
    <xsd:import namespace="41ec812c-17ae-4437-ac3d-ee9bafe9e0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Location" minOccurs="0"/>
                <xsd:element ref="ns4:MediaServiceGenerationTime" minOccurs="0"/>
                <xsd:element ref="ns4:MediaServiceEventHashCode" minOccurs="0"/>
                <xsd:element ref="ns4:MediaServiceAutoTags"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6c2f6-c2aa-4a9c-9ba0-8c2abf312150"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ec812c-17ae-4437-ac3d-ee9bafe9e05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1CA9E7-DE4C-457F-995F-7B453F4F60D7}">
  <ds:schemaRefs>
    <ds:schemaRef ds:uri="http://schemas.microsoft.com/sharepoint/v3/contenttype/forms"/>
  </ds:schemaRefs>
</ds:datastoreItem>
</file>

<file path=customXml/itemProps2.xml><?xml version="1.0" encoding="utf-8"?>
<ds:datastoreItem xmlns:ds="http://schemas.openxmlformats.org/officeDocument/2006/customXml" ds:itemID="{E67BC295-F9DA-4BDA-9B57-5C601D657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6c2f6-c2aa-4a9c-9ba0-8c2abf312150"/>
    <ds:schemaRef ds:uri="41ec812c-17ae-4437-ac3d-ee9bafe9e0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603835-6A78-45F1-80FD-598F28E01C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berekening huurprijs nieuw</vt:lpstr>
      <vt:lpstr>berekening huurprijs lopend</vt:lpstr>
      <vt:lpstr>berekeningsblad index</vt:lpstr>
      <vt:lpstr>verklarende woordenlijst</vt:lpstr>
    </vt:vector>
  </TitlesOfParts>
  <Company>Vlaamse Huisvestingsmaatschappij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Vlaamse Maatschappij voor Sociaal Wonen</dc:creator>
  <cp:lastModifiedBy>Van Hoefs, Elke</cp:lastModifiedBy>
  <cp:lastPrinted>2009-05-28T11:12:46Z</cp:lastPrinted>
  <dcterms:created xsi:type="dcterms:W3CDTF">2007-06-12T12:40:01Z</dcterms:created>
  <dcterms:modified xsi:type="dcterms:W3CDTF">2023-10-11T13:51:55Z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0x010100E723E2519974C8498A732EC96E18C790</vt:lpwstr>
  </property>
</Properties>
</file>