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3\3 Werkdocumenten\tool_v2.6\Rapporten_2020\"/>
    </mc:Choice>
  </mc:AlternateContent>
  <xr:revisionPtr revIDLastSave="0" documentId="8_{12413108-23EE-49E3-AD85-CEAFBC5D9B96}" xr6:coauthVersionLast="47" xr6:coauthVersionMax="47" xr10:uidLastSave="{00000000-0000-0000-0000-000000000000}"/>
  <bookViews>
    <workbookView xWindow="-120" yWindow="-120" windowWidth="29040" windowHeight="176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eigengeb_aardgas">data!#REF!</definedName>
    <definedName name="kWh_eigengeb_elektriciteit">data!#REF!</definedName>
    <definedName name="kWh_eigengeb_overigebiomassa">data!#REF!</definedName>
    <definedName name="kWh_eigengeb_stookolie">data!#REF!</definedName>
    <definedName name="kWh_eigengeb_vloeibaargas">data!#REF!</definedName>
    <definedName name="kWh_eigengeb_warmtekoude">data!#REF!</definedName>
    <definedName name="kWh_eigenov_elektriciteit">data!#REF!</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8" l="1"/>
  <c r="I19" i="18"/>
  <c r="H19" i="18"/>
  <c r="E19" i="18"/>
  <c r="F89" i="14" s="1"/>
  <c r="F19" i="59" s="1"/>
  <c r="D19" i="18"/>
  <c r="E89" i="14" s="1"/>
  <c r="E19" i="59" s="1"/>
  <c r="C19" i="18"/>
  <c r="C9" i="18"/>
  <c r="D77" i="14" s="1"/>
  <c r="X36" i="18"/>
  <c r="D9" i="18" s="1"/>
  <c r="X37" i="18"/>
  <c r="X38" i="18"/>
  <c r="X39" i="18"/>
  <c r="X29" i="18"/>
  <c r="X32" i="18"/>
  <c r="E6" i="17" s="1"/>
  <c r="X31" i="18"/>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5" i="15" s="1"/>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B5" i="17"/>
  <c r="N18" i="18"/>
  <c r="L88" i="14" s="1"/>
  <c r="L18" i="59" s="1"/>
  <c r="M18" i="18"/>
  <c r="K88" i="14"/>
  <c r="K18" i="59" s="1"/>
  <c r="K89" i="14"/>
  <c r="K19" i="59" s="1"/>
  <c r="L89" i="14"/>
  <c r="L19" i="59"/>
  <c r="L87" i="14"/>
  <c r="K87" i="14"/>
  <c r="K17" i="59" s="1"/>
  <c r="K77" i="14"/>
  <c r="K9" i="59" s="1"/>
  <c r="L77" i="14"/>
  <c r="L9" i="59"/>
  <c r="L76" i="14"/>
  <c r="L8" i="59" s="1"/>
  <c r="L10" i="59" s="1"/>
  <c r="K76" i="14"/>
  <c r="K78" i="14" s="1"/>
  <c r="K8" i="59"/>
  <c r="B75" i="14"/>
  <c r="B7" i="59" s="1"/>
  <c r="B26" i="17"/>
  <c r="H14" i="15"/>
  <c r="H16" i="15"/>
  <c r="G14" i="15"/>
  <c r="G16" i="15"/>
  <c r="B6" i="6"/>
  <c r="A31" i="23"/>
  <c r="A32" i="23"/>
  <c r="A33" i="23"/>
  <c r="A6" i="23"/>
  <c r="A5" i="23"/>
  <c r="A2" i="23"/>
  <c r="A3" i="23"/>
  <c r="A4" i="23"/>
  <c r="A7" i="23"/>
  <c r="A8" i="23"/>
  <c r="A9" i="23"/>
  <c r="D7" i="22" s="1"/>
  <c r="A10" i="23"/>
  <c r="A11" i="23"/>
  <c r="A12" i="23"/>
  <c r="A13" i="23"/>
  <c r="A14" i="23"/>
  <c r="A15" i="23"/>
  <c r="A16" i="23"/>
  <c r="A17" i="23"/>
  <c r="A18" i="23"/>
  <c r="A19" i="23"/>
  <c r="A20" i="23"/>
  <c r="A21" i="23"/>
  <c r="A22" i="23"/>
  <c r="A23" i="23"/>
  <c r="A24" i="23"/>
  <c r="A25" i="23"/>
  <c r="A26" i="23"/>
  <c r="A27" i="23"/>
  <c r="A28" i="23"/>
  <c r="A29" i="23"/>
  <c r="A30" i="23"/>
  <c r="C37" i="22"/>
  <c r="C73"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6" i="16"/>
  <c r="W39" i="18"/>
  <c r="V39" i="18"/>
  <c r="U39" i="18"/>
  <c r="T39" i="18"/>
  <c r="S39" i="18"/>
  <c r="R39" i="18"/>
  <c r="Q39" i="18"/>
  <c r="N6" i="17" s="1"/>
  <c r="N5" i="17" s="1"/>
  <c r="N8" i="17" s="1"/>
  <c r="P39" i="18"/>
  <c r="O39" i="18"/>
  <c r="N39" i="18"/>
  <c r="M39" i="18"/>
  <c r="W38" i="18"/>
  <c r="V38" i="18"/>
  <c r="U38" i="18"/>
  <c r="T38" i="18"/>
  <c r="S38" i="18"/>
  <c r="R38" i="18"/>
  <c r="Q38" i="18"/>
  <c r="P38" i="18"/>
  <c r="O38" i="18"/>
  <c r="N38" i="18"/>
  <c r="M38" i="18"/>
  <c r="W37" i="18"/>
  <c r="V37" i="18"/>
  <c r="U37" i="18"/>
  <c r="T37" i="18"/>
  <c r="S37" i="18"/>
  <c r="R37" i="18"/>
  <c r="Q37" i="18"/>
  <c r="P37" i="18"/>
  <c r="O37" i="18"/>
  <c r="C16" i="16" s="1"/>
  <c r="C18" i="16" s="1"/>
  <c r="N37" i="18"/>
  <c r="M37" i="18"/>
  <c r="W36" i="18"/>
  <c r="H9" i="18" s="1"/>
  <c r="M77" i="14" s="1"/>
  <c r="M9" i="59" s="1"/>
  <c r="V36" i="18"/>
  <c r="J9" i="18" s="1"/>
  <c r="J77" i="14" s="1"/>
  <c r="J9" i="59" s="1"/>
  <c r="U36" i="18"/>
  <c r="T36" i="18"/>
  <c r="I9" i="18" s="1"/>
  <c r="I77" i="14" s="1"/>
  <c r="I9" i="59" s="1"/>
  <c r="S36" i="18"/>
  <c r="E9" i="18" s="1"/>
  <c r="F77" i="14" s="1"/>
  <c r="F9" i="59" s="1"/>
  <c r="R36" i="18"/>
  <c r="Q36" i="18"/>
  <c r="P36" i="18"/>
  <c r="O36" i="18"/>
  <c r="B19" i="18" s="1"/>
  <c r="N36" i="18"/>
  <c r="B9" i="18" s="1"/>
  <c r="M36" i="18"/>
  <c r="W32" i="18"/>
  <c r="V32" i="18"/>
  <c r="U32" i="18"/>
  <c r="T32" i="18"/>
  <c r="S32" i="18"/>
  <c r="F6" i="17" s="1"/>
  <c r="F8" i="17" s="1"/>
  <c r="R32" i="18"/>
  <c r="Q32" i="18"/>
  <c r="P32" i="18"/>
  <c r="D6" i="17" s="1"/>
  <c r="O32" i="18"/>
  <c r="N32" i="18"/>
  <c r="M32" i="18"/>
  <c r="W31" i="18"/>
  <c r="V31" i="18"/>
  <c r="U31" i="18"/>
  <c r="T31" i="18"/>
  <c r="S31" i="18"/>
  <c r="R31" i="18"/>
  <c r="Q31" i="18"/>
  <c r="P31" i="18"/>
  <c r="O31" i="18"/>
  <c r="N31" i="18"/>
  <c r="M31" i="18"/>
  <c r="W30" i="18"/>
  <c r="V30" i="18"/>
  <c r="U30" i="18"/>
  <c r="L16" i="16" s="1"/>
  <c r="L18" i="16" s="1"/>
  <c r="T30" i="18"/>
  <c r="S30" i="18"/>
  <c r="R30" i="18"/>
  <c r="Q30" i="18"/>
  <c r="P30" i="18"/>
  <c r="O30" i="18"/>
  <c r="N30" i="18"/>
  <c r="W29" i="18"/>
  <c r="V29" i="18"/>
  <c r="U29" i="18"/>
  <c r="T29" i="18"/>
  <c r="S29" i="18"/>
  <c r="R29" i="18"/>
  <c r="Q29" i="18"/>
  <c r="P29" i="18"/>
  <c r="O29" i="18"/>
  <c r="B45" i="18" s="1"/>
  <c r="E49" i="18" s="1"/>
  <c r="E17" i="18" s="1"/>
  <c r="N29" i="18"/>
  <c r="B8" i="18" s="1"/>
  <c r="M29" i="18"/>
  <c r="K22" i="18"/>
  <c r="J22" i="18"/>
  <c r="I22" i="18"/>
  <c r="H22" i="18"/>
  <c r="G22" i="18"/>
  <c r="F22" i="18"/>
  <c r="E22" i="18"/>
  <c r="D22" i="18"/>
  <c r="C22" i="18"/>
  <c r="L19" i="18"/>
  <c r="O89" i="14" s="1"/>
  <c r="O19" i="59" s="1"/>
  <c r="K19" i="18"/>
  <c r="N89" i="14" s="1"/>
  <c r="N19" i="59" s="1"/>
  <c r="J89" i="14"/>
  <c r="J19" i="59" s="1"/>
  <c r="I89" i="14"/>
  <c r="I19" i="59" s="1"/>
  <c r="M89" i="14"/>
  <c r="M19" i="59" s="1"/>
  <c r="G19" i="18"/>
  <c r="H89" i="14"/>
  <c r="H19" i="59"/>
  <c r="F19" i="18"/>
  <c r="G89" i="14" s="1"/>
  <c r="G19" i="59" s="1"/>
  <c r="L18" i="18"/>
  <c r="L20" i="18" s="1"/>
  <c r="K18" i="18"/>
  <c r="N88" i="14" s="1"/>
  <c r="N18" i="59" s="1"/>
  <c r="J18" i="18"/>
  <c r="J88" i="14"/>
  <c r="J18" i="59" s="1"/>
  <c r="I18" i="18"/>
  <c r="I88" i="14"/>
  <c r="I18" i="59" s="1"/>
  <c r="H18" i="18"/>
  <c r="M88" i="14" s="1"/>
  <c r="M18" i="59" s="1"/>
  <c r="G18" i="18"/>
  <c r="G20" i="18" s="1"/>
  <c r="F18" i="18"/>
  <c r="F20" i="18" s="1"/>
  <c r="E18" i="18"/>
  <c r="D18" i="18"/>
  <c r="E88" i="14" s="1"/>
  <c r="E18" i="59" s="1"/>
  <c r="C18" i="18"/>
  <c r="D88" i="14" s="1"/>
  <c r="B18" i="18"/>
  <c r="K12" i="18"/>
  <c r="J12" i="18"/>
  <c r="I12" i="18"/>
  <c r="H12" i="18"/>
  <c r="G12" i="18"/>
  <c r="F12" i="18"/>
  <c r="E12" i="18"/>
  <c r="D12" i="18"/>
  <c r="C12" i="18"/>
  <c r="L9" i="18"/>
  <c r="O77" i="14" s="1"/>
  <c r="O9" i="59" s="1"/>
  <c r="K9" i="18"/>
  <c r="G9" i="18"/>
  <c r="H77" i="14" s="1"/>
  <c r="H9" i="59" s="1"/>
  <c r="F9" i="18"/>
  <c r="F10" i="18"/>
  <c r="B6" i="18"/>
  <c r="B5" i="18"/>
  <c r="B4" i="18"/>
  <c r="B72" i="14"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7" i="17"/>
  <c r="C26" i="17"/>
  <c r="J5" i="17"/>
  <c r="N10" i="17"/>
  <c r="M10" i="17"/>
  <c r="M12" i="17"/>
  <c r="N54" i="14"/>
  <c r="N56" i="14"/>
  <c r="L10" i="17"/>
  <c r="K10" i="17"/>
  <c r="J10" i="17"/>
  <c r="I10" i="17"/>
  <c r="H10" i="17"/>
  <c r="G10" i="17"/>
  <c r="F10" i="17"/>
  <c r="E10" i="17"/>
  <c r="D10" i="17"/>
  <c r="C6" i="17"/>
  <c r="C8" i="17" s="1"/>
  <c r="F5" i="17"/>
  <c r="C5" i="17"/>
  <c r="B8" i="17"/>
  <c r="B51" i="16"/>
  <c r="P5" i="16" s="1"/>
  <c r="P18" i="16" s="1"/>
  <c r="B45" i="16"/>
  <c r="B43" i="16"/>
  <c r="B37" i="16"/>
  <c r="C37" i="16" s="1"/>
  <c r="B36" i="16"/>
  <c r="C36" i="16"/>
  <c r="J14" i="16" s="1"/>
  <c r="B35" i="16"/>
  <c r="B34" i="16"/>
  <c r="B12" i="16"/>
  <c r="B33" i="16"/>
  <c r="C33" i="16" s="1"/>
  <c r="B32" i="16"/>
  <c r="C32" i="16" s="1"/>
  <c r="B31" i="16"/>
  <c r="C31" i="16"/>
  <c r="F9" i="16" s="1"/>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s="1"/>
  <c r="B29" i="15"/>
  <c r="C29" i="15"/>
  <c r="J9" i="15" s="1"/>
  <c r="B28" i="15"/>
  <c r="C28" i="15"/>
  <c r="N8" i="15"/>
  <c r="B27" i="15"/>
  <c r="C27" i="15" s="1"/>
  <c r="B26" i="15"/>
  <c r="C26" i="15" s="1"/>
  <c r="N18" i="15"/>
  <c r="M18" i="15"/>
  <c r="L18" i="15"/>
  <c r="K18" i="15"/>
  <c r="J18" i="15"/>
  <c r="I18" i="15"/>
  <c r="H18" i="15"/>
  <c r="G18" i="15"/>
  <c r="F18" i="15"/>
  <c r="E18" i="15"/>
  <c r="D18" i="15"/>
  <c r="H10" i="14"/>
  <c r="P5" i="15"/>
  <c r="P16" i="15"/>
  <c r="C5" i="15"/>
  <c r="B60" i="13"/>
  <c r="B37" i="13"/>
  <c r="B54" i="13"/>
  <c r="O5" i="13"/>
  <c r="O8" i="13"/>
  <c r="O4" i="48"/>
  <c r="B27" i="13"/>
  <c r="B34" i="13" s="1"/>
  <c r="N5" i="13" s="1"/>
  <c r="N8"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D12" i="13" s="1"/>
  <c r="E41" i="14" s="1"/>
  <c r="C5" i="13"/>
  <c r="C8" i="13"/>
  <c r="B5" i="13"/>
  <c r="B8" i="13"/>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H87" i="14"/>
  <c r="H17" i="59" s="1"/>
  <c r="G87" i="14"/>
  <c r="G17" i="59" s="1"/>
  <c r="O76" i="14"/>
  <c r="O8" i="59" s="1"/>
  <c r="N76" i="14"/>
  <c r="N8" i="59" s="1"/>
  <c r="N10" i="59" s="1"/>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2" i="13"/>
  <c r="E5" i="13" s="1"/>
  <c r="E8" i="13" s="1"/>
  <c r="C34" i="13"/>
  <c r="P5" i="13"/>
  <c r="P8" i="13"/>
  <c r="J30" i="48"/>
  <c r="J32" i="48"/>
  <c r="F30" i="48"/>
  <c r="F32" i="48"/>
  <c r="N30" i="48"/>
  <c r="N32" i="48"/>
  <c r="D89" i="14"/>
  <c r="K10" i="18"/>
  <c r="N77" i="14"/>
  <c r="N9" i="59" s="1"/>
  <c r="H16" i="14"/>
  <c r="B8" i="9"/>
  <c r="I14" i="15"/>
  <c r="I16" i="15"/>
  <c r="J10" i="14" s="1"/>
  <c r="J16" i="14" s="1"/>
  <c r="J27" i="14" s="1"/>
  <c r="B13" i="16"/>
  <c r="C35" i="16"/>
  <c r="E9" i="14"/>
  <c r="D14" i="15"/>
  <c r="J8" i="17"/>
  <c r="J12" i="17" s="1"/>
  <c r="K54" i="14" s="1"/>
  <c r="K56" i="14" s="1"/>
  <c r="B67" i="22"/>
  <c r="B12" i="48"/>
  <c r="Q12" i="48"/>
  <c r="O9" i="14"/>
  <c r="B7" i="15"/>
  <c r="O5" i="16"/>
  <c r="B11" i="15"/>
  <c r="B11" i="16"/>
  <c r="J9" i="14"/>
  <c r="K9" i="14"/>
  <c r="J11" i="48"/>
  <c r="J29" i="48"/>
  <c r="M9" i="14"/>
  <c r="L11" i="48"/>
  <c r="O19" i="14"/>
  <c r="O22" i="14"/>
  <c r="N10" i="48"/>
  <c r="N28" i="48"/>
  <c r="J19" i="14"/>
  <c r="J22" i="14"/>
  <c r="I10" i="48"/>
  <c r="I28" i="48"/>
  <c r="J19" i="19"/>
  <c r="K39" i="14"/>
  <c r="N19" i="19"/>
  <c r="O39" i="14"/>
  <c r="C12" i="14"/>
  <c r="R12" i="14"/>
  <c r="I11" i="48"/>
  <c r="I29" i="48"/>
  <c r="N11" i="48"/>
  <c r="N29" i="48"/>
  <c r="L10" i="14"/>
  <c r="K5" i="48"/>
  <c r="K23" i="48"/>
  <c r="K33" i="48" s="1"/>
  <c r="C18" i="14"/>
  <c r="B13" i="48"/>
  <c r="E18" i="14"/>
  <c r="D13" i="48"/>
  <c r="D31" i="48"/>
  <c r="D31" i="20"/>
  <c r="E48" i="14"/>
  <c r="E19" i="14"/>
  <c r="D10" i="48"/>
  <c r="D28" i="48"/>
  <c r="L4" i="4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31" i="20" s="1"/>
  <c r="N48" i="14" s="1"/>
  <c r="M12" i="22"/>
  <c r="H27" i="20"/>
  <c r="H31" i="20" s="1"/>
  <c r="I48" i="14" s="1"/>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46" i="14" s="1"/>
  <c r="N10" i="14"/>
  <c r="N16" i="14"/>
  <c r="G20" i="15"/>
  <c r="H40" i="14"/>
  <c r="H46" i="14" s="1"/>
  <c r="H20" i="15"/>
  <c r="I40" i="14" s="1"/>
  <c r="I46" i="14" s="1"/>
  <c r="I10" i="14"/>
  <c r="I16" i="14"/>
  <c r="B74" i="14"/>
  <c r="B6" i="59"/>
  <c r="F8" i="16"/>
  <c r="B7" i="48"/>
  <c r="C24" i="14"/>
  <c r="C26" i="14" s="1"/>
  <c r="F8" i="15"/>
  <c r="B8" i="15"/>
  <c r="J8" i="15"/>
  <c r="F12" i="15"/>
  <c r="B9" i="16"/>
  <c r="E8" i="15"/>
  <c r="E9" i="16"/>
  <c r="D5" i="16"/>
  <c r="F14" i="16"/>
  <c r="B12" i="15"/>
  <c r="J12" i="15"/>
  <c r="B7" i="16"/>
  <c r="B8" i="16"/>
  <c r="J8" i="16"/>
  <c r="B14" i="16"/>
  <c r="C34" i="16"/>
  <c r="E12" i="16" s="1"/>
  <c r="B9" i="15"/>
  <c r="E11" i="48"/>
  <c r="E29" i="48"/>
  <c r="F9" i="14"/>
  <c r="D9" i="14"/>
  <c r="E19" i="19"/>
  <c r="F39" i="14"/>
  <c r="C11" i="48"/>
  <c r="D19" i="19"/>
  <c r="E39" i="14"/>
  <c r="C9" i="14"/>
  <c r="B11" i="48"/>
  <c r="P11" i="48"/>
  <c r="P29" i="48"/>
  <c r="H5" i="48"/>
  <c r="H23" i="48" s="1"/>
  <c r="O11" i="48"/>
  <c r="P9" i="14"/>
  <c r="M5" i="48"/>
  <c r="G29" i="48"/>
  <c r="E30" i="48"/>
  <c r="I31" i="48"/>
  <c r="I27" i="48"/>
  <c r="I30" i="48"/>
  <c r="K27" i="48"/>
  <c r="O30" i="48"/>
  <c r="K22" i="48"/>
  <c r="G22" i="48"/>
  <c r="M17" i="48"/>
  <c r="K30" i="48"/>
  <c r="I22" i="48"/>
  <c r="G30" i="48"/>
  <c r="O22" i="48"/>
  <c r="H25" i="48"/>
  <c r="L17" i="48"/>
  <c r="L32" i="48"/>
  <c r="H22" i="48"/>
  <c r="K25" i="48"/>
  <c r="K26" i="48"/>
  <c r="Q11" i="14"/>
  <c r="P12" i="13"/>
  <c r="Q41" i="14" s="1"/>
  <c r="P4" i="48"/>
  <c r="P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16" i="14" s="1"/>
  <c r="P27" i="14" s="1"/>
  <c r="O12" i="13"/>
  <c r="P41" i="14"/>
  <c r="P25" i="48"/>
  <c r="E5" i="17"/>
  <c r="G25" i="48"/>
  <c r="I25" i="48"/>
  <c r="F88" i="14"/>
  <c r="F18" i="59"/>
  <c r="G77" i="14"/>
  <c r="G78" i="14" s="1"/>
  <c r="D11" i="14"/>
  <c r="C4" i="48"/>
  <c r="J7" i="48"/>
  <c r="J25" i="48"/>
  <c r="M24" i="48"/>
  <c r="M32" i="48"/>
  <c r="K15" i="48"/>
  <c r="O78" i="14"/>
  <c r="L46" i="14"/>
  <c r="L61" i="14" s="1"/>
  <c r="L16" i="14"/>
  <c r="L27" i="14" s="1"/>
  <c r="G31" i="20"/>
  <c r="H48" i="14"/>
  <c r="G12" i="22"/>
  <c r="K24" i="14"/>
  <c r="K26" i="14" s="1"/>
  <c r="O18" i="16"/>
  <c r="O22" i="16"/>
  <c r="P43" i="14" s="1"/>
  <c r="M29" i="48"/>
  <c r="D49" i="18"/>
  <c r="L28" i="48"/>
  <c r="L31" i="48"/>
  <c r="L24" i="48"/>
  <c r="L22" i="48"/>
  <c r="M23" i="48"/>
  <c r="M22" i="48"/>
  <c r="L30" i="48"/>
  <c r="L29" i="48"/>
  <c r="G13" i="48"/>
  <c r="G31" i="48"/>
  <c r="H18" i="14"/>
  <c r="O20" i="15"/>
  <c r="P40" i="14" s="1"/>
  <c r="P46" i="14" s="1"/>
  <c r="P61" i="14" s="1"/>
  <c r="P63" i="14" s="1"/>
  <c r="P10" i="14"/>
  <c r="P20" i="15"/>
  <c r="Q40" i="14" s="1"/>
  <c r="Q10" i="14"/>
  <c r="P5" i="48"/>
  <c r="P23" i="48" s="1"/>
  <c r="F13" i="16"/>
  <c r="E13" i="16"/>
  <c r="N13" i="16"/>
  <c r="J13" i="16"/>
  <c r="F12" i="16"/>
  <c r="Q11" i="48"/>
  <c r="O5" i="48"/>
  <c r="R9" i="14"/>
  <c r="O29" i="48"/>
  <c r="L27" i="48"/>
  <c r="M30" i="48"/>
  <c r="M26" i="48"/>
  <c r="M25" i="48"/>
  <c r="O8" i="48"/>
  <c r="O26" i="48" s="1"/>
  <c r="O33" i="48" s="1"/>
  <c r="P13" i="14"/>
  <c r="O23" i="48"/>
  <c r="N12" i="13" l="1"/>
  <c r="O41" i="14" s="1"/>
  <c r="O11" i="14"/>
  <c r="N4" i="48"/>
  <c r="N22" i="48" s="1"/>
  <c r="F11" i="14"/>
  <c r="E12" i="13"/>
  <c r="F41" i="14" s="1"/>
  <c r="E4" i="48"/>
  <c r="E22" i="48" s="1"/>
  <c r="E10" i="15"/>
  <c r="F10" i="15"/>
  <c r="J10" i="15"/>
  <c r="N10" i="15"/>
  <c r="N7" i="16"/>
  <c r="E7" i="16"/>
  <c r="J7" i="16"/>
  <c r="F7" i="16"/>
  <c r="Q13" i="14"/>
  <c r="Q16" i="14" s="1"/>
  <c r="Q27" i="14" s="1"/>
  <c r="P22" i="16"/>
  <c r="Q43" i="14" s="1"/>
  <c r="P8" i="48"/>
  <c r="E77" i="14"/>
  <c r="E9" i="59" s="1"/>
  <c r="O9" i="18"/>
  <c r="J6" i="15"/>
  <c r="N6" i="15"/>
  <c r="E6" i="15"/>
  <c r="F6" i="15"/>
  <c r="J11" i="15"/>
  <c r="F11" i="15"/>
  <c r="E11" i="15"/>
  <c r="N11" i="15"/>
  <c r="E15" i="16"/>
  <c r="J15" i="16"/>
  <c r="F15" i="16"/>
  <c r="N15" i="16"/>
  <c r="J11" i="16"/>
  <c r="N11" i="16"/>
  <c r="F11" i="16"/>
  <c r="E11" i="16"/>
  <c r="L63" i="14"/>
  <c r="Q46" i="14"/>
  <c r="Q61" i="14" s="1"/>
  <c r="E7" i="15"/>
  <c r="N7" i="15"/>
  <c r="F7" i="15"/>
  <c r="J7" i="15"/>
  <c r="F10" i="16"/>
  <c r="J10" i="16"/>
  <c r="E10" i="16"/>
  <c r="N10" i="16"/>
  <c r="O15" i="48"/>
  <c r="J5" i="13"/>
  <c r="J8" i="13" s="1"/>
  <c r="J12" i="16"/>
  <c r="G9" i="59"/>
  <c r="G10" i="59" s="1"/>
  <c r="D4" i="48"/>
  <c r="D22" i="48" s="1"/>
  <c r="N14" i="16"/>
  <c r="B15" i="16"/>
  <c r="B10" i="15"/>
  <c r="L10" i="18"/>
  <c r="B33" i="13"/>
  <c r="B36" i="13"/>
  <c r="F5" i="13" s="1"/>
  <c r="F8" i="13" s="1"/>
  <c r="O10" i="59"/>
  <c r="D8" i="17"/>
  <c r="B31" i="13"/>
  <c r="E8" i="17"/>
  <c r="E7" i="48" s="1"/>
  <c r="E25" i="48" s="1"/>
  <c r="L90" i="14"/>
  <c r="R25" i="14"/>
  <c r="N12" i="16"/>
  <c r="N78" i="14"/>
  <c r="I5" i="48"/>
  <c r="B4" i="48"/>
  <c r="E9" i="15"/>
  <c r="B10" i="16"/>
  <c r="B5" i="16" s="1"/>
  <c r="F9" i="15"/>
  <c r="N9" i="15"/>
  <c r="I20" i="15"/>
  <c r="J40" i="14" s="1"/>
  <c r="J46" i="14" s="1"/>
  <c r="J61" i="14" s="1"/>
  <c r="J63" i="14" s="1"/>
  <c r="J9" i="16"/>
  <c r="B10" i="18"/>
  <c r="F16" i="16"/>
  <c r="D13" i="15"/>
  <c r="D16" i="15" s="1"/>
  <c r="L6" i="17"/>
  <c r="L5" i="17" s="1"/>
  <c r="L8" i="17" s="1"/>
  <c r="E11" i="14"/>
  <c r="B6" i="15"/>
  <c r="N9" i="16"/>
  <c r="E14" i="16"/>
  <c r="C45" i="18"/>
  <c r="I48" i="18" s="1"/>
  <c r="H8" i="18" s="1"/>
  <c r="M76" i="14" s="1"/>
  <c r="D16" i="16"/>
  <c r="D18" i="16" s="1"/>
  <c r="B16" i="16"/>
  <c r="B18" i="16" s="1"/>
  <c r="N16" i="16"/>
  <c r="L78" i="14"/>
  <c r="D14" i="48"/>
  <c r="O19" i="18"/>
  <c r="Q89" i="14"/>
  <c r="P19" i="59" s="1"/>
  <c r="C89" i="14"/>
  <c r="C19" i="59" s="1"/>
  <c r="M13" i="14"/>
  <c r="L22" i="16"/>
  <c r="M43" i="14" s="1"/>
  <c r="L8" i="48"/>
  <c r="L26" i="48" s="1"/>
  <c r="L12" i="17"/>
  <c r="M54" i="14" s="1"/>
  <c r="M56" i="14" s="1"/>
  <c r="L7" i="48"/>
  <c r="L25" i="48" s="1"/>
  <c r="M24" i="14"/>
  <c r="M26" i="14" s="1"/>
  <c r="D9" i="59"/>
  <c r="C77" i="14"/>
  <c r="C9" i="59" s="1"/>
  <c r="Q77" i="14"/>
  <c r="P9" i="59" s="1"/>
  <c r="E20" i="18"/>
  <c r="F87" i="14"/>
  <c r="N90" i="14"/>
  <c r="D24" i="14"/>
  <c r="C7" i="48"/>
  <c r="G49" i="18"/>
  <c r="I49" i="18"/>
  <c r="H17" i="18" s="1"/>
  <c r="J49" i="18"/>
  <c r="D17" i="18" s="1"/>
  <c r="C49" i="18"/>
  <c r="F49" i="18"/>
  <c r="B49" i="18"/>
  <c r="C17" i="18" s="1"/>
  <c r="H49" i="18"/>
  <c r="J17" i="18" s="1"/>
  <c r="C13" i="14"/>
  <c r="B8" i="48"/>
  <c r="K20" i="59"/>
  <c r="C8" i="48"/>
  <c r="D13" i="14"/>
  <c r="B4" i="59"/>
  <c r="G24" i="14"/>
  <c r="G26" i="14" s="1"/>
  <c r="F7" i="48"/>
  <c r="F25" i="48" s="1"/>
  <c r="F12" i="17"/>
  <c r="G54" i="14" s="1"/>
  <c r="G56" i="14" s="1"/>
  <c r="B89" i="14"/>
  <c r="B19" i="59" s="1"/>
  <c r="B77" i="14"/>
  <c r="B9" i="59" s="1"/>
  <c r="K10" i="59"/>
  <c r="F24" i="14"/>
  <c r="F26" i="14" s="1"/>
  <c r="E12" i="17"/>
  <c r="F54" i="14" s="1"/>
  <c r="F56" i="14" s="1"/>
  <c r="O24" i="14"/>
  <c r="O26" i="14" s="1"/>
  <c r="N7" i="48"/>
  <c r="N25" i="48" s="1"/>
  <c r="N12" i="17"/>
  <c r="O54" i="14" s="1"/>
  <c r="O56" i="14" s="1"/>
  <c r="H10" i="59"/>
  <c r="D18" i="59"/>
  <c r="D22" i="16"/>
  <c r="E43" i="14" s="1"/>
  <c r="E13" i="14"/>
  <c r="D8" i="48"/>
  <c r="D26" i="48" s="1"/>
  <c r="N17" i="59"/>
  <c r="N20" i="59" s="1"/>
  <c r="G88" i="14"/>
  <c r="G18" i="59" s="1"/>
  <c r="G20" i="59" s="1"/>
  <c r="O88" i="14"/>
  <c r="F13" i="15"/>
  <c r="L17" i="59"/>
  <c r="L20" i="59" s="1"/>
  <c r="F48" i="18"/>
  <c r="B73" i="14"/>
  <c r="B5" i="59" s="1"/>
  <c r="B13" i="15"/>
  <c r="E13" i="15"/>
  <c r="H78" i="14"/>
  <c r="H88" i="14"/>
  <c r="D19" i="59"/>
  <c r="O18" i="18"/>
  <c r="G10" i="18"/>
  <c r="B17" i="18"/>
  <c r="C13" i="15"/>
  <c r="C16" i="15" s="1"/>
  <c r="D10" i="14" s="1"/>
  <c r="D16" i="14" s="1"/>
  <c r="K90" i="14"/>
  <c r="H11" i="22"/>
  <c r="B11" i="22"/>
  <c r="D8" i="22"/>
  <c r="M6" i="22"/>
  <c r="D6" i="22"/>
  <c r="G8" i="22"/>
  <c r="B51" i="22"/>
  <c r="G9" i="22"/>
  <c r="M9" i="22"/>
  <c r="H6" i="22"/>
  <c r="B8" i="22"/>
  <c r="E10" i="22"/>
  <c r="M10" i="22"/>
  <c r="G10" i="22"/>
  <c r="H8" i="22"/>
  <c r="D11" i="22"/>
  <c r="E8" i="22"/>
  <c r="D10" i="22"/>
  <c r="M51" i="22"/>
  <c r="M50" i="22" s="1"/>
  <c r="M54" i="22" s="1"/>
  <c r="G7" i="22"/>
  <c r="M11" i="22"/>
  <c r="H10" i="22"/>
  <c r="B6" i="22"/>
  <c r="E9" i="22"/>
  <c r="M8" i="22"/>
  <c r="H9" i="22"/>
  <c r="B7" i="22"/>
  <c r="D9" i="22"/>
  <c r="G11" i="22"/>
  <c r="E6" i="22"/>
  <c r="E11" i="22"/>
  <c r="G6" i="22"/>
  <c r="B9" i="22"/>
  <c r="E7" i="22"/>
  <c r="G51" i="22"/>
  <c r="G50" i="22" s="1"/>
  <c r="G54" i="22" s="1"/>
  <c r="M7" i="22"/>
  <c r="H7" i="22"/>
  <c r="B52" i="22"/>
  <c r="B10" i="22"/>
  <c r="I18" i="14"/>
  <c r="M13" i="48"/>
  <c r="M31" i="48" s="1"/>
  <c r="N18" i="14"/>
  <c r="H13" i="48"/>
  <c r="H31" i="48" s="1"/>
  <c r="H12" i="22"/>
  <c r="L13" i="15"/>
  <c r="L16" i="15" s="1"/>
  <c r="M10" i="14" s="1"/>
  <c r="M16" i="14" s="1"/>
  <c r="N13" i="15"/>
  <c r="D20" i="15"/>
  <c r="E40" i="14" s="1"/>
  <c r="E46" i="14" s="1"/>
  <c r="E10" i="14"/>
  <c r="D5" i="48"/>
  <c r="I23" i="48" l="1"/>
  <c r="I33" i="48" s="1"/>
  <c r="I15" i="48"/>
  <c r="E5" i="15"/>
  <c r="N5" i="16"/>
  <c r="B50" i="22"/>
  <c r="B54" i="22" s="1"/>
  <c r="B10" i="48" s="1"/>
  <c r="J48" i="18"/>
  <c r="D8" i="18" s="1"/>
  <c r="B48" i="18"/>
  <c r="C8" i="18" s="1"/>
  <c r="H10" i="18"/>
  <c r="I17" i="18"/>
  <c r="N18" i="16"/>
  <c r="F12" i="13"/>
  <c r="G41" i="14" s="1"/>
  <c r="F4" i="48"/>
  <c r="F22" i="48" s="1"/>
  <c r="G11" i="14"/>
  <c r="R11" i="14" s="1"/>
  <c r="Q63" i="14"/>
  <c r="N5" i="15"/>
  <c r="N16" i="15" s="1"/>
  <c r="F5" i="16"/>
  <c r="C48" i="18"/>
  <c r="D48" i="18"/>
  <c r="G90" i="14"/>
  <c r="K11" i="14"/>
  <c r="J4" i="48"/>
  <c r="J12" i="13"/>
  <c r="K41" i="14" s="1"/>
  <c r="J5" i="15"/>
  <c r="J16" i="15" s="1"/>
  <c r="P26" i="48"/>
  <c r="P33" i="48" s="1"/>
  <c r="P15" i="48"/>
  <c r="J5" i="16"/>
  <c r="J18" i="16" s="1"/>
  <c r="H5" i="22"/>
  <c r="E16" i="15"/>
  <c r="F10" i="14" s="1"/>
  <c r="H48" i="18"/>
  <c r="G48" i="18"/>
  <c r="I8" i="18" s="1"/>
  <c r="I76" i="14" s="1"/>
  <c r="E48" i="18"/>
  <c r="E8" i="18" s="1"/>
  <c r="B88" i="14"/>
  <c r="B18" i="59" s="1"/>
  <c r="Q14" i="48"/>
  <c r="D32" i="48"/>
  <c r="B5" i="15"/>
  <c r="B16" i="15" s="1"/>
  <c r="F18" i="16"/>
  <c r="Q4" i="48"/>
  <c r="D12" i="17"/>
  <c r="E54" i="14" s="1"/>
  <c r="E56" i="14" s="1"/>
  <c r="E24" i="14"/>
  <c r="E26" i="14" s="1"/>
  <c r="D7" i="48"/>
  <c r="D25" i="48" s="1"/>
  <c r="F5" i="15"/>
  <c r="F16" i="15" s="1"/>
  <c r="E5" i="16"/>
  <c r="E18" i="16" s="1"/>
  <c r="C5" i="48"/>
  <c r="C15" i="48" s="1"/>
  <c r="D27" i="14"/>
  <c r="B20" i="6" s="1"/>
  <c r="E10" i="18"/>
  <c r="F76" i="14"/>
  <c r="E20" i="15"/>
  <c r="F40" i="14" s="1"/>
  <c r="J20" i="18"/>
  <c r="J87" i="14"/>
  <c r="R24" i="14"/>
  <c r="R26" i="14" s="1"/>
  <c r="D26" i="14"/>
  <c r="E5" i="48"/>
  <c r="E23" i="48" s="1"/>
  <c r="C20" i="18"/>
  <c r="O17" i="18"/>
  <c r="O20" i="18" s="1"/>
  <c r="D87" i="14"/>
  <c r="M27" i="14"/>
  <c r="O90" i="14"/>
  <c r="O18" i="59"/>
  <c r="O20" i="59" s="1"/>
  <c r="J8" i="18"/>
  <c r="C88" i="14"/>
  <c r="C18" i="59" s="1"/>
  <c r="F17" i="59"/>
  <c r="F20" i="59" s="1"/>
  <c r="F90" i="14"/>
  <c r="I20" i="18"/>
  <c r="I87" i="14"/>
  <c r="M8" i="59"/>
  <c r="M10" i="59" s="1"/>
  <c r="M78" i="14"/>
  <c r="B20" i="18"/>
  <c r="E87" i="14"/>
  <c r="D20" i="18"/>
  <c r="E16" i="14"/>
  <c r="H18" i="59"/>
  <c r="H20" i="59" s="1"/>
  <c r="H90" i="14"/>
  <c r="E76" i="14"/>
  <c r="D10" i="18"/>
  <c r="D76" i="14"/>
  <c r="C10" i="18"/>
  <c r="Q88" i="14"/>
  <c r="P18" i="59" s="1"/>
  <c r="H20" i="18"/>
  <c r="M87" i="14"/>
  <c r="D5" i="22"/>
  <c r="D14" i="22" s="1"/>
  <c r="D18" i="22" s="1"/>
  <c r="E50" i="14" s="1"/>
  <c r="E52" i="14" s="1"/>
  <c r="G5" i="22"/>
  <c r="G14" i="22" s="1"/>
  <c r="G9" i="48" s="1"/>
  <c r="G27" i="48" s="1"/>
  <c r="B5" i="22"/>
  <c r="B14" i="22" s="1"/>
  <c r="C20" i="14" s="1"/>
  <c r="E5" i="22"/>
  <c r="E14" i="22" s="1"/>
  <c r="F20" i="14" s="1"/>
  <c r="F22" i="14" s="1"/>
  <c r="M5" i="22"/>
  <c r="M14" i="22" s="1"/>
  <c r="N20" i="14" s="1"/>
  <c r="G58" i="22"/>
  <c r="H49" i="14" s="1"/>
  <c r="H19" i="14"/>
  <c r="G10" i="48"/>
  <c r="G28" i="48" s="1"/>
  <c r="M58" i="22"/>
  <c r="N49" i="14" s="1"/>
  <c r="N19" i="14"/>
  <c r="M10" i="48"/>
  <c r="M28" i="48" s="1"/>
  <c r="H14" i="22"/>
  <c r="I20" i="14" s="1"/>
  <c r="Q13" i="48"/>
  <c r="R18" i="14"/>
  <c r="G18" i="22"/>
  <c r="H50" i="14" s="1"/>
  <c r="H20" i="14"/>
  <c r="L5" i="48"/>
  <c r="L15" i="48" s="1"/>
  <c r="L20" i="15"/>
  <c r="M40" i="14" s="1"/>
  <c r="M46" i="14" s="1"/>
  <c r="M61" i="14" s="1"/>
  <c r="D23" i="48"/>
  <c r="C10" i="14" l="1"/>
  <c r="C16" i="14" s="1"/>
  <c r="B5" i="48"/>
  <c r="N5" i="48"/>
  <c r="O10" i="14"/>
  <c r="O16" i="14" s="1"/>
  <c r="O27" i="14" s="1"/>
  <c r="N20" i="15"/>
  <c r="O40" i="14" s="1"/>
  <c r="G10" i="14"/>
  <c r="F5" i="48"/>
  <c r="F23" i="48" s="1"/>
  <c r="F20" i="15"/>
  <c r="G40" i="14" s="1"/>
  <c r="G46" i="14" s="1"/>
  <c r="G61" i="14" s="1"/>
  <c r="K13" i="14"/>
  <c r="J22" i="16"/>
  <c r="K43" i="14" s="1"/>
  <c r="J8" i="48"/>
  <c r="J26" i="48" s="1"/>
  <c r="C19" i="14"/>
  <c r="J22" i="48"/>
  <c r="N8" i="48"/>
  <c r="N26" i="48" s="1"/>
  <c r="N22" i="16"/>
  <c r="O43" i="14" s="1"/>
  <c r="O13" i="14"/>
  <c r="H22" i="14"/>
  <c r="H27" i="14" s="1"/>
  <c r="C87" i="14"/>
  <c r="C90" i="14" s="1"/>
  <c r="I10" i="18"/>
  <c r="F8" i="48"/>
  <c r="F26" i="48" s="1"/>
  <c r="G13" i="14"/>
  <c r="F22" i="16"/>
  <c r="G43" i="14" s="1"/>
  <c r="E8" i="48"/>
  <c r="E22" i="16"/>
  <c r="F43" i="14" s="1"/>
  <c r="F46" i="14" s="1"/>
  <c r="F13" i="14"/>
  <c r="E61" i="14"/>
  <c r="O8" i="18"/>
  <c r="O10" i="18" s="1"/>
  <c r="J5" i="48"/>
  <c r="J23" i="48" s="1"/>
  <c r="K10" i="14"/>
  <c r="K16" i="14" s="1"/>
  <c r="K27" i="14" s="1"/>
  <c r="J20" i="15"/>
  <c r="K40" i="14" s="1"/>
  <c r="K46" i="14" s="1"/>
  <c r="K61" i="14" s="1"/>
  <c r="K63" i="14" s="1"/>
  <c r="Q7" i="48"/>
  <c r="F15" i="48"/>
  <c r="C17" i="59"/>
  <c r="C20" i="59" s="1"/>
  <c r="I17" i="59"/>
  <c r="I20" i="59" s="1"/>
  <c r="I90" i="14"/>
  <c r="E78" i="14"/>
  <c r="E8" i="59"/>
  <c r="E10" i="59" s="1"/>
  <c r="B87" i="14"/>
  <c r="F78" i="14"/>
  <c r="F8" i="59"/>
  <c r="F10" i="59" s="1"/>
  <c r="M17" i="59"/>
  <c r="M20" i="59" s="1"/>
  <c r="M90" i="14"/>
  <c r="J10" i="18"/>
  <c r="J76" i="14"/>
  <c r="E90" i="14"/>
  <c r="E17" i="59"/>
  <c r="E20" i="59" s="1"/>
  <c r="Q76" i="14"/>
  <c r="D78" i="14"/>
  <c r="D8" i="59"/>
  <c r="D10" i="59" s="1"/>
  <c r="D90" i="14"/>
  <c r="Q87" i="14"/>
  <c r="D17" i="59"/>
  <c r="D20" i="59" s="1"/>
  <c r="M63" i="14"/>
  <c r="I8" i="59"/>
  <c r="I10" i="59" s="1"/>
  <c r="I78" i="14"/>
  <c r="J90" i="14"/>
  <c r="J17" i="59"/>
  <c r="J20" i="59" s="1"/>
  <c r="D9" i="48"/>
  <c r="D27" i="48" s="1"/>
  <c r="D33" i="48" s="1"/>
  <c r="E20" i="14"/>
  <c r="E22" i="14" s="1"/>
  <c r="E27" i="14" s="1"/>
  <c r="E63" i="14" s="1"/>
  <c r="G33" i="48"/>
  <c r="C22" i="14"/>
  <c r="C27" i="14" s="1"/>
  <c r="B3" i="6" s="1"/>
  <c r="M9" i="48"/>
  <c r="M27" i="48" s="1"/>
  <c r="M33" i="48" s="1"/>
  <c r="M18" i="22"/>
  <c r="N50" i="14" s="1"/>
  <c r="G15" i="48"/>
  <c r="E18" i="22"/>
  <c r="F50" i="14" s="1"/>
  <c r="F52" i="14" s="1"/>
  <c r="B9" i="48"/>
  <c r="B15" i="48" s="1"/>
  <c r="Q10" i="48"/>
  <c r="E9" i="48"/>
  <c r="H52" i="14"/>
  <c r="H61" i="14" s="1"/>
  <c r="H63" i="14" s="1"/>
  <c r="H18" i="22"/>
  <c r="I50" i="14" s="1"/>
  <c r="I52" i="14" s="1"/>
  <c r="I61" i="14" s="1"/>
  <c r="H9" i="48"/>
  <c r="N22" i="14"/>
  <c r="N27" i="14" s="1"/>
  <c r="M15" i="48"/>
  <c r="N52" i="14"/>
  <c r="N61" i="14" s="1"/>
  <c r="R19" i="14"/>
  <c r="I22" i="14"/>
  <c r="I27" i="14" s="1"/>
  <c r="Q5" i="48"/>
  <c r="L23" i="48"/>
  <c r="L33" i="48" s="1"/>
  <c r="R10" i="14"/>
  <c r="I63" i="14" l="1"/>
  <c r="J15" i="48"/>
  <c r="F33" i="48"/>
  <c r="N23" i="48"/>
  <c r="N33" i="48" s="1"/>
  <c r="N15" i="48"/>
  <c r="F61" i="14"/>
  <c r="E26" i="48"/>
  <c r="Q8" i="48"/>
  <c r="R13" i="14"/>
  <c r="R16" i="14" s="1"/>
  <c r="F16" i="14"/>
  <c r="F27" i="14" s="1"/>
  <c r="J33" i="48"/>
  <c r="G16" i="14"/>
  <c r="G27" i="14" s="1"/>
  <c r="G63" i="14" s="1"/>
  <c r="O46" i="14"/>
  <c r="O61" i="14" s="1"/>
  <c r="O63" i="14" s="1"/>
  <c r="P8" i="59"/>
  <c r="P10" i="59" s="1"/>
  <c r="Q78" i="14"/>
  <c r="B9" i="6" s="1"/>
  <c r="B17" i="59"/>
  <c r="B20" i="59" s="1"/>
  <c r="B90" i="14"/>
  <c r="J78" i="14"/>
  <c r="J8" i="59"/>
  <c r="J10" i="59" s="1"/>
  <c r="C76" i="14"/>
  <c r="Q90" i="14"/>
  <c r="B17" i="6" s="1"/>
  <c r="B22" i="6" s="1"/>
  <c r="P17" i="59"/>
  <c r="P20" i="59" s="1"/>
  <c r="B76" i="14"/>
  <c r="R20" i="14"/>
  <c r="D15" i="48"/>
  <c r="N63" i="14"/>
  <c r="Q9" i="48"/>
  <c r="Q15" i="48" s="1"/>
  <c r="R22" i="14"/>
  <c r="E27" i="48"/>
  <c r="E15" i="48"/>
  <c r="H27" i="48"/>
  <c r="H33" i="48" s="1"/>
  <c r="H15" i="48"/>
  <c r="F63" i="14" l="1"/>
  <c r="R27" i="14"/>
  <c r="E33" i="48"/>
  <c r="C17" i="49"/>
  <c r="C22" i="59"/>
  <c r="C16" i="22"/>
  <c r="C20" i="16"/>
  <c r="C22" i="16" s="1"/>
  <c r="D43" i="14" s="1"/>
  <c r="C56" i="22"/>
  <c r="C58" i="22" s="1"/>
  <c r="D49" i="14" s="1"/>
  <c r="D52" i="14" s="1"/>
  <c r="C10" i="13"/>
  <c r="C17" i="19"/>
  <c r="C19" i="19" s="1"/>
  <c r="D39" i="14" s="1"/>
  <c r="C18" i="15"/>
  <c r="C20" i="15" s="1"/>
  <c r="D40" i="14" s="1"/>
  <c r="C10" i="17"/>
  <c r="C12" i="17" s="1"/>
  <c r="D54" i="14" s="1"/>
  <c r="D56" i="14" s="1"/>
  <c r="C29" i="20"/>
  <c r="C8" i="59"/>
  <c r="C10" i="59" s="1"/>
  <c r="C78" i="14"/>
  <c r="B8" i="59"/>
  <c r="B10" i="59" s="1"/>
  <c r="B78" i="14"/>
  <c r="C12" i="13" l="1"/>
  <c r="D41" i="14" s="1"/>
  <c r="D46" i="14" s="1"/>
  <c r="D61" i="14" s="1"/>
  <c r="D63" i="14" s="1"/>
  <c r="C17" i="48"/>
  <c r="B4" i="6"/>
  <c r="B12" i="6" s="1"/>
  <c r="B18" i="15" s="1"/>
  <c r="B20" i="15" s="1"/>
  <c r="C31" i="48" l="1"/>
  <c r="C32" i="48"/>
  <c r="C30" i="48"/>
  <c r="C27" i="48"/>
  <c r="C23" i="48"/>
  <c r="C29" i="48"/>
  <c r="C22" i="48"/>
  <c r="C26" i="48"/>
  <c r="C25" i="48"/>
  <c r="C28" i="48"/>
  <c r="C24" i="48"/>
  <c r="C55" i="14"/>
  <c r="R55" i="14" s="1"/>
  <c r="B10" i="17"/>
  <c r="B12" i="17" s="1"/>
  <c r="C54" i="14" s="1"/>
  <c r="B17" i="49"/>
  <c r="B19" i="49" s="1"/>
  <c r="C42" i="14" s="1"/>
  <c r="R42" i="14" s="1"/>
  <c r="B29" i="20"/>
  <c r="B31" i="20" s="1"/>
  <c r="C48" i="14" s="1"/>
  <c r="R48" i="14" s="1"/>
  <c r="B10" i="13"/>
  <c r="B12" i="13" s="1"/>
  <c r="C41" i="14" s="1"/>
  <c r="R41" i="14" s="1"/>
  <c r="B20" i="16"/>
  <c r="B22" i="16" s="1"/>
  <c r="C43" i="14" s="1"/>
  <c r="R43" i="14" s="1"/>
  <c r="B10" i="9"/>
  <c r="B12" i="9" s="1"/>
  <c r="C40" i="14" s="1"/>
  <c r="R40" i="14" s="1"/>
  <c r="B17" i="19"/>
  <c r="B19" i="19" s="1"/>
  <c r="C39" i="14" s="1"/>
  <c r="R39" i="14" s="1"/>
  <c r="B16" i="22"/>
  <c r="B18" i="22" s="1"/>
  <c r="C50" i="14" s="1"/>
  <c r="R50" i="14" s="1"/>
  <c r="C12" i="59"/>
  <c r="B56" i="22"/>
  <c r="B58" i="22" s="1"/>
  <c r="C49" i="14" s="1"/>
  <c r="R49" i="14" s="1"/>
  <c r="C33" i="48" l="1"/>
  <c r="C56" i="14"/>
  <c r="R54" i="14"/>
  <c r="R56" i="14" s="1"/>
  <c r="B17" i="48"/>
  <c r="B31" i="48" s="1"/>
  <c r="Q31" i="48" s="1"/>
  <c r="C52" i="14"/>
  <c r="R52" i="14"/>
  <c r="C46" i="14"/>
  <c r="R46" i="14"/>
  <c r="B28" i="48" l="1"/>
  <c r="Q28" i="48" s="1"/>
  <c r="B24" i="48"/>
  <c r="Q24" i="48" s="1"/>
  <c r="B29" i="48"/>
  <c r="Q29" i="48" s="1"/>
  <c r="B25" i="48"/>
  <c r="Q25" i="48" s="1"/>
  <c r="C61" i="14"/>
  <c r="C63" i="14" s="1"/>
  <c r="B26" i="48"/>
  <c r="Q26" i="48" s="1"/>
  <c r="B32" i="48"/>
  <c r="Q32" i="48" s="1"/>
  <c r="B27" i="48"/>
  <c r="Q27" i="48" s="1"/>
  <c r="B30" i="48"/>
  <c r="Q30" i="48" s="1"/>
  <c r="B23" i="48"/>
  <c r="Q23" i="48" s="1"/>
  <c r="B22" i="48"/>
  <c r="Q22" i="48" s="1"/>
  <c r="R61" i="14"/>
  <c r="B33" i="48" l="1"/>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<sst xmlns="http://schemas.openxmlformats.org/spreadsheetml/2006/main" count="2323" uniqueCount="833">
  <si>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</si>
  <si>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</si>
  <si>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</si>
  <si>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</si>
  <si>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</si>
  <si>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</si>
  <si>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</si>
  <si>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</si>
  <si>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</si>
  <si>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</si>
  <si>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</si>
  <si>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</si>
  <si>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</si>
  <si>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</si>
  <si>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</si>
  <si>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</si>
  <si>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</si>
  <si>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</si>
  <si>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</si>
  <si>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</si>
  <si>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</si>
  <si>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</si>
  <si>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</si>
  <si>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</si>
  <si>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</si>
  <si>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</si>
  <si>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</si>
  <si>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</si>
  <si>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</si>
  <si>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</si>
  <si>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</si>
  <si>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</si>
  <si>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</si>
  <si>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</si>
  <si>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</si>
  <si>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</si>
  <si>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</si>
  <si>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</si>
  <si>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</si>
  <si>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</si>
  <si>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</si>
  <si>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</si>
  <si>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</si>
  <si>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</si>
  <si>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</si>
  <si>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</si>
  <si>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</si>
  <si>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</si>
  <si>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</si>
  <si>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</si>
  <si>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</si>
  <si>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</si>
  <si>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</si>
  <si>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</si>
  <si>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</si>
  <si>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</si>
  <si>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</si>
  <si>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</si>
  <si>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</si>
  <si>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</si>
  <si>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</si>
  <si>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</si>
  <si>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</si>
  <si>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</si>
  <si>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</si>
  <si>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</si>
  <si>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</si>
  <si>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</si>
  <si>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</si>
  <si>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</si>
  <si>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</si>
  <si>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</si>
  <si>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</si>
  <si>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</si>
  <si>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</si>
  <si>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</si>
  <si>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</si>
  <si>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</si>
  <si>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</si>
  <si>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</si>
  <si>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</si>
  <si>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</si>
  <si>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</si>
  <si>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</si>
  <si>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</si>
  <si>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</si>
  <si>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</si>
  <si>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</si>
  <si>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</si>
  <si>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</si>
  <si>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</si>
  <si>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</si>
  <si>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</si>
  <si>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</si>
  <si>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</si>
  <si>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</si>
  <si>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</si>
  <si>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</si>
  <si>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</si>
  <si>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</si>
  <si>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</si>
  <si>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</si>
  <si>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</si>
  <si>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</si>
  <si>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</si>
  <si>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</si>
  <si>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</si>
  <si>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</si>
  <si>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</si>
  <si>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</si>
  <si>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</si>
  <si>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</si>
  <si>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</si>
  <si>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</si>
  <si>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</si>
  <si>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</si>
  <si>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</si>
  <si>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</si>
  <si>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</si>
  <si>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</si>
  <si>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</si>
  <si>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</si>
  <si>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</si>
  <si>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</si>
  <si>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</si>
  <si>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</si>
  <si>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</si>
  <si>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</si>
  <si>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</si>
  <si>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</si>
  <si>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</si>
  <si>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</si>
  <si>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</si>
  <si>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</si>
  <si>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</si>
  <si>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</si>
  <si>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</si>
  <si>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</si>
  <si>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</si>
  <si>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</si>
  <si>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</si>
  <si>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</si>
  <si>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</si>
  <si>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</si>
  <si>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</si>
  <si>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</si>
  <si>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</si>
  <si>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</si>
  <si>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</si>
  <si>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</si>
  <si>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</si>
  <si>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</si>
  <si>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</si>
  <si>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</si>
  <si>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</si>
  <si>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</si>
  <si>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</si>
  <si>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</si>
  <si>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</si>
  <si>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</si>
  <si>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</si>
  <si>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</si>
  <si>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</si>
  <si>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</si>
  <si>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</si>
  <si>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</si>
  <si>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</si>
  <si>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</si>
  <si>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</si>
  <si>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</si>
  <si>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</si>
  <si>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</si>
  <si>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</si>
  <si>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</si>
  <si>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</si>
  <si>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</si>
  <si>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</si>
  <si>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</si>
  <si>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</si>
  <si>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</si>
  <si>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</si>
  <si>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</si>
  <si>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</si>
  <si>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</si>
  <si>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</si>
  <si>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</si>
  <si>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</si>
  <si>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</si>
  <si>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</si>
  <si>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</si>
  <si>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</si>
  <si>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</si>
  <si>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</si>
  <si>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</si>
  <si>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</si>
  <si>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</si>
  <si>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</si>
  <si>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</si>
  <si>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</si>
  <si>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</si>
  <si>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</si>
  <si>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</si>
  <si>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</si>
  <si>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</si>
  <si>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</si>
  <si>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</si>
  <si>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</si>
  <si>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</si>
  <si>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</si>
  <si>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</si>
  <si>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</si>
  <si>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</si>
  <si>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</si>
  <si>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</si>
  <si>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</si>
  <si>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</si>
  <si>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</si>
  <si>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</si>
  <si>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</si>
  <si>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</si>
  <si>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</si>
  <si>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</si>
  <si>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</si>
  <si>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</si>
  <si>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</si>
  <si>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</si>
  <si>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</si>
  <si>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</si>
  <si>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</si>
  <si>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</si>
  <si>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</si>
  <si>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</si>
  <si>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</si>
  <si>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</si>
  <si>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</si>
  <si>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</si>
  <si>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</si>
  <si>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</si>
  <si>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</si>
  <si>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</si>
  <si>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</si>
  <si>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</si>
  <si>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</si>
  <si>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</si>
  <si>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</si>
  <si>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</si>
  <si>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</si>
  <si>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</si>
  <si>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</si>
  <si>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</si>
  <si>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</si>
  <si>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</si>
  <si>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</si>
  <si>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</si>
  <si>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</si>
  <si>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</si>
  <si>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</si>
  <si>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</si>
  <si>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</si>
  <si>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</si>
  <si>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</si>
  <si>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</si>
  <si>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</si>
  <si>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</si>
  <si>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</si>
  <si>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</si>
  <si>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</si>
  <si>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</si>
  <si>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</si>
  <si>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</si>
  <si>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</si>
  <si>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</si>
  <si>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</si>
  <si>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</si>
  <si>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</si>
  <si>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</si>
  <si>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</si>
  <si>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</si>
  <si>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</si>
  <si>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</si>
  <si>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</si>
  <si>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</si>
  <si>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</si>
  <si>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</si>
  <si>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</si>
  <si>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</si>
  <si>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</si>
  <si>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</si>
  <si>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</si>
  <si>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</si>
  <si>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</si>
  <si>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</si>
  <si>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</si>
  <si>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</si>
  <si>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</si>
  <si>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</si>
  <si>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</si>
  <si>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</si>
  <si>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</si>
  <si>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</si>
  <si>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</si>
  <si>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</si>
  <si>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</si>
  <si>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</si>
  <si>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</si>
  <si>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</si>
  <si>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</si>
  <si>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</si>
  <si>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</si>
  <si>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</si>
  <si>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</si>
  <si>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</si>
  <si>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</si>
  <si>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</si>
  <si>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</si>
  <si>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</si>
  <si>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</si>
  <si>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</si>
  <si>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</si>
  <si>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</si>
  <si>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</si>
  <si>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</si>
  <si>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</si>
  <si>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</si>
  <si>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</si>
  <si>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</si>
  <si>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</si>
  <si>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</si>
  <si>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</si>
  <si>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</si>
  <si>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</si>
  <si>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</si>
  <si>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</si>
  <si>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</si>
  <si>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</si>
  <si>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</si>
  <si>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</si>
  <si>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</si>
  <si>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</si>
  <si>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</si>
  <si>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</si>
  <si>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</si>
  <si>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</si>
  <si>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</si>
  <si>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</si>
  <si>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</si>
  <si>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</si>
  <si>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</si>
  <si>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</si>
  <si>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</si>
  <si>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</si>
  <si>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</si>
  <si>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</si>
  <si>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</si>
  <si>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</si>
  <si>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</si>
  <si>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</si>
  <si>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</si>
  <si>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</si>
  <si>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</si>
  <si>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</si>
  <si>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</si>
  <si>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</si>
  <si>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</si>
  <si>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</si>
  <si>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</si>
  <si>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</si>
  <si>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</si>
  <si>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</si>
  <si>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</si>
  <si>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</si>
  <si>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</si>
  <si>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</si>
  <si>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</si>
  <si>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</si>
  <si>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</si>
  <si>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</si>
  <si>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</si>
  <si>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</si>
  <si>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</si>
  <si>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</si>
  <si>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</si>
  <si>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</si>
  <si>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</si>
  <si>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</si>
  <si>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</si>
  <si>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</si>
  <si>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</si>
  <si>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</si>
  <si>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</si>
  <si>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</si>
  <si>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</si>
  <si>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</si>
  <si>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</si>
  <si>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</si>
  <si>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</si>
  <si>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</si>
  <si>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</si>
  <si>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</si>
  <si>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</si>
  <si>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</si>
  <si>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</si>
  <si>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</si>
  <si>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</si>
  <si>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</si>
  <si>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</si>
  <si>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</si>
  <si>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</si>
  <si>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</si>
  <si>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</si>
  <si>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</si>
  <si>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</si>
  <si>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</si>
  <si>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</si>
  <si>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</si>
  <si>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</si>
  <si>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</si>
  <si>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</si>
  <si>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</si>
  <si>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</si>
  <si>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</si>
  <si>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</si>
  <si>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</si>
  <si>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</si>
  <si>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</si>
  <si>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</si>
  <si>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</si>
  <si>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</si>
  <si>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</si>
  <si>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</si>
  <si>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</si>
  <si>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</si>
  <si>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</si>
  <si>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</si>
  <si>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</si>
  <si>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</si>
  <si>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</si>
  <si>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</si>
  <si>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</si>
  <si>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</si>
  <si>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</si>
  <si>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</si>
  <si>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</si>
  <si>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</si>
  <si>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</si>
  <si>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</si>
  <si>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</si>
  <si>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</si>
  <si>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</si>
  <si>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</si>
  <si>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</si>
  <si>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</si>
  <si>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</si>
  <si>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</si>
  <si>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</si>
  <si>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</si>
  <si>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</si>
  <si>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</si>
  <si>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</si>
  <si>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</si>
  <si>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</si>
  <si>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</si>
  <si>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</si>
  <si>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</si>
  <si>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</si>
  <si>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</si>
  <si>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</si>
  <si>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</si>
  <si>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</si>
  <si>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</si>
  <si>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</si>
  <si>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</si>
  <si>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</si>
  <si>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</si>
  <si>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</si>
  <si>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</si>
  <si>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</si>
  <si>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</si>
  <si>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</si>
  <si>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</si>
  <si>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</si>
  <si>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</si>
  <si>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</si>
  <si>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</si>
  <si>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</si>
  <si>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</si>
  <si>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</si>
  <si>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</si>
  <si>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</si>
  <si>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</si>
  <si>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</si>
  <si>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</si>
  <si>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</si>
  <si>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</si>
  <si>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</si>
  <si>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</si>
  <si>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</si>
  <si>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</si>
  <si>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</si>
  <si>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</si>
  <si>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</si>
  <si>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</si>
  <si>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</si>
  <si>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</si>
  <si>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</si>
  <si>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</si>
  <si>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</si>
  <si>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</si>
  <si>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</si>
  <si>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</si>
  <si>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</si>
  <si>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</si>
  <si>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</si>
  <si>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</si>
  <si>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</si>
  <si>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</si>
  <si>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</si>
  <si>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</si>
  <si>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</si>
  <si>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</si>
  <si>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</si>
  <si>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</si>
  <si>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</si>
  <si>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</si>
  <si>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</si>
  <si>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</si>
  <si>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</si>
  <si>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</si>
  <si>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</si>
  <si>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</si>
  <si>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</si>
  <si>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</si>
  <si>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</si>
  <si>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</si>
  <si>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</si>
  <si>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</si>
  <si>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</si>
  <si>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</si>
  <si>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</si>
  <si>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</si>
  <si>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</si>
  <si>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</si>
  <si>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</si>
  <si>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</si>
  <si>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</si>
  <si>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</si>
  <si>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</si>
  <si>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</si>
  <si>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</si>
  <si>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</si>
  <si>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</si>
  <si>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</si>
  <si>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</si>
  <si>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</si>
  <si>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</si>
  <si>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</si>
  <si>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</si>
  <si>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</si>
  <si>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</si>
  <si>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</si>
  <si>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</si>
  <si>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</si>
  <si>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</si>
  <si>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</si>
  <si>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</si>
  <si>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</si>
  <si>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</si>
  <si>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</si>
  <si>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</si>
  <si>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</si>
  <si>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</si>
  <si>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</si>
  <si>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</si>
  <si>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</si>
  <si>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</si>
  <si>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</si>
  <si>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</si>
  <si>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</si>
  <si>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</si>
  <si>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</si>
  <si>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</si>
  <si>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</si>
  <si>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</si>
  <si>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</si>
  <si>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</si>
  <si>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</si>
  <si>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</si>
  <si>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</si>
  <si>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</si>
  <si>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</si>
  <si>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</si>
  <si>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</si>
  <si>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</si>
  <si>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</si>
  <si>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</si>
  <si>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</si>
  <si>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</si>
  <si>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</si>
  <si>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</si>
  <si>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</si>
  <si>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</si>
  <si>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</si>
  <si>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</si>
  <si>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</si>
  <si>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</si>
  <si>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</si>
  <si>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</si>
  <si>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</si>
  <si>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</si>
  <si>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</si>
  <si>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</si>
  <si>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</si>
  <si>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</si>
  <si>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</si>
  <si>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</si>
  <si>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</si>
  <si>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</si>
  <si>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</si>
  <si>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</si>
  <si>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</si>
  <si>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</si>
  <si>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</si>
  <si>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</si>
  <si>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</si>
  <si>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</si>
  <si>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</si>
  <si>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</si>
  <si>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</si>
  <si>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</si>
  <si>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</si>
  <si>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</si>
  <si>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</si>
  <si>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</si>
  <si>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</si>
  <si>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</si>
  <si>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</si>
  <si>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</si>
  <si>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</si>
  <si>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</si>
  <si>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</si>
  <si>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</si>
  <si>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</si>
  <si>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</si>
  <si>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</si>
  <si>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</si>
  <si>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</si>
  <si>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</si>
  <si>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</si>
  <si>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</si>
  <si>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</si>
  <si>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</si>
  <si>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</si>
  <si>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</si>
  <si>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</si>
  <si>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</si>
  <si>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</si>
  <si>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</si>
  <si>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</si>
  <si>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</si>
  <si>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</si>
  <si>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</si>
  <si>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</si>
  <si>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</si>
  <si>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</si>
  <si>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</si>
  <si>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</si>
  <si>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</si>
  <si>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</si>
  <si>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</si>
  <si>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</si>
  <si>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</si>
  <si>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</si>
  <si>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</si>
  <si>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</si>
  <si>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</si>
  <si>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</si>
  <si>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</si>
  <si>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</si>
  <si>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</si>
  <si>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</si>
  <si>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</si>
  <si>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</si>
  <si>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</si>
  <si>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</si>
  <si>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</si>
  <si>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</si>
  <si>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</si>
  <si>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</si>
  <si>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</si>
  <si>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</si>
  <si>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</si>
  <si>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</si>
  <si>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</si>
  <si>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</si>
  <si>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</si>
  <si>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</si>
  <si>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</si>
  <si>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</si>
  <si>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</si>
  <si>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</si>
  <si>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</si>
  <si>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</si>
  <si>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</si>
  <si>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</si>
  <si>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</si>
  <si>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</si>
  <si>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</si>
  <si>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</si>
  <si>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</si>
  <si>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</si>
  <si>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</si>
  <si>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</si>
  <si>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</si>
  <si>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</si>
  <si>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</si>
  <si>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</si>
  <si>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</si>
  <si>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</si>
  <si>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</si>
  <si>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</si>
  <si>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</si>
  <si>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</si>
  <si>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</si>
  <si>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</si>
  <si>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</si>
  <si>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</si>
  <si>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</si>
  <si>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</si>
  <si>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</si>
  <si>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</si>
  <si>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</si>
  <si>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</si>
  <si>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</si>
  <si>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</si>
  <si>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</si>
  <si>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</si>
  <si>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</si>
  <si>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</si>
  <si>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</si>
  <si>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</si>
  <si>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</si>
  <si>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</si>
  <si>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</si>
  <si>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</si>
  <si>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</si>
  <si>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</si>
  <si>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</si>
  <si>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</si>
  <si>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</si>
  <si>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</si>
  <si>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</si>
  <si>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</si>
  <si>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</si>
  <si>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</si>
  <si>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</si>
  <si>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</si>
  <si>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</si>
  <si>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</si>
  <si>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</si>
  <si>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</si>
  <si>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</si>
  <si>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</si>
  <si>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</si>
  <si>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</si>
  <si>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</si>
  <si>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</si>
  <si>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</si>
  <si>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</si>
  <si>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</si>
  <si>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</si>
  <si>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</si>
  <si>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</si>
  <si>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</si>
  <si>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</si>
  <si>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</si>
  <si>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</si>
  <si>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</si>
  <si>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</si>
  <si>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</si>
  <si>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</si>
  <si>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</si>
  <si>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</si>
  <si>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</si>
  <si>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</si>
  <si>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</si>
  <si>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</si>
  <si>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</si>
  <si>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</si>
  <si>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</si>
  <si>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</si>
  <si>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</si>
  <si>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</si>
  <si>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</si>
  <si>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</si>
  <si>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</si>
  <si>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</si>
  <si>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</si>
  <si>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</si>
  <si>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</si>
  <si>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</si>
  <si>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</si>
  <si>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</si>
  <si>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</si>
  <si>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</si>
  <si>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</si>
  <si>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</si>
  <si>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</si>
  <si>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</si>
  <si>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</si>
  <si>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</si>
  <si>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</si>
  <si>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</si>
  <si>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</si>
  <si>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</si>
  <si>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wilfrid.degroot@delijn.be</t>
  </si>
  <si>
    <t>Bron: VMM 2022, COPERT 5.5</t>
  </si>
  <si>
    <t>NO</t>
  </si>
  <si>
    <t>VMM 2022, COPERT 5.5</t>
  </si>
  <si>
    <t>Data VMM 2022</t>
  </si>
  <si>
    <t>Data VMM 2021</t>
  </si>
  <si>
    <t>voorjaar 2022</t>
  </si>
  <si>
    <t>"fuel sold" - gerapporteerde brandstofverkopen voor wegtransport voor 2020</t>
  </si>
  <si>
    <t>COPERT 5.5 doorrekening voor wegtransport voor 2011-2020</t>
  </si>
  <si>
    <t>niet WKK</t>
  </si>
  <si>
    <t>voor ingave in SECAP (WKK)</t>
  </si>
  <si>
    <t>2020_02</t>
  </si>
  <si>
    <t>split brandstoffen niet-WKK verwijderd uit rekenblad lokale energieproductie (geen niet-WKK installaties die warmte produceren)</t>
  </si>
  <si>
    <t>versie: 2020_02</t>
  </si>
  <si>
    <t>23094</t>
  </si>
  <si>
    <t>ZAVENTEM</t>
  </si>
  <si>
    <t>waterkracht</t>
  </si>
  <si>
    <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</si>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</sst>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8">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
      <patternFill patternType="solid">
        <fgColor indexed="41"/>
      </patternFill>
    </fill>
  </fills>
  <borders count="21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style="thin">
        <color indexed="48"/>
      </left>
      <right style="thin">
        <color indexed="48"/>
      </right>
      <top style="thin">
        <color indexed="48"/>
      </top>
      <bottom style="thin">
        <color indexed="48"/>
      </bottom>
      <diagonal/>
    </border>
    <border>
      <left/>
      <right/>
      <top/>
      <bottom style="thin">
        <color rgb="FF3FC6CD"/>
      </bottom>
      <diagonal/>
    </border>
  </borders>
  <cellStyleXfs count="20733">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4" fontId="10" fillId="0" borderId="0" applyFont="0" applyFill="0" applyBorder="0" applyAlignment="0" applyProtection="0"/>
    <xf numFmtId="165"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4" fontId="33" fillId="0" borderId="0" applyFont="0" applyFill="0" applyBorder="0" applyAlignment="0" applyProtection="0"/>
    <xf numFmtId="165" fontId="33" fillId="0" borderId="0" applyFont="0" applyFill="0" applyBorder="0" applyAlignment="0" applyProtection="0"/>
    <xf numFmtId="166" fontId="33" fillId="0" borderId="0" applyFont="0" applyFill="0" applyBorder="0" applyAlignment="0" applyProtection="0"/>
    <xf numFmtId="167"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6"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5"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5"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5"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5"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5"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5"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5"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5"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5"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5"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5"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5"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5"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16" fillId="67" borderId="214" applyNumberFormat="0" applyProtection="0">
      <alignment horizontal="right" vertical="center"/>
    </xf>
    <xf numFmtId="172" fontId="4" fillId="0" borderId="2" applyNumberFormat="0" applyFill="0" applyAlignment="0" applyProtection="0"/>
  </cellStyleXfs>
  <cellXfs count="1292">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65" fontId="24" fillId="3" borderId="0" xfId="173"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181" fontId="0" fillId="0" borderId="0" xfId="0" applyNumberFormat="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45" fillId="12" borderId="181" xfId="0" applyNumberFormat="1" applyFont="1" applyFill="1" applyBorder="1" applyAlignment="1">
      <alignment horizontal="center"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2"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182" fontId="0" fillId="0" borderId="0" xfId="173" applyNumberFormat="1" applyFont="1" applyAlignment="1">
      <alignment horizontal="right"/>
    </xf>
    <xf numFmtId="0" fontId="24" fillId="0" borderId="215" xfId="239" applyFont="1" applyBorder="1"/>
    <xf numFmtId="182" fontId="0" fillId="0" borderId="215"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5" xfId="0" applyNumberFormat="1" applyBorder="1"/>
  </cellXfs>
  <cellStyles count="20733">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2" xr:uid="{04942C06-764D-4C7F-9F38-06A69D5DA9C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APBEXstdData 2" xfId="20731" xr:uid="{1B01D5DF-9F49-4130-A6E1-05FBA3F4355B}"/>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253802.57749898834</c:v>
                </c:pt>
                <c:pt idx="1">
                  <c:v>292533.43533435196</c:v>
                </c:pt>
                <c:pt idx="2">
                  <c:v>2228.9780000000001</c:v>
                </c:pt>
                <c:pt idx="3">
                  <c:v>2053.0694982708756</c:v>
                </c:pt>
                <c:pt idx="4">
                  <c:v>65951.867320688747</c:v>
                </c:pt>
                <c:pt idx="5">
                  <c:v>560546.49637545052</c:v>
                </c:pt>
                <c:pt idx="6">
                  <c:v>8632.3603255066737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253802.57749898834</c:v>
                </c:pt>
                <c:pt idx="1">
                  <c:v>292533.43533435196</c:v>
                </c:pt>
                <c:pt idx="2">
                  <c:v>2228.9780000000001</c:v>
                </c:pt>
                <c:pt idx="3">
                  <c:v>2053.0694982708756</c:v>
                </c:pt>
                <c:pt idx="4">
                  <c:v>65951.867320688747</c:v>
                </c:pt>
                <c:pt idx="5">
                  <c:v>560546.49637545052</c:v>
                </c:pt>
                <c:pt idx="6">
                  <c:v>8632.3603255066737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51122.951929750765</c:v>
                </c:pt>
                <c:pt idx="1">
                  <c:v>61634.909431271473</c:v>
                </c:pt>
                <c:pt idx="2">
                  <c:v>471.3837397987632</c:v>
                </c:pt>
                <c:pt idx="3">
                  <c:v>518.88568233575654</c:v>
                </c:pt>
                <c:pt idx="4">
                  <c:v>14094.65842822708</c:v>
                </c:pt>
                <c:pt idx="5">
                  <c:v>132891.83705191032</c:v>
                </c:pt>
                <c:pt idx="6">
                  <c:v>2067.5135547752925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51122.951929750765</c:v>
                </c:pt>
                <c:pt idx="1">
                  <c:v>61634.909431271473</c:v>
                </c:pt>
                <c:pt idx="2">
                  <c:v>471.3837397987632</c:v>
                </c:pt>
                <c:pt idx="3">
                  <c:v>518.88568233575654</c:v>
                </c:pt>
                <c:pt idx="4">
                  <c:v>14094.65842822708</c:v>
                </c:pt>
                <c:pt idx="5">
                  <c:v>132891.83705191032</c:v>
                </c:pt>
                <c:pt idx="6">
                  <c:v>2067.5135547752925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tableColumn id="3" xr3:uid="{00000000-0010-0000-0100-000003000000}" name="DIESEL" dataDxfId="9"/>
    <tableColumn id="4" xr3:uid="{00000000-0010-0000-0100-000004000000}" name="DIESEL HYBRID CS" dataDxfId="8"/>
    <tableColumn id="5" xr3:uid="{00000000-0010-0000-0100-000005000000}" name="DIESEL HYBRID PHEV" dataDxfId="7"/>
    <tableColumn id="6" xr3:uid="{00000000-0010-0000-0100-000006000000}" name="E85" dataDxfId="6"/>
    <tableColumn id="7" xr3:uid="{00000000-0010-0000-0100-000007000000}" name="ELECTRIC" dataDxfId="5"/>
    <tableColumn id="8" xr3:uid="{00000000-0010-0000-0100-000008000000}" name="FUEL CELL H2" dataDxfId="4"/>
    <tableColumn id="9" xr3:uid="{00000000-0010-0000-0100-000009000000}" name="LPG" dataDxfId="3"/>
    <tableColumn id="10" xr3:uid="{00000000-0010-0000-0100-00000A000000}" name="PETROL" dataDxfId="2"/>
    <tableColumn id="11" xr3:uid="{00000000-0010-0000-0100-00000B000000}" name="PETROL HYBRID CS" dataDxfId="1"/>
    <tableColumn id="12" xr3:uid="{00000000-0010-0000-0100-00000C000000}" name="PETROL HYBRID PHEV"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3" sqref="B23"/>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827</v>
      </c>
      <c r="B4" s="106"/>
      <c r="C4" s="107"/>
    </row>
    <row r="5" spans="1:7" s="378" customFormat="1" ht="15.75" customHeight="1">
      <c r="A5" s="375" t="s">
        <v>0</v>
      </c>
      <c r="B5" s="376"/>
      <c r="C5" s="377"/>
    </row>
    <row r="6" spans="1:7" s="378" customFormat="1" ht="15" customHeight="1">
      <c r="A6" s="379" t="str">
        <f>txtNIS</f>
        <v>23094</v>
      </c>
      <c r="B6" s="380"/>
      <c r="C6" s="381"/>
    </row>
    <row r="7" spans="1:7" s="378" customFormat="1" ht="15.75" customHeight="1">
      <c r="A7" s="382" t="str">
        <f>txtMunicipality</f>
        <v>ZAVENTEM</v>
      </c>
      <c r="B7" s="380"/>
      <c r="C7" s="381"/>
    </row>
    <row r="8" spans="1:7" ht="15.75" thickBot="1">
      <c r="A8" s="45"/>
      <c r="B8" s="108"/>
      <c r="C8" s="109"/>
    </row>
    <row r="9" spans="1:7" s="371" customFormat="1" ht="15.75" thickBot="1">
      <c r="A9" s="395" t="s">
        <v>342</v>
      </c>
      <c r="B9" s="398"/>
      <c r="C9" s="399"/>
    </row>
    <row r="10" spans="1:7" s="15" customFormat="1" ht="57.75" customHeight="1" thickBot="1">
      <c r="A10" s="1034" t="s">
        <v>741</v>
      </c>
      <c r="B10" s="1035"/>
      <c r="C10" s="1036"/>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7" t="s">
        <v>483</v>
      </c>
      <c r="C16" s="1038"/>
    </row>
    <row r="17" spans="1:3" s="15" customFormat="1" ht="15.75">
      <c r="A17" s="98"/>
      <c r="B17" s="70"/>
      <c r="C17" s="99"/>
    </row>
    <row r="18" spans="1:3">
      <c r="A18" s="95" t="s">
        <v>348</v>
      </c>
      <c r="B18" s="69" t="s">
        <v>360</v>
      </c>
      <c r="C18" s="100" t="s">
        <v>359</v>
      </c>
    </row>
    <row r="19" spans="1:3" s="329" customFormat="1">
      <c r="A19" s="362" t="s">
        <v>346</v>
      </c>
      <c r="B19" s="363" t="s">
        <v>742</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28" t="s">
        <v>367</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7"/>
      <c r="P13" s="1157"/>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0.21147976328109258</v>
      </c>
      <c r="C17" s="492">
        <f ca="1">'EF ele_warmte'!B22</f>
        <v>0.24795596681557122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28" t="s">
        <v>314</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0.21147976328109258</v>
      </c>
      <c r="C29" s="493">
        <f ca="1">'EF ele_warmte'!B22</f>
        <v>0.24795596681557122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topLeftCell="A37" workbookViewId="0">
      <selection activeCell="A25" sqref="A25"/>
    </sheetView>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58"/>
      <c r="K10" s="58"/>
    </row>
    <row r="11" spans="1:11" s="43" customFormat="1">
      <c r="A11" s="44" t="s">
        <v>524</v>
      </c>
      <c r="B11" s="48"/>
      <c r="D11" s="141" t="s">
        <v>373</v>
      </c>
      <c r="I11" s="1158"/>
      <c r="K11" s="58"/>
    </row>
    <row r="12" spans="1:11" s="43" customFormat="1">
      <c r="A12" s="44" t="s">
        <v>525</v>
      </c>
      <c r="B12" s="48"/>
      <c r="D12" s="141" t="s">
        <v>373</v>
      </c>
      <c r="I12" s="1158"/>
      <c r="K12" s="58"/>
    </row>
    <row r="13" spans="1:11" s="43" customFormat="1">
      <c r="A13" s="44"/>
      <c r="B13" s="48"/>
      <c r="D13" s="96"/>
      <c r="I13" s="1158"/>
    </row>
    <row r="14" spans="1:11" s="43" customFormat="1">
      <c r="A14" s="295" t="s">
        <v>522</v>
      </c>
      <c r="B14" s="1019"/>
      <c r="C14" s="140" t="s">
        <v>175</v>
      </c>
      <c r="D14" s="143" t="s">
        <v>372</v>
      </c>
      <c r="I14" s="1158"/>
    </row>
    <row r="15" spans="1:11" s="43" customFormat="1">
      <c r="A15" s="44" t="s">
        <v>70</v>
      </c>
      <c r="B15" s="48"/>
      <c r="D15" s="141" t="s">
        <v>373</v>
      </c>
      <c r="I15" s="1158"/>
      <c r="J15" s="1158"/>
    </row>
    <row r="16" spans="1:11" s="43" customFormat="1">
      <c r="A16" s="44" t="s">
        <v>488</v>
      </c>
      <c r="B16" s="48"/>
      <c r="D16" s="141" t="s">
        <v>373</v>
      </c>
      <c r="I16" s="1158"/>
      <c r="J16" s="1158"/>
    </row>
    <row r="17" spans="1:11" s="43" customFormat="1">
      <c r="A17" s="44" t="s">
        <v>77</v>
      </c>
      <c r="B17" s="48"/>
      <c r="D17" s="141" t="s">
        <v>373</v>
      </c>
      <c r="I17" s="1158"/>
      <c r="J17" s="1158"/>
    </row>
    <row r="18" spans="1:11" s="43" customFormat="1">
      <c r="A18" s="44" t="s">
        <v>489</v>
      </c>
      <c r="B18" s="48"/>
      <c r="D18" s="141" t="s">
        <v>373</v>
      </c>
      <c r="I18" s="1158"/>
      <c r="J18" s="1158"/>
      <c r="K18" s="58"/>
    </row>
    <row r="19" spans="1:11" s="43" customFormat="1">
      <c r="A19" s="44" t="s">
        <v>76</v>
      </c>
      <c r="B19" s="48"/>
      <c r="D19" s="141" t="s">
        <v>373</v>
      </c>
      <c r="I19" s="1158"/>
      <c r="J19" s="1159"/>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28" t="s">
        <v>808</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19"/>
      <c r="C34" s="140" t="s">
        <v>175</v>
      </c>
      <c r="D34" s="143" t="s">
        <v>372</v>
      </c>
      <c r="I34"/>
    </row>
    <row r="35" spans="1:11" s="43" customFormat="1">
      <c r="A35" s="431" t="s">
        <v>70</v>
      </c>
      <c r="B35" s="48"/>
      <c r="D35" s="141" t="s">
        <v>373</v>
      </c>
      <c r="I35" s="1158"/>
      <c r="J35" s="1158"/>
    </row>
    <row r="36" spans="1:11" s="43" customFormat="1">
      <c r="A36" s="431" t="s">
        <v>488</v>
      </c>
      <c r="B36" s="48"/>
      <c r="D36" s="141" t="s">
        <v>373</v>
      </c>
      <c r="I36" s="1158"/>
      <c r="J36" s="1158"/>
    </row>
    <row r="37" spans="1:11" s="43" customFormat="1">
      <c r="A37" s="431" t="s">
        <v>77</v>
      </c>
      <c r="B37" s="48"/>
      <c r="D37" s="141" t="s">
        <v>373</v>
      </c>
      <c r="I37" s="1158"/>
      <c r="J37" s="1158"/>
    </row>
    <row r="38" spans="1:11" s="43" customFormat="1">
      <c r="A38" s="431" t="s">
        <v>489</v>
      </c>
      <c r="B38" s="48"/>
      <c r="D38" s="141" t="s">
        <v>373</v>
      </c>
      <c r="I38" s="1158"/>
      <c r="J38" s="1158"/>
      <c r="K38" s="58"/>
    </row>
    <row r="39" spans="1:11" s="43" customFormat="1">
      <c r="A39" s="431" t="s">
        <v>76</v>
      </c>
      <c r="B39" s="48"/>
      <c r="D39" s="141" t="s">
        <v>373</v>
      </c>
      <c r="I39" s="1158"/>
      <c r="J39" s="1159"/>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809</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774</v>
      </c>
      <c r="B64" s="183"/>
      <c r="C64" s="183"/>
      <c r="D64" s="184"/>
    </row>
    <row r="65" spans="2:2" s="43" customFormat="1">
      <c r="B65" s="443"/>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743</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G134"/>
  <sheetViews>
    <sheetView zoomScaleNormal="100" workbookViewId="0">
      <selection activeCell="H153" sqref="H153"/>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7" ht="62.45" customHeight="1" thickTop="1" thickBot="1">
      <c r="A1" s="135" t="s">
        <v>828</v>
      </c>
      <c r="B1" s="1251">
        <v>2020</v>
      </c>
      <c r="C1" s="1252"/>
      <c r="D1" s="1252"/>
      <c r="E1" s="1252"/>
      <c r="F1" s="1253"/>
      <c r="G1" s="323"/>
    </row>
    <row r="2" spans="1:7">
      <c r="A2" s="323"/>
      <c r="B2" s="323"/>
      <c r="C2" s="323"/>
      <c r="D2" s="323"/>
      <c r="E2" s="323"/>
      <c r="F2" s="323"/>
      <c r="G2" s="323"/>
    </row>
    <row r="3" spans="1:7" ht="19.5">
      <c r="A3" s="1254" t="s">
        <v>0</v>
      </c>
      <c r="B3" s="323"/>
      <c r="C3" s="323"/>
      <c r="D3" s="323"/>
      <c r="E3" s="323"/>
      <c r="F3" s="323"/>
      <c r="G3" s="323"/>
    </row>
    <row r="4" spans="1:7" ht="22.5">
      <c r="A4" s="1255" t="s">
        <v>828</v>
      </c>
      <c r="B4" s="323"/>
      <c r="C4" s="323"/>
      <c r="D4" s="323"/>
      <c r="E4" s="323"/>
      <c r="F4" s="323"/>
      <c r="G4" s="323"/>
    </row>
    <row r="5" spans="1:7" ht="22.5">
      <c r="A5" s="1255" t="s">
        <v>829</v>
      </c>
      <c r="B5" s="323"/>
      <c r="C5" s="323"/>
      <c r="D5" s="323"/>
      <c r="E5" s="323"/>
      <c r="F5" s="323"/>
      <c r="G5" s="323"/>
    </row>
    <row r="6" spans="1:7" ht="15.75" thickBot="1">
      <c r="A6" s="323"/>
      <c r="B6" s="323"/>
      <c r="C6" s="323"/>
      <c r="D6" s="323"/>
      <c r="E6" s="323"/>
      <c r="F6" s="323"/>
      <c r="G6" s="323"/>
    </row>
    <row r="7" spans="1:7" ht="20.25" thickBot="1">
      <c r="A7" s="1256" t="s">
        <v>1</v>
      </c>
      <c r="B7" s="324"/>
      <c r="C7" s="324"/>
      <c r="D7" s="324"/>
      <c r="E7" s="324"/>
      <c r="F7" s="325"/>
      <c r="G7" s="323"/>
    </row>
    <row r="8" spans="1:7" ht="16.5" thickTop="1" thickBot="1">
      <c r="A8" s="1257" t="s">
        <v>4</v>
      </c>
      <c r="B8" s="1258"/>
      <c r="C8" s="1258"/>
      <c r="D8" s="1252"/>
      <c r="E8" s="1252"/>
      <c r="F8" s="1253"/>
      <c r="G8" s="323"/>
    </row>
    <row r="9" spans="1:7">
      <c r="A9" s="1259" t="s">
        <v>2</v>
      </c>
      <c r="B9" s="1260">
        <v>13988</v>
      </c>
      <c r="C9" s="326"/>
      <c r="D9" s="326"/>
      <c r="E9" s="326"/>
      <c r="F9" s="326"/>
      <c r="G9" s="323"/>
    </row>
    <row r="10" spans="1:7">
      <c r="A10" s="327"/>
      <c r="B10" s="323"/>
      <c r="C10" s="323"/>
      <c r="D10" s="323"/>
      <c r="E10" s="323"/>
      <c r="F10" s="323"/>
      <c r="G10" s="323"/>
    </row>
    <row r="11" spans="1:7" ht="15.75" thickBot="1">
      <c r="A11" s="327"/>
      <c r="B11" s="323"/>
      <c r="C11" s="323"/>
      <c r="D11" s="323"/>
      <c r="E11" s="323"/>
      <c r="F11" s="323"/>
      <c r="G11" s="323"/>
    </row>
    <row r="12" spans="1:7" ht="20.25" thickBot="1">
      <c r="A12" s="1256" t="s">
        <v>3</v>
      </c>
      <c r="B12" s="324"/>
      <c r="C12" s="324"/>
      <c r="D12" s="324"/>
      <c r="E12" s="324"/>
      <c r="F12" s="328"/>
      <c r="G12" s="323"/>
    </row>
    <row r="13" spans="1:7" ht="16.5" thickTop="1" thickBot="1">
      <c r="A13" s="1261" t="s">
        <v>4</v>
      </c>
      <c r="B13" s="1262" t="s">
        <v>5</v>
      </c>
      <c r="C13" s="1262"/>
      <c r="D13" s="1262"/>
      <c r="E13" s="1262"/>
      <c r="F13" s="1263"/>
      <c r="G13" s="323"/>
    </row>
    <row r="14" spans="1:7">
      <c r="A14" s="1264" t="s">
        <v>606</v>
      </c>
      <c r="B14" s="1265">
        <v>712.87</v>
      </c>
      <c r="C14" s="323"/>
      <c r="D14" s="323"/>
      <c r="E14" s="323"/>
      <c r="F14" s="323"/>
      <c r="G14" s="323"/>
    </row>
    <row r="15" spans="1:7">
      <c r="A15" s="1264" t="s">
        <v>177</v>
      </c>
      <c r="B15" s="1265">
        <v>0</v>
      </c>
      <c r="C15" s="323"/>
      <c r="D15" s="323"/>
      <c r="E15" s="323"/>
      <c r="F15" s="323"/>
      <c r="G15" s="323"/>
    </row>
    <row r="16" spans="1:7">
      <c r="A16" s="1264" t="s">
        <v>6</v>
      </c>
      <c r="B16" s="1265">
        <v>0</v>
      </c>
      <c r="C16" s="323"/>
      <c r="D16" s="323"/>
      <c r="E16" s="323"/>
      <c r="F16" s="323"/>
      <c r="G16" s="323"/>
    </row>
    <row r="17" spans="1:7">
      <c r="A17" s="1264" t="s">
        <v>7</v>
      </c>
      <c r="B17" s="1265">
        <v>4</v>
      </c>
      <c r="C17" s="323"/>
      <c r="D17" s="323"/>
      <c r="E17" s="323"/>
      <c r="F17" s="323"/>
      <c r="G17" s="323"/>
    </row>
    <row r="18" spans="1:7">
      <c r="A18" s="1264" t="s">
        <v>8</v>
      </c>
      <c r="B18" s="1265">
        <v>6</v>
      </c>
      <c r="C18" s="323"/>
      <c r="D18" s="323"/>
      <c r="E18" s="323"/>
      <c r="F18" s="323"/>
      <c r="G18" s="323"/>
    </row>
    <row r="19" spans="1:7">
      <c r="A19" s="1264" t="s">
        <v>9</v>
      </c>
      <c r="B19" s="1265">
        <v>3</v>
      </c>
      <c r="C19" s="323"/>
      <c r="D19" s="323"/>
      <c r="E19" s="323"/>
      <c r="F19" s="323"/>
      <c r="G19" s="323"/>
    </row>
    <row r="20" spans="1:7">
      <c r="A20" s="1264" t="s">
        <v>10</v>
      </c>
      <c r="B20" s="1265">
        <v>1</v>
      </c>
      <c r="C20" s="323"/>
      <c r="D20" s="323"/>
      <c r="E20" s="323"/>
      <c r="F20" s="323"/>
      <c r="G20" s="323"/>
    </row>
    <row r="21" spans="1:7">
      <c r="A21" s="1264" t="s">
        <v>11</v>
      </c>
      <c r="B21" s="1265">
        <v>0</v>
      </c>
      <c r="C21" s="323"/>
      <c r="D21" s="323"/>
      <c r="E21" s="323"/>
      <c r="F21" s="323"/>
      <c r="G21" s="323"/>
    </row>
    <row r="22" spans="1:7">
      <c r="A22" s="1264" t="s">
        <v>12</v>
      </c>
      <c r="B22" s="1265">
        <v>0</v>
      </c>
      <c r="C22" s="323"/>
      <c r="D22" s="323"/>
      <c r="E22" s="323"/>
      <c r="F22" s="323"/>
      <c r="G22" s="323"/>
    </row>
    <row r="23" spans="1:7">
      <c r="A23" s="1264" t="s">
        <v>13</v>
      </c>
      <c r="B23" s="1265">
        <v>0</v>
      </c>
      <c r="C23" s="323"/>
      <c r="D23" s="323"/>
      <c r="E23" s="323"/>
      <c r="F23" s="323"/>
      <c r="G23" s="323"/>
    </row>
    <row r="24" spans="1:7">
      <c r="A24" s="1264" t="s">
        <v>14</v>
      </c>
      <c r="B24" s="1265">
        <v>0</v>
      </c>
      <c r="C24" s="323"/>
      <c r="D24" s="323"/>
      <c r="E24" s="323"/>
      <c r="F24" s="323"/>
      <c r="G24" s="323"/>
    </row>
    <row r="25" spans="1:7">
      <c r="A25" s="1264" t="s">
        <v>15</v>
      </c>
      <c r="B25" s="1265">
        <v>0</v>
      </c>
      <c r="C25" s="323"/>
      <c r="D25" s="323"/>
      <c r="E25" s="323"/>
      <c r="F25" s="323"/>
      <c r="G25" s="323"/>
    </row>
    <row r="26" spans="1:7">
      <c r="A26" s="1264" t="s">
        <v>16</v>
      </c>
      <c r="B26" s="1265">
        <v>0</v>
      </c>
      <c r="C26" s="323"/>
      <c r="D26" s="323"/>
      <c r="E26" s="323"/>
      <c r="F26" s="323"/>
      <c r="G26" s="323"/>
    </row>
    <row r="27" spans="1:7">
      <c r="A27" s="1264" t="s">
        <v>17</v>
      </c>
      <c r="B27" s="1265">
        <v>0</v>
      </c>
      <c r="C27" s="323"/>
      <c r="D27" s="323"/>
      <c r="E27" s="323"/>
      <c r="F27" s="323"/>
      <c r="G27" s="323"/>
    </row>
    <row r="28" spans="1:7">
      <c r="A28" s="1266" t="s">
        <v>18</v>
      </c>
      <c r="B28" s="1267">
        <v>0</v>
      </c>
      <c r="C28" s="323"/>
      <c r="D28" s="323"/>
      <c r="E28" s="323"/>
      <c r="F28" s="323"/>
      <c r="G28" s="323"/>
    </row>
    <row r="29" spans="1:7">
      <c r="A29" s="1266" t="s">
        <v>628</v>
      </c>
      <c r="B29" s="1267">
        <v>52</v>
      </c>
      <c r="C29" s="323"/>
      <c r="D29" s="323"/>
      <c r="E29" s="323"/>
      <c r="F29" s="323"/>
      <c r="G29" s="323"/>
    </row>
    <row r="30" spans="1:7">
      <c r="A30" s="1259" t="s">
        <v>629</v>
      </c>
      <c r="B30" s="1268">
        <v>13</v>
      </c>
      <c r="C30" s="326"/>
      <c r="D30" s="326"/>
      <c r="E30" s="326"/>
      <c r="F30" s="326"/>
      <c r="G30" s="323"/>
    </row>
    <row r="31" spans="1:7" ht="15.75" thickBot="1">
      <c r="A31" s="327"/>
      <c r="B31" s="323"/>
      <c r="C31" s="323"/>
      <c r="D31" s="323"/>
      <c r="E31" s="323"/>
      <c r="F31" s="323"/>
      <c r="G31" s="323"/>
    </row>
    <row r="32" spans="1:7" ht="20.25" thickBot="1">
      <c r="A32" s="1256" t="s">
        <v>19</v>
      </c>
      <c r="B32" s="324"/>
      <c r="C32" s="324"/>
      <c r="D32" s="324"/>
      <c r="E32" s="324"/>
      <c r="F32" s="328"/>
      <c r="G32" s="323"/>
    </row>
    <row r="33" spans="1:7" ht="16.5" thickTop="1" thickBot="1">
      <c r="A33" s="1269"/>
      <c r="B33" s="1270"/>
      <c r="C33" s="1270"/>
      <c r="D33" s="1270"/>
      <c r="E33" s="1270" t="s">
        <v>20</v>
      </c>
      <c r="F33" s="1271"/>
      <c r="G33" s="323"/>
    </row>
    <row r="34" spans="1:7" ht="16.5" thickTop="1" thickBot="1">
      <c r="A34" s="1272" t="s">
        <v>21</v>
      </c>
      <c r="B34" s="1273" t="s">
        <v>22</v>
      </c>
      <c r="C34" s="1273" t="s">
        <v>5</v>
      </c>
      <c r="D34" s="1273" t="s">
        <v>23</v>
      </c>
      <c r="E34" s="1273" t="s">
        <v>5</v>
      </c>
      <c r="F34" s="1274" t="s">
        <v>23</v>
      </c>
      <c r="G34" s="323"/>
    </row>
    <row r="35" spans="1:7">
      <c r="A35" s="1264" t="s">
        <v>24</v>
      </c>
      <c r="B35" s="1264" t="s">
        <v>25</v>
      </c>
      <c r="C35" s="1265">
        <v>0</v>
      </c>
      <c r="D35" s="1265">
        <v>0</v>
      </c>
      <c r="E35" s="1265">
        <v>0</v>
      </c>
      <c r="F35" s="1265">
        <v>0</v>
      </c>
      <c r="G35" s="323"/>
    </row>
    <row r="36" spans="1:7">
      <c r="A36" s="1264" t="s">
        <v>24</v>
      </c>
      <c r="B36" s="1264" t="s">
        <v>26</v>
      </c>
      <c r="C36" s="1265">
        <v>0</v>
      </c>
      <c r="D36" s="1265">
        <v>0</v>
      </c>
      <c r="E36" s="1265">
        <v>8</v>
      </c>
      <c r="F36" s="1265">
        <v>28149.325483173299</v>
      </c>
      <c r="G36" s="323"/>
    </row>
    <row r="37" spans="1:7">
      <c r="A37" s="1264" t="s">
        <v>24</v>
      </c>
      <c r="B37" s="1264" t="s">
        <v>27</v>
      </c>
      <c r="C37" s="1265">
        <v>0</v>
      </c>
      <c r="D37" s="1265">
        <v>0</v>
      </c>
      <c r="E37" s="1265">
        <v>0</v>
      </c>
      <c r="F37" s="1265">
        <v>0</v>
      </c>
      <c r="G37" s="323"/>
    </row>
    <row r="38" spans="1:7">
      <c r="A38" s="1264" t="s">
        <v>24</v>
      </c>
      <c r="B38" s="1264" t="s">
        <v>28</v>
      </c>
      <c r="C38" s="1265">
        <v>1</v>
      </c>
      <c r="D38" s="1265">
        <v>11433.9406010537</v>
      </c>
      <c r="E38" s="1265">
        <v>1</v>
      </c>
      <c r="F38" s="1265">
        <v>9867.6917723661008</v>
      </c>
      <c r="G38" s="323"/>
    </row>
    <row r="39" spans="1:7">
      <c r="A39" s="1264" t="s">
        <v>29</v>
      </c>
      <c r="B39" s="1264" t="s">
        <v>30</v>
      </c>
      <c r="C39" s="1265">
        <v>11344</v>
      </c>
      <c r="D39" s="1265">
        <v>165409031.55838999</v>
      </c>
      <c r="E39" s="1265">
        <v>14358</v>
      </c>
      <c r="F39" s="1265">
        <v>44202618.974453703</v>
      </c>
      <c r="G39" s="323"/>
    </row>
    <row r="40" spans="1:7">
      <c r="A40" s="1264" t="s">
        <v>29</v>
      </c>
      <c r="B40" s="1264" t="s">
        <v>28</v>
      </c>
      <c r="C40" s="1265">
        <v>0</v>
      </c>
      <c r="D40" s="1265">
        <v>0</v>
      </c>
      <c r="E40" s="1265">
        <v>0</v>
      </c>
      <c r="F40" s="1265">
        <v>0</v>
      </c>
      <c r="G40" s="323"/>
    </row>
    <row r="41" spans="1:7">
      <c r="A41" s="1264" t="s">
        <v>31</v>
      </c>
      <c r="B41" s="1264" t="s">
        <v>32</v>
      </c>
      <c r="C41" s="1265">
        <v>173</v>
      </c>
      <c r="D41" s="1265">
        <v>12312735.1525876</v>
      </c>
      <c r="E41" s="1265">
        <v>286</v>
      </c>
      <c r="F41" s="1265">
        <v>11357326.079523699</v>
      </c>
      <c r="G41" s="323"/>
    </row>
    <row r="42" spans="1:7">
      <c r="A42" s="1264" t="s">
        <v>31</v>
      </c>
      <c r="B42" s="1264" t="s">
        <v>33</v>
      </c>
      <c r="C42" s="1265">
        <v>3</v>
      </c>
      <c r="D42" s="1265">
        <v>818497.94880758005</v>
      </c>
      <c r="E42" s="1265">
        <v>8</v>
      </c>
      <c r="F42" s="1265">
        <v>1033898.50291067</v>
      </c>
      <c r="G42" s="323"/>
    </row>
    <row r="43" spans="1:7">
      <c r="A43" s="1264" t="s">
        <v>31</v>
      </c>
      <c r="B43" s="1264" t="s">
        <v>34</v>
      </c>
      <c r="C43" s="1265">
        <v>0</v>
      </c>
      <c r="D43" s="1265">
        <v>0</v>
      </c>
      <c r="E43" s="1265">
        <v>0</v>
      </c>
      <c r="F43" s="1265">
        <v>0</v>
      </c>
      <c r="G43" s="323"/>
    </row>
    <row r="44" spans="1:7">
      <c r="A44" s="1264" t="s">
        <v>31</v>
      </c>
      <c r="B44" s="1264" t="s">
        <v>35</v>
      </c>
      <c r="C44" s="1265">
        <v>19</v>
      </c>
      <c r="D44" s="1265">
        <v>11912329.4558782</v>
      </c>
      <c r="E44" s="1265">
        <v>32</v>
      </c>
      <c r="F44" s="1265">
        <v>17124637.583898999</v>
      </c>
      <c r="G44" s="323"/>
    </row>
    <row r="45" spans="1:7">
      <c r="A45" s="1264" t="s">
        <v>31</v>
      </c>
      <c r="B45" s="1264" t="s">
        <v>36</v>
      </c>
      <c r="C45" s="1265">
        <v>0</v>
      </c>
      <c r="D45" s="1265">
        <v>0</v>
      </c>
      <c r="E45" s="1265">
        <v>3</v>
      </c>
      <c r="F45" s="1265">
        <v>82028.342700396694</v>
      </c>
      <c r="G45" s="323"/>
    </row>
    <row r="46" spans="1:7">
      <c r="A46" s="1264" t="s">
        <v>31</v>
      </c>
      <c r="B46" s="1264" t="s">
        <v>37</v>
      </c>
      <c r="C46" s="1265">
        <v>0</v>
      </c>
      <c r="D46" s="1265">
        <v>0</v>
      </c>
      <c r="E46" s="1265">
        <v>0</v>
      </c>
      <c r="F46" s="1265">
        <v>0</v>
      </c>
      <c r="G46" s="323"/>
    </row>
    <row r="47" spans="1:7">
      <c r="A47" s="1264" t="s">
        <v>31</v>
      </c>
      <c r="B47" s="1264" t="s">
        <v>38</v>
      </c>
      <c r="C47" s="1265">
        <v>11</v>
      </c>
      <c r="D47" s="1265">
        <v>453625.16814863897</v>
      </c>
      <c r="E47" s="1265">
        <v>16</v>
      </c>
      <c r="F47" s="1265">
        <v>574315.21513497096</v>
      </c>
      <c r="G47" s="323"/>
    </row>
    <row r="48" spans="1:7">
      <c r="A48" s="1264" t="s">
        <v>31</v>
      </c>
      <c r="B48" s="1264" t="s">
        <v>28</v>
      </c>
      <c r="C48" s="1265">
        <v>3</v>
      </c>
      <c r="D48" s="1265">
        <v>136660.35183895938</v>
      </c>
      <c r="E48" s="1265">
        <v>1</v>
      </c>
      <c r="F48" s="1265">
        <v>32006</v>
      </c>
      <c r="G48" s="323"/>
    </row>
    <row r="49" spans="1:7">
      <c r="A49" s="1264" t="s">
        <v>31</v>
      </c>
      <c r="B49" s="1264" t="s">
        <v>39</v>
      </c>
      <c r="C49" s="1265">
        <v>0</v>
      </c>
      <c r="D49" s="1265">
        <v>0</v>
      </c>
      <c r="E49" s="1265">
        <v>0</v>
      </c>
      <c r="F49" s="1265">
        <v>0</v>
      </c>
      <c r="G49" s="323"/>
    </row>
    <row r="50" spans="1:7">
      <c r="A50" s="1264" t="s">
        <v>31</v>
      </c>
      <c r="B50" s="1264" t="s">
        <v>40</v>
      </c>
      <c r="C50" s="1265">
        <v>10</v>
      </c>
      <c r="D50" s="1265">
        <v>998684.04142762895</v>
      </c>
      <c r="E50" s="1265">
        <v>19</v>
      </c>
      <c r="F50" s="1265">
        <v>1200153.81334186</v>
      </c>
      <c r="G50" s="323"/>
    </row>
    <row r="51" spans="1:7">
      <c r="A51" s="1264" t="s">
        <v>41</v>
      </c>
      <c r="B51" s="1264" t="s">
        <v>42</v>
      </c>
      <c r="C51" s="1265">
        <v>18</v>
      </c>
      <c r="D51" s="1265">
        <v>247863.772372615</v>
      </c>
      <c r="E51" s="1265">
        <v>40</v>
      </c>
      <c r="F51" s="1265">
        <v>387925.15600030002</v>
      </c>
      <c r="G51" s="323"/>
    </row>
    <row r="52" spans="1:7">
      <c r="A52" s="1264" t="s">
        <v>41</v>
      </c>
      <c r="B52" s="1264" t="s">
        <v>28</v>
      </c>
      <c r="C52" s="1265">
        <v>0</v>
      </c>
      <c r="D52" s="1265">
        <v>0</v>
      </c>
      <c r="E52" s="1265">
        <v>0</v>
      </c>
      <c r="F52" s="1265">
        <v>0</v>
      </c>
      <c r="G52" s="323"/>
    </row>
    <row r="53" spans="1:7">
      <c r="A53" s="1264" t="s">
        <v>43</v>
      </c>
      <c r="B53" s="1264" t="s">
        <v>44</v>
      </c>
      <c r="C53" s="1265">
        <v>337</v>
      </c>
      <c r="D53" s="1265">
        <v>10737964.551736601</v>
      </c>
      <c r="E53" s="1265">
        <v>686</v>
      </c>
      <c r="F53" s="1265">
        <v>6208222.1188937798</v>
      </c>
      <c r="G53" s="323"/>
    </row>
    <row r="54" spans="1:7">
      <c r="A54" s="1264" t="s">
        <v>45</v>
      </c>
      <c r="B54" s="1264" t="s">
        <v>46</v>
      </c>
      <c r="C54" s="1265">
        <v>0</v>
      </c>
      <c r="D54" s="1265">
        <v>0</v>
      </c>
      <c r="E54" s="1265">
        <v>1</v>
      </c>
      <c r="F54" s="1265">
        <v>2228978</v>
      </c>
      <c r="G54" s="323"/>
    </row>
    <row r="55" spans="1:7">
      <c r="A55" s="1264" t="s">
        <v>45</v>
      </c>
      <c r="B55" s="1264" t="s">
        <v>28</v>
      </c>
      <c r="C55" s="1265">
        <v>0</v>
      </c>
      <c r="D55" s="1265">
        <v>0</v>
      </c>
      <c r="E55" s="1265">
        <v>0</v>
      </c>
      <c r="F55" s="1265">
        <v>0</v>
      </c>
      <c r="G55" s="323"/>
    </row>
    <row r="56" spans="1:7">
      <c r="A56" s="1264" t="s">
        <v>47</v>
      </c>
      <c r="B56" s="1264" t="s">
        <v>28</v>
      </c>
      <c r="C56" s="1265">
        <v>0</v>
      </c>
      <c r="D56" s="1265">
        <v>0</v>
      </c>
      <c r="E56" s="1265">
        <v>0</v>
      </c>
      <c r="F56" s="1265">
        <v>0</v>
      </c>
      <c r="G56" s="323"/>
    </row>
    <row r="57" spans="1:7">
      <c r="A57" s="1264" t="s">
        <v>48</v>
      </c>
      <c r="B57" s="1264" t="s">
        <v>49</v>
      </c>
      <c r="C57" s="1265">
        <v>82</v>
      </c>
      <c r="D57" s="1265">
        <v>2504158.9586709002</v>
      </c>
      <c r="E57" s="1265">
        <v>148</v>
      </c>
      <c r="F57" s="1265">
        <v>2592221.2511626398</v>
      </c>
      <c r="G57" s="323"/>
    </row>
    <row r="58" spans="1:7">
      <c r="A58" s="1264" t="s">
        <v>48</v>
      </c>
      <c r="B58" s="1264" t="s">
        <v>50</v>
      </c>
      <c r="C58" s="1265">
        <v>52</v>
      </c>
      <c r="D58" s="1265">
        <v>3894183.41664006</v>
      </c>
      <c r="E58" s="1265">
        <v>71</v>
      </c>
      <c r="F58" s="1265">
        <v>3285438.38996534</v>
      </c>
      <c r="G58" s="323"/>
    </row>
    <row r="59" spans="1:7">
      <c r="A59" s="1264" t="s">
        <v>48</v>
      </c>
      <c r="B59" s="1264" t="s">
        <v>51</v>
      </c>
      <c r="C59" s="1265">
        <v>317</v>
      </c>
      <c r="D59" s="1265">
        <v>24198261.9449648</v>
      </c>
      <c r="E59" s="1265">
        <v>526</v>
      </c>
      <c r="F59" s="1265">
        <v>27457104.929920699</v>
      </c>
      <c r="G59" s="323"/>
    </row>
    <row r="60" spans="1:7">
      <c r="A60" s="1264" t="s">
        <v>48</v>
      </c>
      <c r="B60" s="1264" t="s">
        <v>52</v>
      </c>
      <c r="C60" s="1265">
        <v>190</v>
      </c>
      <c r="D60" s="1265">
        <v>12978383.5361738</v>
      </c>
      <c r="E60" s="1265">
        <v>228</v>
      </c>
      <c r="F60" s="1265">
        <v>6626081.6175155099</v>
      </c>
      <c r="G60" s="323"/>
    </row>
    <row r="61" spans="1:7">
      <c r="A61" s="1264" t="s">
        <v>48</v>
      </c>
      <c r="B61" s="1264" t="s">
        <v>53</v>
      </c>
      <c r="C61" s="1265">
        <v>711</v>
      </c>
      <c r="D61" s="1265">
        <v>74956203.433872506</v>
      </c>
      <c r="E61" s="1265">
        <v>1552</v>
      </c>
      <c r="F61" s="1265">
        <v>121229991.26925699</v>
      </c>
      <c r="G61" s="323"/>
    </row>
    <row r="62" spans="1:7">
      <c r="A62" s="1264" t="s">
        <v>48</v>
      </c>
      <c r="B62" s="1264" t="s">
        <v>54</v>
      </c>
      <c r="C62" s="1265">
        <v>16</v>
      </c>
      <c r="D62" s="1265">
        <v>2100946.1203697198</v>
      </c>
      <c r="E62" s="1265">
        <v>17</v>
      </c>
      <c r="F62" s="1265">
        <v>697134.22684502904</v>
      </c>
      <c r="G62" s="323"/>
    </row>
    <row r="63" spans="1:7">
      <c r="A63" s="1264" t="s">
        <v>48</v>
      </c>
      <c r="B63" s="1264" t="s">
        <v>28</v>
      </c>
      <c r="C63" s="1265">
        <v>0</v>
      </c>
      <c r="D63" s="1265">
        <v>0</v>
      </c>
      <c r="E63" s="1265">
        <v>0</v>
      </c>
      <c r="F63" s="1265">
        <v>0</v>
      </c>
      <c r="G63" s="323"/>
    </row>
    <row r="64" spans="1:7">
      <c r="A64" s="1264" t="s">
        <v>55</v>
      </c>
      <c r="B64" s="1264" t="s">
        <v>56</v>
      </c>
      <c r="C64" s="1265">
        <v>0</v>
      </c>
      <c r="D64" s="1265">
        <v>0</v>
      </c>
      <c r="E64" s="1265">
        <v>0</v>
      </c>
      <c r="F64" s="1265">
        <v>0</v>
      </c>
      <c r="G64" s="323"/>
    </row>
    <row r="65" spans="1:7">
      <c r="A65" s="1264" t="s">
        <v>55</v>
      </c>
      <c r="B65" s="1264" t="s">
        <v>28</v>
      </c>
      <c r="C65" s="1265">
        <v>4</v>
      </c>
      <c r="D65" s="1265">
        <v>1708630.982571186</v>
      </c>
      <c r="E65" s="1265">
        <v>1</v>
      </c>
      <c r="F65" s="1265">
        <v>1779.2889780854</v>
      </c>
      <c r="G65" s="323"/>
    </row>
    <row r="66" spans="1:7">
      <c r="A66" s="1264" t="s">
        <v>55</v>
      </c>
      <c r="B66" s="1264" t="s">
        <v>57</v>
      </c>
      <c r="C66" s="1265">
        <v>0</v>
      </c>
      <c r="D66" s="1265">
        <v>0</v>
      </c>
      <c r="E66" s="1265">
        <v>27</v>
      </c>
      <c r="F66" s="1265">
        <v>539699.90819905896</v>
      </c>
      <c r="G66" s="323"/>
    </row>
    <row r="67" spans="1:7">
      <c r="A67" s="1266" t="s">
        <v>55</v>
      </c>
      <c r="B67" s="1266" t="s">
        <v>58</v>
      </c>
      <c r="C67" s="1265">
        <v>0</v>
      </c>
      <c r="D67" s="1265">
        <v>0</v>
      </c>
      <c r="E67" s="1265">
        <v>0</v>
      </c>
      <c r="F67" s="1265">
        <v>0</v>
      </c>
      <c r="G67" s="323"/>
    </row>
    <row r="68" spans="1:7">
      <c r="A68" s="1259" t="s">
        <v>55</v>
      </c>
      <c r="B68" s="1259" t="s">
        <v>59</v>
      </c>
      <c r="C68" s="1268">
        <v>23</v>
      </c>
      <c r="D68" s="1268">
        <v>604463.09346645698</v>
      </c>
      <c r="E68" s="1268">
        <v>43</v>
      </c>
      <c r="F68" s="1268">
        <v>791421.66307450004</v>
      </c>
      <c r="G68" s="323"/>
    </row>
    <row r="69" spans="1:7" ht="15.75" thickBot="1">
      <c r="A69" s="327"/>
      <c r="B69" s="323"/>
      <c r="C69" s="323"/>
      <c r="D69" s="323"/>
      <c r="E69" s="323"/>
      <c r="F69" s="323"/>
      <c r="G69" s="323"/>
    </row>
    <row r="70" spans="1:7" ht="19.5">
      <c r="A70" s="1256" t="s">
        <v>60</v>
      </c>
      <c r="B70" s="324"/>
      <c r="C70" s="324"/>
      <c r="D70" s="324"/>
      <c r="E70" s="324"/>
      <c r="F70" s="328"/>
      <c r="G70" s="323"/>
    </row>
    <row r="71" spans="1:7" ht="20.25" thickBot="1">
      <c r="A71" s="1275"/>
      <c r="B71" s="1289"/>
      <c r="C71" s="1289"/>
      <c r="D71" s="1290" t="s">
        <v>409</v>
      </c>
      <c r="E71" s="1289"/>
      <c r="F71" s="330"/>
      <c r="G71" s="323"/>
    </row>
    <row r="72" spans="1:7" ht="16.5" thickTop="1" thickBot="1">
      <c r="A72" s="1261" t="s">
        <v>61</v>
      </c>
      <c r="B72" s="1262" t="s">
        <v>62</v>
      </c>
      <c r="C72" s="1276" t="s">
        <v>605</v>
      </c>
      <c r="D72" s="1277"/>
      <c r="E72" s="1277"/>
      <c r="F72" s="1263"/>
      <c r="G72" s="323"/>
    </row>
    <row r="73" spans="1:7">
      <c r="A73" s="1264" t="s">
        <v>63</v>
      </c>
      <c r="B73" s="1264" t="s">
        <v>588</v>
      </c>
      <c r="C73" s="1278" t="s">
        <v>590</v>
      </c>
      <c r="D73" s="1279">
        <v>120112165</v>
      </c>
      <c r="E73" s="441"/>
      <c r="F73" s="323"/>
      <c r="G73" s="323"/>
    </row>
    <row r="74" spans="1:7">
      <c r="A74" s="1264" t="s">
        <v>63</v>
      </c>
      <c r="B74" s="1264" t="s">
        <v>589</v>
      </c>
      <c r="C74" s="1278" t="s">
        <v>591</v>
      </c>
      <c r="D74" s="1279">
        <v>4893020.562309905</v>
      </c>
      <c r="E74" s="441"/>
      <c r="F74" s="323"/>
      <c r="G74" s="323"/>
    </row>
    <row r="75" spans="1:7">
      <c r="A75" s="1264" t="s">
        <v>64</v>
      </c>
      <c r="B75" s="1264" t="s">
        <v>588</v>
      </c>
      <c r="C75" s="1278" t="s">
        <v>592</v>
      </c>
      <c r="D75" s="1279">
        <v>42304975</v>
      </c>
      <c r="E75" s="441"/>
      <c r="F75" s="323"/>
      <c r="G75" s="323"/>
    </row>
    <row r="76" spans="1:7">
      <c r="A76" s="1264" t="s">
        <v>64</v>
      </c>
      <c r="B76" s="1264" t="s">
        <v>589</v>
      </c>
      <c r="C76" s="1278" t="s">
        <v>593</v>
      </c>
      <c r="D76" s="1279">
        <v>278237.56230990519</v>
      </c>
      <c r="E76" s="441"/>
      <c r="F76" s="323"/>
      <c r="G76" s="323"/>
    </row>
    <row r="77" spans="1:7">
      <c r="A77" s="1264" t="s">
        <v>65</v>
      </c>
      <c r="B77" s="1264" t="s">
        <v>588</v>
      </c>
      <c r="C77" s="1278" t="s">
        <v>594</v>
      </c>
      <c r="D77" s="1279">
        <v>484497754</v>
      </c>
      <c r="E77" s="441"/>
      <c r="F77" s="323"/>
      <c r="G77" s="323"/>
    </row>
    <row r="78" spans="1:7">
      <c r="A78" s="1259" t="s">
        <v>65</v>
      </c>
      <c r="B78" s="1259" t="s">
        <v>589</v>
      </c>
      <c r="C78" s="1259" t="s">
        <v>595</v>
      </c>
      <c r="D78" s="1280">
        <v>41480207</v>
      </c>
      <c r="E78" s="1281"/>
      <c r="F78" s="326"/>
      <c r="G78" s="323"/>
    </row>
    <row r="79" spans="1:7">
      <c r="A79" s="1282"/>
      <c r="B79" s="1282"/>
      <c r="C79" s="323"/>
      <c r="D79" s="323"/>
      <c r="E79" s="323"/>
      <c r="F79" s="323"/>
      <c r="G79" s="323"/>
    </row>
    <row r="80" spans="1:7" ht="15.75" thickBot="1">
      <c r="A80" s="1282"/>
      <c r="B80" s="1282"/>
      <c r="C80" s="323"/>
      <c r="D80" s="323"/>
      <c r="E80" s="323"/>
      <c r="F80" s="323"/>
      <c r="G80" s="323"/>
    </row>
    <row r="81" spans="1:7" ht="20.25" thickBot="1">
      <c r="A81" s="1256" t="s">
        <v>319</v>
      </c>
      <c r="B81" s="1283"/>
      <c r="C81" s="324"/>
      <c r="D81" s="324"/>
      <c r="E81" s="324"/>
      <c r="F81" s="328"/>
      <c r="G81" s="323"/>
    </row>
    <row r="82" spans="1:7" ht="16.5" thickTop="1" thickBot="1">
      <c r="A82" s="1261" t="s">
        <v>320</v>
      </c>
      <c r="B82" s="1277"/>
      <c r="C82" s="1277"/>
      <c r="D82" s="1262"/>
      <c r="E82" s="1262"/>
      <c r="F82" s="1263"/>
      <c r="G82" s="323"/>
    </row>
    <row r="83" spans="1:7">
      <c r="A83" s="1264" t="s">
        <v>321</v>
      </c>
      <c r="B83" s="1279">
        <v>2413824.8753801896</v>
      </c>
      <c r="C83" s="441"/>
      <c r="D83" s="323"/>
      <c r="E83" s="323"/>
      <c r="F83" s="323"/>
      <c r="G83" s="323"/>
    </row>
    <row r="84" spans="1:7">
      <c r="A84" s="1259" t="s">
        <v>322</v>
      </c>
      <c r="B84" s="1280">
        <v>0</v>
      </c>
      <c r="C84" s="1281"/>
      <c r="D84" s="326"/>
      <c r="E84" s="326"/>
      <c r="F84" s="326"/>
      <c r="G84" s="323"/>
    </row>
    <row r="85" spans="1:7">
      <c r="A85" s="1282"/>
      <c r="B85" s="1284"/>
      <c r="C85" s="323"/>
      <c r="D85" s="323"/>
      <c r="E85" s="323"/>
      <c r="F85" s="323"/>
      <c r="G85" s="323"/>
    </row>
    <row r="86" spans="1:7" ht="15.75" thickBot="1">
      <c r="A86" s="327"/>
      <c r="B86" s="323"/>
      <c r="C86" s="323"/>
      <c r="D86" s="323"/>
      <c r="E86" s="323"/>
      <c r="F86" s="323"/>
      <c r="G86" s="323"/>
    </row>
    <row r="87" spans="1:7" ht="20.25" thickBot="1">
      <c r="A87" s="1256" t="s">
        <v>66</v>
      </c>
      <c r="B87" s="324"/>
      <c r="C87" s="324"/>
      <c r="D87" s="324"/>
      <c r="E87" s="324"/>
      <c r="F87" s="328"/>
      <c r="G87" s="323"/>
    </row>
    <row r="88" spans="1:7" ht="16.5" thickTop="1" thickBot="1">
      <c r="A88" s="1261" t="s">
        <v>4</v>
      </c>
      <c r="B88" s="1262" t="s">
        <v>163</v>
      </c>
      <c r="C88" s="1262"/>
      <c r="D88" s="1262"/>
      <c r="E88" s="1262"/>
      <c r="F88" s="1263"/>
      <c r="G88" s="323"/>
    </row>
    <row r="89" spans="1:7">
      <c r="A89" s="1264" t="s">
        <v>830</v>
      </c>
      <c r="B89" s="1285">
        <v>0</v>
      </c>
      <c r="C89" s="323"/>
      <c r="D89" s="323"/>
      <c r="E89" s="323"/>
      <c r="F89" s="323"/>
      <c r="G89" s="323"/>
    </row>
    <row r="90" spans="1:7">
      <c r="A90" s="1264" t="s">
        <v>509</v>
      </c>
      <c r="B90" s="1265">
        <v>0</v>
      </c>
      <c r="C90" s="323" t="s">
        <v>831</v>
      </c>
      <c r="D90" s="323"/>
      <c r="E90" s="323"/>
      <c r="F90" s="323"/>
      <c r="G90" s="323"/>
    </row>
    <row r="91" spans="1:7">
      <c r="A91" s="1264" t="s">
        <v>67</v>
      </c>
      <c r="B91" s="1265">
        <v>3784.3897970580551</v>
      </c>
      <c r="C91" s="323" t="s">
        <v>831</v>
      </c>
      <c r="D91" s="323"/>
      <c r="E91" s="323"/>
      <c r="F91" s="323"/>
      <c r="G91" s="323"/>
    </row>
    <row r="92" spans="1:7">
      <c r="A92" s="1259" t="s">
        <v>68</v>
      </c>
      <c r="B92" s="1260">
        <v>7314.1763241794988</v>
      </c>
      <c r="C92" s="326" t="s">
        <v>831</v>
      </c>
      <c r="D92" s="326"/>
      <c r="E92" s="326"/>
      <c r="F92" s="326"/>
      <c r="G92" s="323"/>
    </row>
    <row r="93" spans="1:7">
      <c r="A93" s="327"/>
      <c r="B93" s="323"/>
      <c r="C93" s="323"/>
      <c r="D93" s="323"/>
      <c r="E93" s="323"/>
      <c r="F93" s="323"/>
      <c r="G93" s="323"/>
    </row>
    <row r="94" spans="1:7" ht="15.75" thickBot="1">
      <c r="A94" s="327"/>
      <c r="B94" s="323"/>
      <c r="C94" s="323"/>
      <c r="D94" s="323"/>
      <c r="E94" s="323"/>
      <c r="F94" s="323"/>
      <c r="G94" s="323"/>
    </row>
    <row r="95" spans="1:7" ht="20.25" thickBot="1">
      <c r="A95" s="1256" t="s">
        <v>69</v>
      </c>
      <c r="B95" s="324"/>
      <c r="C95" s="324"/>
      <c r="D95" s="324"/>
      <c r="E95" s="324"/>
      <c r="F95" s="328"/>
      <c r="G95" s="323"/>
    </row>
    <row r="96" spans="1:7" ht="16.5" thickTop="1" thickBot="1">
      <c r="A96" s="1261" t="s">
        <v>4</v>
      </c>
      <c r="B96" s="1262" t="s">
        <v>5</v>
      </c>
      <c r="C96" s="1262"/>
      <c r="D96" s="1262"/>
      <c r="E96" s="1262"/>
      <c r="F96" s="1263"/>
      <c r="G96" s="323"/>
    </row>
    <row r="97" spans="1:7">
      <c r="A97" s="1264" t="s">
        <v>70</v>
      </c>
      <c r="B97" s="1265">
        <v>7180</v>
      </c>
      <c r="C97" s="323"/>
      <c r="D97" s="323"/>
      <c r="E97" s="323"/>
      <c r="F97" s="323"/>
      <c r="G97" s="323"/>
    </row>
    <row r="98" spans="1:7">
      <c r="A98" s="1264" t="s">
        <v>71</v>
      </c>
      <c r="B98" s="1265">
        <v>4</v>
      </c>
      <c r="C98" s="323"/>
      <c r="D98" s="323"/>
      <c r="E98" s="323"/>
      <c r="F98" s="323"/>
      <c r="G98" s="323"/>
    </row>
    <row r="99" spans="1:7">
      <c r="A99" s="1264" t="s">
        <v>72</v>
      </c>
      <c r="B99" s="1265">
        <v>38</v>
      </c>
      <c r="C99" s="323"/>
      <c r="D99" s="323"/>
      <c r="E99" s="323"/>
      <c r="F99" s="323"/>
      <c r="G99" s="323"/>
    </row>
    <row r="100" spans="1:7">
      <c r="A100" s="1264" t="s">
        <v>73</v>
      </c>
      <c r="B100" s="1265">
        <v>729</v>
      </c>
      <c r="C100" s="323"/>
      <c r="D100" s="323"/>
      <c r="E100" s="323"/>
      <c r="F100" s="323"/>
      <c r="G100" s="323"/>
    </row>
    <row r="101" spans="1:7">
      <c r="A101" s="1264" t="s">
        <v>74</v>
      </c>
      <c r="B101" s="1265">
        <v>33</v>
      </c>
      <c r="C101" s="323"/>
      <c r="D101" s="323"/>
      <c r="E101" s="323"/>
      <c r="F101" s="323"/>
      <c r="G101" s="323"/>
    </row>
    <row r="102" spans="1:7">
      <c r="A102" s="1264" t="s">
        <v>75</v>
      </c>
      <c r="B102" s="1265">
        <v>215</v>
      </c>
      <c r="C102" s="323"/>
      <c r="D102" s="323"/>
      <c r="E102" s="323"/>
      <c r="F102" s="323"/>
      <c r="G102" s="323"/>
    </row>
    <row r="103" spans="1:7">
      <c r="A103" s="1264" t="s">
        <v>76</v>
      </c>
      <c r="B103" s="1265">
        <v>81</v>
      </c>
      <c r="C103" s="323"/>
      <c r="D103" s="323"/>
      <c r="E103" s="323"/>
      <c r="F103" s="323"/>
      <c r="G103" s="323"/>
    </row>
    <row r="104" spans="1:7">
      <c r="A104" s="1264" t="s">
        <v>77</v>
      </c>
      <c r="B104" s="1265">
        <v>2411</v>
      </c>
      <c r="C104" s="323"/>
      <c r="D104" s="323"/>
      <c r="E104" s="323"/>
      <c r="F104" s="323"/>
      <c r="G104" s="323"/>
    </row>
    <row r="105" spans="1:7">
      <c r="A105" s="1259" t="s">
        <v>78</v>
      </c>
      <c r="B105" s="1268">
        <v>11</v>
      </c>
      <c r="C105" s="326"/>
      <c r="D105" s="326"/>
      <c r="E105" s="326"/>
      <c r="F105" s="326"/>
      <c r="G105" s="323"/>
    </row>
    <row r="106" spans="1:7">
      <c r="A106" s="327"/>
      <c r="B106" s="323"/>
      <c r="C106" s="323"/>
      <c r="D106" s="323"/>
      <c r="E106" s="323"/>
      <c r="F106" s="323"/>
      <c r="G106" s="323"/>
    </row>
    <row r="107" spans="1:7" ht="15.75" thickBot="1">
      <c r="A107" s="327"/>
      <c r="B107" s="323"/>
      <c r="C107" s="323"/>
      <c r="D107" s="323"/>
      <c r="E107" s="323"/>
      <c r="F107" s="323"/>
      <c r="G107" s="323"/>
    </row>
    <row r="108" spans="1:7" ht="20.25" thickBot="1">
      <c r="A108" s="1256" t="s">
        <v>579</v>
      </c>
      <c r="B108" s="324"/>
      <c r="C108" s="324"/>
      <c r="D108" s="324"/>
      <c r="E108" s="324"/>
      <c r="F108" s="328"/>
      <c r="G108" s="323"/>
    </row>
    <row r="109" spans="1:7" ht="16.5" thickTop="1" thickBot="1">
      <c r="A109" s="1261" t="s">
        <v>4</v>
      </c>
      <c r="B109" s="1262" t="s">
        <v>5</v>
      </c>
      <c r="C109" s="1262"/>
      <c r="D109" s="1262"/>
      <c r="E109" s="1262"/>
      <c r="F109" s="1263"/>
      <c r="G109" s="323"/>
    </row>
    <row r="110" spans="1:7">
      <c r="A110" s="1264" t="s">
        <v>580</v>
      </c>
      <c r="B110" s="1265">
        <v>0</v>
      </c>
      <c r="C110" s="323"/>
      <c r="D110" s="323"/>
      <c r="E110" s="323"/>
      <c r="F110" s="323"/>
      <c r="G110" s="323"/>
    </row>
    <row r="111" spans="1:7">
      <c r="A111" s="1286" t="s">
        <v>581</v>
      </c>
      <c r="B111" s="1287">
        <v>0</v>
      </c>
      <c r="C111" s="1291"/>
      <c r="D111" s="1291"/>
      <c r="E111" s="1291"/>
      <c r="F111" s="1291"/>
      <c r="G111" s="323"/>
    </row>
    <row r="112" spans="1:7">
      <c r="A112" s="1264"/>
      <c r="B112" s="323"/>
      <c r="C112" s="323"/>
      <c r="D112" s="323"/>
      <c r="E112" s="323"/>
      <c r="F112" s="323"/>
      <c r="G112" s="323"/>
    </row>
    <row r="113" spans="1:7" ht="15.75" thickBot="1">
      <c r="A113" s="1259"/>
      <c r="B113" s="326"/>
      <c r="C113" s="326"/>
      <c r="D113" s="326"/>
      <c r="E113" s="326"/>
      <c r="F113" s="326"/>
      <c r="G113" s="323"/>
    </row>
    <row r="114" spans="1:7" ht="20.25" thickBot="1">
      <c r="A114" s="1256" t="s">
        <v>79</v>
      </c>
      <c r="B114" s="324"/>
      <c r="C114" s="324"/>
      <c r="D114" s="324"/>
      <c r="E114" s="324"/>
      <c r="F114" s="328"/>
      <c r="G114" s="323"/>
    </row>
    <row r="115" spans="1:7" ht="16.5" thickTop="1" thickBot="1">
      <c r="A115" s="331"/>
      <c r="B115" s="332" t="s">
        <v>80</v>
      </c>
      <c r="C115" s="332" t="s">
        <v>81</v>
      </c>
      <c r="D115" s="332"/>
      <c r="E115" s="332"/>
      <c r="F115" s="333"/>
      <c r="G115" s="323"/>
    </row>
    <row r="116" spans="1:7" ht="16.5" thickTop="1" thickBot="1">
      <c r="A116" s="1261" t="s">
        <v>4</v>
      </c>
      <c r="B116" s="1262" t="s">
        <v>5</v>
      </c>
      <c r="C116" s="1262" t="s">
        <v>5</v>
      </c>
      <c r="D116" s="1262"/>
      <c r="E116" s="1262"/>
      <c r="F116" s="1263"/>
      <c r="G116" s="323"/>
    </row>
    <row r="117" spans="1:7">
      <c r="A117" s="1264" t="s">
        <v>82</v>
      </c>
      <c r="B117" s="1265">
        <v>0</v>
      </c>
      <c r="C117" s="1265">
        <v>0</v>
      </c>
      <c r="D117" s="323"/>
      <c r="E117" s="323"/>
      <c r="F117" s="323"/>
      <c r="G117" s="323"/>
    </row>
    <row r="118" spans="1:7">
      <c r="A118" s="1264" t="s">
        <v>83</v>
      </c>
      <c r="B118" s="1265">
        <v>0</v>
      </c>
      <c r="C118" s="1265">
        <v>0</v>
      </c>
      <c r="D118" s="323"/>
      <c r="E118" s="323"/>
      <c r="F118" s="323"/>
      <c r="G118" s="323"/>
    </row>
    <row r="119" spans="1:7">
      <c r="A119" s="1264" t="s">
        <v>31</v>
      </c>
      <c r="B119" s="1265">
        <v>0</v>
      </c>
      <c r="C119" s="1265">
        <v>0</v>
      </c>
      <c r="D119" s="323"/>
      <c r="E119" s="323"/>
      <c r="F119" s="323"/>
      <c r="G119" s="323"/>
    </row>
    <row r="120" spans="1:7">
      <c r="A120" s="1264" t="s">
        <v>84</v>
      </c>
      <c r="B120" s="1265">
        <v>0</v>
      </c>
      <c r="C120" s="1265">
        <v>0</v>
      </c>
      <c r="D120" s="323"/>
      <c r="E120" s="323"/>
      <c r="F120" s="323"/>
      <c r="G120" s="323"/>
    </row>
    <row r="121" spans="1:7">
      <c r="A121" s="1264" t="s">
        <v>85</v>
      </c>
      <c r="B121" s="1265">
        <v>9</v>
      </c>
      <c r="C121" s="1265">
        <v>0</v>
      </c>
      <c r="D121" s="323"/>
      <c r="E121" s="323"/>
      <c r="F121" s="323"/>
      <c r="G121" s="323"/>
    </row>
    <row r="122" spans="1:7">
      <c r="A122" s="1264" t="s">
        <v>86</v>
      </c>
      <c r="B122" s="1265">
        <v>0</v>
      </c>
      <c r="C122" s="1265">
        <v>0</v>
      </c>
      <c r="D122" s="323"/>
      <c r="E122" s="323"/>
      <c r="F122" s="323"/>
      <c r="G122" s="323"/>
    </row>
    <row r="123" spans="1:7">
      <c r="A123" s="1264" t="s">
        <v>87</v>
      </c>
      <c r="B123" s="1265">
        <v>60</v>
      </c>
      <c r="C123" s="1265">
        <v>20</v>
      </c>
      <c r="D123" s="323"/>
      <c r="E123" s="323"/>
      <c r="F123" s="323"/>
      <c r="G123" s="323"/>
    </row>
    <row r="124" spans="1:7">
      <c r="A124" s="1266" t="s">
        <v>88</v>
      </c>
      <c r="B124" s="1288">
        <v>1</v>
      </c>
      <c r="C124" s="1288">
        <v>0</v>
      </c>
      <c r="D124" s="323"/>
      <c r="E124" s="323"/>
      <c r="F124" s="323"/>
      <c r="G124" s="323"/>
    </row>
    <row r="125" spans="1:7">
      <c r="A125" s="1259" t="s">
        <v>698</v>
      </c>
      <c r="B125" s="1268">
        <v>0</v>
      </c>
      <c r="C125" s="1268">
        <v>0</v>
      </c>
      <c r="D125" s="326"/>
      <c r="E125" s="326"/>
      <c r="F125" s="326"/>
      <c r="G125" s="323"/>
    </row>
    <row r="126" spans="1:7" ht="15.75" thickBot="1">
      <c r="A126" s="1282"/>
      <c r="B126" s="323"/>
      <c r="C126" s="323"/>
      <c r="D126" s="323"/>
      <c r="E126" s="323"/>
      <c r="F126" s="323"/>
      <c r="G126" s="323"/>
    </row>
    <row r="127" spans="1:7" ht="20.25" thickBot="1">
      <c r="A127" s="1256" t="s">
        <v>280</v>
      </c>
      <c r="B127" s="324"/>
      <c r="C127" s="324"/>
      <c r="D127" s="324"/>
      <c r="E127" s="324"/>
      <c r="F127" s="328"/>
      <c r="G127" s="323"/>
    </row>
    <row r="128" spans="1:7" ht="16.5" thickTop="1" thickBot="1">
      <c r="A128" s="1261" t="s">
        <v>4</v>
      </c>
      <c r="B128" s="1262" t="s">
        <v>5</v>
      </c>
      <c r="C128" s="1262"/>
      <c r="D128" s="1262"/>
      <c r="E128" s="1262"/>
      <c r="F128" s="1263"/>
      <c r="G128" s="323"/>
    </row>
    <row r="129" spans="1:7">
      <c r="A129" s="1264" t="s">
        <v>281</v>
      </c>
      <c r="B129" s="1265">
        <v>75</v>
      </c>
      <c r="C129" s="323"/>
      <c r="D129" s="323"/>
      <c r="E129" s="323"/>
      <c r="F129" s="323"/>
      <c r="G129" s="323"/>
    </row>
    <row r="130" spans="1:7">
      <c r="A130" s="1264" t="s">
        <v>282</v>
      </c>
      <c r="B130" s="1265">
        <v>1</v>
      </c>
      <c r="C130" s="323"/>
      <c r="D130" s="323"/>
      <c r="E130" s="323"/>
      <c r="F130" s="323"/>
      <c r="G130" s="323"/>
    </row>
    <row r="131" spans="1:7">
      <c r="A131" s="1264" t="s">
        <v>283</v>
      </c>
      <c r="B131" s="1265">
        <v>4</v>
      </c>
      <c r="C131" s="323"/>
      <c r="D131" s="323"/>
      <c r="E131" s="323"/>
      <c r="F131" s="323"/>
      <c r="G131" s="323"/>
    </row>
    <row r="132" spans="1:7">
      <c r="A132" s="1259" t="s">
        <v>284</v>
      </c>
      <c r="B132" s="1260">
        <v>12</v>
      </c>
      <c r="C132" s="326"/>
      <c r="D132" s="326"/>
      <c r="E132" s="326"/>
      <c r="F132" s="326"/>
      <c r="G132" s="323"/>
    </row>
    <row r="133" spans="1:7">
      <c r="A133" s="323"/>
      <c r="B133" s="323"/>
      <c r="C133" s="323"/>
      <c r="D133" s="323"/>
      <c r="E133" s="323"/>
      <c r="F133" s="323"/>
      <c r="G133" s="323"/>
    </row>
    <row r="134" spans="1:7">
      <c r="A134" s="1284"/>
      <c r="B134" s="323"/>
      <c r="C134" s="323"/>
      <c r="D134" s="323"/>
      <c r="E134" s="323"/>
      <c r="F134" s="323"/>
      <c r="G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746</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746</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747</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748</v>
      </c>
    </row>
    <row r="5" spans="1:3" ht="15.75" thickBot="1">
      <c r="A5" s="869" t="s">
        <v>560</v>
      </c>
      <c r="B5" s="875">
        <v>673451.87000000046</v>
      </c>
      <c r="C5" s="876" t="s">
        <v>749</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254579.35182218722</v>
      </c>
      <c r="C3" s="43" t="s">
        <v>163</v>
      </c>
      <c r="D3" s="43"/>
      <c r="E3" s="153"/>
      <c r="F3" s="43"/>
      <c r="G3" s="43"/>
      <c r="H3" s="43"/>
      <c r="I3" s="43"/>
      <c r="J3" s="43"/>
      <c r="K3" s="96"/>
    </row>
    <row r="4" spans="1:11">
      <c r="A4" s="348" t="s">
        <v>164</v>
      </c>
      <c r="B4" s="49">
        <f>IF(ISERROR('SEAP template'!B78+'SEAP template'!C78),0,'SEAP template'!B78+'SEAP template'!C78)</f>
        <v>12179.121676879555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267.93019749714887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0.21147976328109258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379.64813588799092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1531.1111112336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0.24795596681557122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770</v>
      </c>
      <c r="C6" s="405" t="s">
        <v>343</v>
      </c>
    </row>
    <row r="7" spans="1:3" s="323" customFormat="1">
      <c r="A7" s="863" t="s">
        <v>771</v>
      </c>
      <c r="B7" s="406" t="s">
        <v>775</v>
      </c>
      <c r="C7" s="407" t="s">
        <v>542</v>
      </c>
    </row>
    <row r="8" spans="1:3" s="323" customFormat="1">
      <c r="A8" s="1000" t="s">
        <v>704</v>
      </c>
      <c r="B8" s="406" t="s">
        <v>706</v>
      </c>
      <c r="C8" s="407" t="s">
        <v>343</v>
      </c>
    </row>
    <row r="9" spans="1:3" s="323" customFormat="1">
      <c r="A9" s="1000" t="s">
        <v>772</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G2" sqref="G2"/>
    </sheetView>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2" t="s">
        <v>815</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3">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3">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3">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3">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3">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3">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3">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3">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3">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3">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3">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3">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3">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3">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3">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3">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3">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3">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3">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3">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3">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3">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3">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3">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3">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3">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3">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3">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3">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3">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3">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3">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3">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3">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3">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3">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3">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3">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3">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3">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3">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3">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3">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3">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3">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3">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3">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3">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3">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3">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3">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3">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3">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3">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2020</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438</v>
      </c>
      <c r="B2" s="1167"/>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activeCell="D5" sqref="D5:P6"/>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68" t="s">
        <v>187</v>
      </c>
      <c r="B1" s="1169" t="s">
        <v>188</v>
      </c>
      <c r="C1" s="1170"/>
      <c r="D1" s="1170"/>
      <c r="E1" s="1170"/>
      <c r="F1" s="1170"/>
      <c r="G1" s="1170"/>
      <c r="H1" s="1170"/>
      <c r="I1" s="1170"/>
      <c r="J1" s="1170"/>
      <c r="K1" s="1170"/>
      <c r="L1" s="1170"/>
      <c r="M1" s="1170"/>
      <c r="N1" s="1170"/>
      <c r="O1" s="1170"/>
      <c r="P1" s="1170"/>
    </row>
    <row r="2" spans="1:16" s="323"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3"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2228.9780000000001</v>
      </c>
      <c r="C5" s="18" t="s">
        <v>816</v>
      </c>
      <c r="D5" s="18" t="s">
        <v>816</v>
      </c>
      <c r="E5" s="18" t="s">
        <v>816</v>
      </c>
      <c r="F5" s="18" t="s">
        <v>816</v>
      </c>
      <c r="G5" s="18" t="s">
        <v>816</v>
      </c>
      <c r="H5" s="18" t="s">
        <v>816</v>
      </c>
      <c r="I5" s="18" t="s">
        <v>816</v>
      </c>
      <c r="J5" s="18" t="s">
        <v>816</v>
      </c>
      <c r="K5" s="18" t="s">
        <v>816</v>
      </c>
      <c r="L5" s="18" t="s">
        <v>816</v>
      </c>
      <c r="M5" s="18" t="s">
        <v>816</v>
      </c>
      <c r="N5" s="18" t="s">
        <v>816</v>
      </c>
      <c r="O5" s="18" t="s">
        <v>816</v>
      </c>
      <c r="P5" s="18" t="s">
        <v>816</v>
      </c>
    </row>
    <row r="6" spans="1:16">
      <c r="A6" s="16" t="s">
        <v>499</v>
      </c>
      <c r="B6" s="30">
        <f>(IF(ISERROR('Eigen openbare verlichting'!B15),0,'Eigen openbare verlichting'!B15))*(-1)</f>
        <v>0</v>
      </c>
      <c r="C6" s="18" t="s">
        <v>816</v>
      </c>
      <c r="D6" s="18" t="s">
        <v>816</v>
      </c>
      <c r="E6" s="18" t="s">
        <v>816</v>
      </c>
      <c r="F6" s="18" t="s">
        <v>816</v>
      </c>
      <c r="G6" s="18" t="s">
        <v>816</v>
      </c>
      <c r="H6" s="18" t="s">
        <v>816</v>
      </c>
      <c r="I6" s="18" t="s">
        <v>816</v>
      </c>
      <c r="J6" s="18" t="s">
        <v>816</v>
      </c>
      <c r="K6" s="18" t="s">
        <v>816</v>
      </c>
      <c r="L6" s="18" t="s">
        <v>816</v>
      </c>
      <c r="M6" s="18" t="s">
        <v>816</v>
      </c>
      <c r="N6" s="18" t="s">
        <v>816</v>
      </c>
      <c r="O6" s="18" t="s">
        <v>816</v>
      </c>
      <c r="P6" s="18" t="s">
        <v>816</v>
      </c>
    </row>
    <row r="7" spans="1:16">
      <c r="B7" s="19"/>
      <c r="C7" s="19"/>
      <c r="D7" s="19"/>
      <c r="E7" s="19"/>
      <c r="F7" s="19"/>
      <c r="G7" s="19"/>
      <c r="H7" s="19"/>
      <c r="I7" s="19"/>
      <c r="J7" s="19"/>
      <c r="K7" s="19"/>
      <c r="L7" s="19"/>
      <c r="M7" s="19"/>
      <c r="N7" s="19"/>
      <c r="O7" s="19"/>
      <c r="P7" s="19"/>
    </row>
    <row r="8" spans="1:16" s="8" customFormat="1">
      <c r="A8" s="20" t="s">
        <v>443</v>
      </c>
      <c r="B8" s="21">
        <f>MAX((B5+B6),0)</f>
        <v>2228.9780000000001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0.21147976328109258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471.3837397987632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68" t="s">
        <v>148</v>
      </c>
      <c r="B1" s="1169" t="s">
        <v>188</v>
      </c>
      <c r="C1" s="1170"/>
      <c r="D1" s="1170"/>
      <c r="E1" s="1170"/>
      <c r="F1" s="1170"/>
      <c r="G1" s="1170"/>
      <c r="H1" s="1170"/>
      <c r="I1" s="1170"/>
      <c r="J1" s="1170"/>
      <c r="K1" s="1170"/>
      <c r="L1" s="1170"/>
      <c r="M1" s="1170"/>
      <c r="N1" s="1170"/>
      <c r="O1" s="1170"/>
      <c r="P1" s="1170"/>
    </row>
    <row r="2" spans="1:16" s="323"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3"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44202.618974453704</v>
      </c>
      <c r="C5" s="17">
        <f>IF(ISERROR('Eigen informatie GS &amp; warmtenet'!B59),0,'Eigen informatie GS &amp; warmtenet'!B59)</f>
        <v>0</v>
      </c>
      <c r="D5" s="30">
        <f>(SUM(HH_hh_gas_kWh,HH_rest_gas_kWh)/1000)*0.903</f>
        <v>149364.35549722615</v>
      </c>
      <c r="E5" s="17">
        <f>B32*B41</f>
        <v>2969.3415598586312</v>
      </c>
      <c r="F5" s="17">
        <f>B36*B45</f>
        <v>37617.217558527671</v>
      </c>
      <c r="G5" s="18"/>
      <c r="H5" s="17"/>
      <c r="I5" s="17"/>
      <c r="J5" s="17">
        <f>B35*B44+C35*C44</f>
        <v>240.77186872672684</v>
      </c>
      <c r="K5" s="17"/>
      <c r="L5" s="17"/>
      <c r="M5" s="17"/>
      <c r="N5" s="17">
        <f>B34*B43+C34*C43</f>
        <v>14666.427182834639</v>
      </c>
      <c r="O5" s="17">
        <f>B52*B53*B54</f>
        <v>188.47603084176802</v>
      </c>
      <c r="P5" s="17">
        <f>B60*B61*B62/1000-B60*B61*B62/1000/B63</f>
        <v>768.9790294610068</v>
      </c>
    </row>
    <row r="6" spans="1:16">
      <c r="A6" s="16" t="s">
        <v>556</v>
      </c>
      <c r="B6" s="734">
        <f>kWh_PV_kleiner_dan_10kW</f>
        <v>3784.3897970580551</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47987.008771511762</v>
      </c>
      <c r="C8" s="21">
        <f>C5</f>
        <v>0</v>
      </c>
      <c r="D8" s="21">
        <f>D5</f>
        <v>149364.35549722615</v>
      </c>
      <c r="E8" s="21">
        <f>E5</f>
        <v>2969.3415598586312</v>
      </c>
      <c r="F8" s="21">
        <f>F5</f>
        <v>37617.217558527671</v>
      </c>
      <c r="G8" s="21"/>
      <c r="H8" s="21"/>
      <c r="I8" s="21"/>
      <c r="J8" s="21">
        <f>J5</f>
        <v>240.77186872672684</v>
      </c>
      <c r="K8" s="21"/>
      <c r="L8" s="21">
        <f>L5</f>
        <v>0</v>
      </c>
      <c r="M8" s="21">
        <f>M5</f>
        <v>0</v>
      </c>
      <c r="N8" s="21">
        <f>N5</f>
        <v>14666.427182834639</v>
      </c>
      <c r="O8" s="21">
        <f>O5</f>
        <v>188.47603084176802</v>
      </c>
      <c r="P8" s="21">
        <f>P5</f>
        <v>768.9790294610068</v>
      </c>
    </row>
    <row r="9" spans="1:16">
      <c r="B9" s="19"/>
      <c r="C9" s="19"/>
      <c r="D9" s="253"/>
      <c r="E9" s="19"/>
      <c r="F9" s="19"/>
      <c r="G9" s="19"/>
      <c r="H9" s="19"/>
      <c r="I9" s="19"/>
      <c r="J9" s="19"/>
      <c r="K9" s="19"/>
      <c r="L9" s="19"/>
      <c r="M9" s="19"/>
      <c r="N9" s="19"/>
      <c r="O9" s="19"/>
      <c r="P9" s="19"/>
    </row>
    <row r="10" spans="1:16">
      <c r="A10" s="24" t="s">
        <v>207</v>
      </c>
      <c r="B10" s="25">
        <f ca="1">'EF ele_warmte'!B12</f>
        <v>0.21147976328109258</v>
      </c>
      <c r="C10" s="25">
        <f ca="1">'EF ele_warmte'!B22</f>
        <v>0.24795596681557122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10148.281255567021</v>
      </c>
      <c r="C12" s="23">
        <f ca="1">C10*C8</f>
        <v>0</v>
      </c>
      <c r="D12" s="23">
        <f>D8*D10</f>
        <v>30171.599810439682</v>
      </c>
      <c r="E12" s="23">
        <f>E10*E8</f>
        <v>674.04053408790935</v>
      </c>
      <c r="F12" s="23">
        <f>F10*F8</f>
        <v>10043.797088126888</v>
      </c>
      <c r="G12" s="23"/>
      <c r="H12" s="23"/>
      <c r="I12" s="23"/>
      <c r="J12" s="23">
        <f>J10*J8</f>
        <v>85.233241529261292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744</v>
      </c>
      <c r="B17" s="198" t="s">
        <v>740</v>
      </c>
      <c r="C17" s="198" t="s">
        <v>739</v>
      </c>
      <c r="D17" s="223" t="s">
        <v>175</v>
      </c>
      <c r="E17" s="15"/>
    </row>
    <row r="18" spans="1:5">
      <c r="A18" s="167" t="s">
        <v>77</v>
      </c>
      <c r="B18" s="1008">
        <v>0.59532996692331042</v>
      </c>
      <c r="C18" s="1008"/>
      <c r="D18" s="293" t="s">
        <v>763</v>
      </c>
      <c r="E18" s="15"/>
    </row>
    <row r="19" spans="1:5">
      <c r="A19" s="167" t="s">
        <v>733</v>
      </c>
      <c r="B19" s="1008">
        <v>7.1008684322337902E-3</v>
      </c>
      <c r="C19" s="1008"/>
      <c r="D19" s="225"/>
      <c r="E19" s="15"/>
    </row>
    <row r="20" spans="1:5">
      <c r="A20" s="167" t="s">
        <v>734</v>
      </c>
      <c r="B20" s="1008"/>
      <c r="C20" s="1008"/>
      <c r="D20" s="225"/>
      <c r="E20" s="15"/>
    </row>
    <row r="21" spans="1:5">
      <c r="A21" s="167" t="s">
        <v>735</v>
      </c>
      <c r="B21" s="1008">
        <v>1.6335190651930662E-2</v>
      </c>
      <c r="C21" s="1008"/>
      <c r="D21" s="225"/>
      <c r="E21" s="15"/>
    </row>
    <row r="22" spans="1:5">
      <c r="A22" s="167" t="s">
        <v>736</v>
      </c>
      <c r="B22" s="1008">
        <v>0.2652511439871737</v>
      </c>
      <c r="C22" s="1008"/>
      <c r="D22" s="225"/>
      <c r="E22" s="15"/>
    </row>
    <row r="23" spans="1:5">
      <c r="A23" s="167" t="s">
        <v>78</v>
      </c>
      <c r="B23" s="1008"/>
      <c r="C23" s="1008"/>
      <c r="D23" s="224"/>
      <c r="E23" s="52"/>
    </row>
    <row r="24" spans="1:5">
      <c r="A24" s="167" t="s">
        <v>737</v>
      </c>
      <c r="B24" s="1008">
        <v>0.11598283000535101</v>
      </c>
      <c r="C24" s="1008">
        <v>0.16799975976739334</v>
      </c>
      <c r="D24" s="224"/>
      <c r="E24" s="15"/>
    </row>
    <row r="25" spans="1:5" s="15" customFormat="1">
      <c r="A25" s="167"/>
      <c r="B25" s="29"/>
      <c r="C25" s="29"/>
      <c r="D25" s="224"/>
    </row>
    <row r="26" spans="1:5" s="15" customFormat="1">
      <c r="A26" s="226" t="s">
        <v>767</v>
      </c>
      <c r="B26" s="37">
        <f>aantalHuishoudens</f>
        <v>13988</v>
      </c>
      <c r="C26" s="36"/>
      <c r="D26" s="224"/>
    </row>
    <row r="27" spans="1:5" s="15" customFormat="1">
      <c r="A27" s="226" t="s">
        <v>768</v>
      </c>
      <c r="B27" s="37">
        <f>SUM(HH_hh_gas_aantal,HH_rest_gas_aantal)</f>
        <v>11344</v>
      </c>
      <c r="C27" s="36"/>
      <c r="D27" s="224"/>
    </row>
    <row r="28" spans="1:5" s="15" customFormat="1">
      <c r="A28" s="227"/>
      <c r="B28" s="29"/>
      <c r="C28" s="36"/>
      <c r="D28" s="228"/>
    </row>
    <row r="29" spans="1:5">
      <c r="A29" s="3"/>
      <c r="B29" s="43"/>
      <c r="C29" s="43"/>
      <c r="D29" s="170"/>
    </row>
    <row r="30" spans="1:5">
      <c r="A30" s="168" t="s">
        <v>446</v>
      </c>
      <c r="B30" s="165" t="s">
        <v>760</v>
      </c>
      <c r="C30" s="165" t="s">
        <v>761</v>
      </c>
      <c r="D30" s="170"/>
    </row>
    <row r="31" spans="1:5">
      <c r="A31" s="167" t="s">
        <v>738</v>
      </c>
      <c r="B31" s="33">
        <f>B27-(0.05*B27)</f>
        <v>10776.8</v>
      </c>
      <c r="C31" s="34" t="s">
        <v>104</v>
      </c>
      <c r="D31" s="170"/>
    </row>
    <row r="32" spans="1:5">
      <c r="A32" s="167" t="s">
        <v>72</v>
      </c>
      <c r="B32" s="33">
        <f>IF((B21*($B$26-($B$27-0.05*$B$27)-$B$60))&lt;0,0,(B21*($B$26-($B$27-0.05*$B$27)-$B$60)))</f>
        <v>51.263095303888811</v>
      </c>
      <c r="C32" s="34" t="s">
        <v>104</v>
      </c>
      <c r="D32" s="170"/>
    </row>
    <row r="33" spans="1:6">
      <c r="A33" s="167" t="s">
        <v>73</v>
      </c>
      <c r="B33" s="33">
        <f>IF((B22*($B$26-($B$27-0.05*$B$27)-$B$60))&lt;0,0,B22*($B$26-($B$27-0.05*$B$27)-$B$60))</f>
        <v>832.41114006054875</v>
      </c>
      <c r="C33" s="34" t="s">
        <v>104</v>
      </c>
      <c r="D33" s="170"/>
    </row>
    <row r="34" spans="1:6">
      <c r="A34" s="167" t="s">
        <v>74</v>
      </c>
      <c r="B34" s="33">
        <f>IF((B24*($B$26-($B$27-0.05*$B$27)-$B$60))&lt;0,0,B24*($B$26-($B$27-0.05*$B$27)-$B$60))</f>
        <v>363.97731712279261</v>
      </c>
      <c r="C34" s="33">
        <f>B26*C24</f>
        <v>2349.9806396262979</v>
      </c>
      <c r="D34" s="229"/>
    </row>
    <row r="35" spans="1:6">
      <c r="A35" s="167" t="s">
        <v>76</v>
      </c>
      <c r="B35" s="33">
        <f>IF((B19*($B$26-($B$27-0.05*$B$27)-$B$60))&lt;0,0,B19*($B$26-($B$27-0.05*$B$27)-$B$60))</f>
        <v>22.283945314036085</v>
      </c>
      <c r="C35" s="33">
        <f>B35/2</f>
        <v>11.141972657018043</v>
      </c>
      <c r="D35" s="229"/>
    </row>
    <row r="36" spans="1:6">
      <c r="A36" s="167" t="s">
        <v>77</v>
      </c>
      <c r="B36" s="33">
        <f>IF((B18*($B$26-($B$27-0.05*$B$27)-$B$60))&lt;0,0,B18*($B$26-($B$27-0.05*$B$27)-$B$60))</f>
        <v>1868.2645021987332</v>
      </c>
      <c r="C36" s="34" t="s">
        <v>104</v>
      </c>
      <c r="D36" s="170"/>
    </row>
    <row r="37" spans="1:6">
      <c r="A37" s="167" t="s">
        <v>78</v>
      </c>
      <c r="B37" s="33">
        <f>B60</f>
        <v>73</v>
      </c>
      <c r="C37" s="34" t="s">
        <v>104</v>
      </c>
      <c r="D37" s="170"/>
    </row>
    <row r="38" spans="1:6">
      <c r="A38" s="3"/>
      <c r="B38" s="43"/>
      <c r="C38" s="43"/>
      <c r="D38" s="170"/>
    </row>
    <row r="39" spans="1:6">
      <c r="A39" s="168" t="s">
        <v>449</v>
      </c>
      <c r="B39" s="164" t="s">
        <v>759</v>
      </c>
      <c r="C39" s="164" t="s">
        <v>762</v>
      </c>
      <c r="D39" s="293" t="s">
        <v>763</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73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68" t="s">
        <v>149</v>
      </c>
      <c r="B1" s="1169" t="s">
        <v>188</v>
      </c>
      <c r="C1" s="1170"/>
      <c r="D1" s="1170"/>
      <c r="E1" s="1170"/>
      <c r="F1" s="1170"/>
      <c r="G1" s="1170"/>
      <c r="H1" s="1170"/>
      <c r="I1" s="1170"/>
      <c r="J1" s="1170"/>
      <c r="K1" s="1170"/>
      <c r="L1" s="1170"/>
      <c r="M1" s="1170"/>
      <c r="N1" s="1170"/>
      <c r="O1" s="1170"/>
      <c r="P1" s="1170"/>
    </row>
    <row r="2" spans="1:18" s="307"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7"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161887.9716846662</v>
      </c>
      <c r="C5" s="17">
        <f>IF(ISERROR('Eigen informatie GS &amp; warmtenet'!B60),0,'Eigen informatie GS &amp; warmtenet'!B60)</f>
        <v>0</v>
      </c>
      <c r="D5" s="30">
        <f>SUM(D6:D12)</f>
        <v>108930.8200818547</v>
      </c>
      <c r="E5" s="17">
        <f>SUM(E6:E12)</f>
        <v>37.507541967614941</v>
      </c>
      <c r="F5" s="17">
        <f>SUM(F6:F12)</f>
        <v>20321.13993211804</v>
      </c>
      <c r="G5" s="18"/>
      <c r="H5" s="17"/>
      <c r="I5" s="17"/>
      <c r="J5" s="17">
        <f>SUM(J6:J12)</f>
        <v>2.778328571897206E-2</v>
      </c>
      <c r="K5" s="17"/>
      <c r="L5" s="17"/>
      <c r="M5" s="17"/>
      <c r="N5" s="17">
        <f>SUM(N6:N12)</f>
        <v>1262.2289184235869</v>
      </c>
      <c r="O5" s="17">
        <f>B38*B39*B40</f>
        <v>4.8972607658411542</v>
      </c>
      <c r="P5" s="17">
        <f>B46*B47*B48/1000-B46*B47*B48/1000/B49</f>
        <v>683.0087979844352</v>
      </c>
      <c r="R5" s="32"/>
    </row>
    <row r="6" spans="1:18">
      <c r="A6" s="32" t="s">
        <v>53</v>
      </c>
      <c r="B6" s="37">
        <f>B26</f>
        <v>121229.99126925699</v>
      </c>
      <c r="C6" s="33"/>
      <c r="D6" s="37">
        <f>IF(ISERROR(TER_kantoor_gas_kWh/1000),0,TER_kantoor_gas_kWh/1000)*0.903</f>
        <v>67685.451700786871</v>
      </c>
      <c r="E6" s="33">
        <f>$C$26*'E Balans VL '!I12/100/3.6*1000000</f>
        <v>0</v>
      </c>
      <c r="F6" s="33">
        <f>$C$26*('E Balans VL '!L12+'E Balans VL '!N12)/100/3.6*1000000</f>
        <v>13860.16496485206</v>
      </c>
      <c r="G6" s="34"/>
      <c r="H6" s="33"/>
      <c r="I6" s="33"/>
      <c r="J6" s="33">
        <f>$C$26*('E Balans VL '!D12+'E Balans VL '!E12)/100/3.6*1000000</f>
        <v>0</v>
      </c>
      <c r="K6" s="33"/>
      <c r="L6" s="33"/>
      <c r="M6" s="33"/>
      <c r="N6" s="33">
        <f>$C$26*'E Balans VL '!Y12/100/3.6*1000000</f>
        <v>137.31127313644032</v>
      </c>
      <c r="O6" s="33"/>
      <c r="P6" s="33"/>
      <c r="R6" s="32"/>
    </row>
    <row r="7" spans="1:18">
      <c r="A7" s="32" t="s">
        <v>52</v>
      </c>
      <c r="B7" s="37">
        <f t="shared" ref="B7:B12" si="0">B27</f>
        <v>6626.0816175155096</v>
      </c>
      <c r="C7" s="33"/>
      <c r="D7" s="37">
        <f>IF(ISERROR(TER_horeca_gas_kWh/1000),0,TER_horeca_gas_kWh/1000)*0.903</f>
        <v>11719.480333164942</v>
      </c>
      <c r="E7" s="33">
        <f>$C$27*'E Balans VL '!I9/100/3.6*1000000</f>
        <v>0</v>
      </c>
      <c r="F7" s="33">
        <f>$C$27*('E Balans VL '!L9+'E Balans VL '!N9)/100/3.6*1000000</f>
        <v>696.55553239665198</v>
      </c>
      <c r="G7" s="34"/>
      <c r="H7" s="33"/>
      <c r="I7" s="33"/>
      <c r="J7" s="33">
        <f>$C$27*('E Balans VL '!D9+'E Balans VL '!E9)/100/3.6*1000000</f>
        <v>0</v>
      </c>
      <c r="K7" s="33"/>
      <c r="L7" s="33"/>
      <c r="M7" s="33"/>
      <c r="N7" s="33">
        <f>$C$27*'E Balans VL '!Y9/100/3.6*1000000</f>
        <v>74.639516342056439</v>
      </c>
      <c r="O7" s="33"/>
      <c r="P7" s="33"/>
      <c r="R7" s="32"/>
    </row>
    <row r="8" spans="1:18">
      <c r="A8" s="6" t="s">
        <v>51</v>
      </c>
      <c r="B8" s="37">
        <f t="shared" si="0"/>
        <v>27457.104929920701</v>
      </c>
      <c r="C8" s="33"/>
      <c r="D8" s="37">
        <f>IF(ISERROR(TER_handel_gas_kWh/1000),0,TER_handel_gas_kWh/1000)*0.903</f>
        <v>21851.030536303217</v>
      </c>
      <c r="E8" s="33">
        <f>$C$28*'E Balans VL '!I13/100/3.6*1000000</f>
        <v>5.9185225029583757</v>
      </c>
      <c r="F8" s="33">
        <f>$C$28*('E Balans VL '!L13+'E Balans VL '!N13)/100/3.6*1000000</f>
        <v>3861.3267297869306</v>
      </c>
      <c r="G8" s="34"/>
      <c r="H8" s="33"/>
      <c r="I8" s="33"/>
      <c r="J8" s="33">
        <f>$C$28*('E Balans VL '!D13+'E Balans VL '!E13)/100/3.6*1000000</f>
        <v>0</v>
      </c>
      <c r="K8" s="33"/>
      <c r="L8" s="33"/>
      <c r="M8" s="33"/>
      <c r="N8" s="33">
        <f>$C$28*'E Balans VL '!Y13/100/3.6*1000000</f>
        <v>26.345607494864307</v>
      </c>
      <c r="O8" s="33"/>
      <c r="P8" s="33"/>
      <c r="R8" s="32"/>
    </row>
    <row r="9" spans="1:18">
      <c r="A9" s="32" t="s">
        <v>50</v>
      </c>
      <c r="B9" s="37">
        <f t="shared" si="0"/>
        <v>3285.4383899653399</v>
      </c>
      <c r="C9" s="33"/>
      <c r="D9" s="37">
        <f>IF(ISERROR(TER_gezond_gas_kWh/1000),0,TER_gezond_gas_kWh/1000)*0.903</f>
        <v>3516.4476252259742</v>
      </c>
      <c r="E9" s="33">
        <f>$C$29*'E Balans VL '!I10/100/3.6*1000000</f>
        <v>0</v>
      </c>
      <c r="F9" s="33">
        <f>$C$29*('E Balans VL '!L10+'E Balans VL '!N10)/100/3.6*1000000</f>
        <v>89.463378526970203</v>
      </c>
      <c r="G9" s="34"/>
      <c r="H9" s="33"/>
      <c r="I9" s="33"/>
      <c r="J9" s="33">
        <f>$C$29*('E Balans VL '!D10+'E Balans VL '!E10)/100/3.6*1000000</f>
        <v>0</v>
      </c>
      <c r="K9" s="33"/>
      <c r="L9" s="33"/>
      <c r="M9" s="33"/>
      <c r="N9" s="33">
        <f>$C$29*'E Balans VL '!Y10/100/3.6*1000000</f>
        <v>20.829743783138401</v>
      </c>
      <c r="O9" s="33"/>
      <c r="P9" s="33"/>
      <c r="R9" s="32"/>
    </row>
    <row r="10" spans="1:18">
      <c r="A10" s="32" t="s">
        <v>49</v>
      </c>
      <c r="B10" s="37">
        <f t="shared" si="0"/>
        <v>2592.2212511626399</v>
      </c>
      <c r="C10" s="33"/>
      <c r="D10" s="37">
        <f>IF(ISERROR(TER_ander_gas_kWh/1000),0,TER_ander_gas_kWh/1000)*0.903</f>
        <v>2261.255539679823</v>
      </c>
      <c r="E10" s="33">
        <f>$C$30*'E Balans VL '!I14/100/3.6*1000000</f>
        <v>31.589019464656563</v>
      </c>
      <c r="F10" s="33">
        <f>$C$30*('E Balans VL '!L14+'E Balans VL '!N14)/100/3.6*1000000</f>
        <v>1784.4957006564557</v>
      </c>
      <c r="G10" s="34"/>
      <c r="H10" s="33"/>
      <c r="I10" s="33"/>
      <c r="J10" s="33">
        <f>$C$30*('E Balans VL '!D14+'E Balans VL '!E14)/100/3.6*1000000</f>
        <v>2.778328571897206E-2</v>
      </c>
      <c r="K10" s="33"/>
      <c r="L10" s="33"/>
      <c r="M10" s="33"/>
      <c r="N10" s="33">
        <f>$C$30*'E Balans VL '!Y14/100/3.6*1000000</f>
        <v>1001.3700652639925</v>
      </c>
      <c r="O10" s="33"/>
      <c r="P10" s="33"/>
      <c r="R10" s="32"/>
    </row>
    <row r="11" spans="1:18">
      <c r="A11" s="32" t="s">
        <v>54</v>
      </c>
      <c r="B11" s="37">
        <f t="shared" si="0"/>
        <v>697.13422684502905</v>
      </c>
      <c r="C11" s="33"/>
      <c r="D11" s="37">
        <f>IF(ISERROR(TER_onderwijs_gas_kWh/1000),0,TER_onderwijs_gas_kWh/1000)*0.903</f>
        <v>1897.154346693857</v>
      </c>
      <c r="E11" s="33">
        <f>$C$31*'E Balans VL '!I11/100/3.6*1000000</f>
        <v>0</v>
      </c>
      <c r="F11" s="33">
        <f>$C$31*('E Balans VL '!L11+'E Balans VL '!N11)/100/3.6*1000000</f>
        <v>29.133625898973836</v>
      </c>
      <c r="G11" s="34"/>
      <c r="H11" s="33"/>
      <c r="I11" s="33"/>
      <c r="J11" s="33">
        <f>$C$31*('E Balans VL '!D11+'E Balans VL '!E11)/100/3.6*1000000</f>
        <v>0</v>
      </c>
      <c r="K11" s="33"/>
      <c r="L11" s="33"/>
      <c r="M11" s="33"/>
      <c r="N11" s="33">
        <f>$C$31*'E Balans VL '!Y11/100/3.6*1000000</f>
        <v>1.7327124030947647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803</v>
      </c>
      <c r="B13" s="242">
        <f ca="1">'lokale energieproductie'!N38+'lokale energieproductie'!N31</f>
        <v>1080.5555556419999</v>
      </c>
      <c r="C13" s="242">
        <f ca="1">'lokale energieproductie'!O38+'lokale energieproductie'!O31</f>
        <v>1531.1111112336</v>
      </c>
      <c r="D13" s="301">
        <f ca="1">('lokale energieproductie'!P31+'lokale energieproductie'!P38)*(-1)</f>
        <v>-3205.8333335898001</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162968.52724030821</v>
      </c>
      <c r="C16" s="21">
        <f t="shared" ca="1" si="1"/>
        <v>1531.1111112336</v>
      </c>
      <c r="D16" s="21">
        <f t="shared" ca="1" si="1"/>
        <v>105724.9867482649</v>
      </c>
      <c r="E16" s="21">
        <f t="shared" ca="1" si="1"/>
        <v>37.507541967614941</v>
      </c>
      <c r="F16" s="21">
        <f t="shared" ca="1" si="1"/>
        <v>20321.13993211804</v>
      </c>
      <c r="G16" s="21">
        <f t="shared" si="1"/>
        <v>0</v>
      </c>
      <c r="H16" s="21">
        <f t="shared" si="1"/>
        <v>0</v>
      </c>
      <c r="I16" s="21">
        <f t="shared" si="1"/>
        <v>0</v>
      </c>
      <c r="J16" s="21">
        <f t="shared" si="1"/>
        <v>2.778328571897206E-2</v>
      </c>
      <c r="K16" s="21">
        <f t="shared" si="1"/>
        <v>0</v>
      </c>
      <c r="L16" s="21">
        <f t="shared" ca="1" si="1"/>
        <v>0</v>
      </c>
      <c r="M16" s="21">
        <f t="shared" si="1"/>
        <v>0</v>
      </c>
      <c r="N16" s="21">
        <f t="shared" ca="1" si="1"/>
        <v>1262.2289184235869</v>
      </c>
      <c r="O16" s="21">
        <f>O5</f>
        <v>4.8972607658411542</v>
      </c>
      <c r="P16" s="21">
        <f>P5</f>
        <v>683.0087979844352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0.21147976328109258</v>
      </c>
      <c r="C18" s="25">
        <f ca="1">'EF ele_warmte'!B22</f>
        <v>0.24795596681557122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34464.545563048669</v>
      </c>
      <c r="C20" s="23">
        <f t="shared" ref="C20:P20" ca="1" si="2">C16*C18</f>
        <v>379.64813588799092</v>
      </c>
      <c r="D20" s="23">
        <f t="shared" ca="1" si="2"/>
        <v>21356.44732314951</v>
      </c>
      <c r="E20" s="23">
        <f t="shared" ca="1" si="2"/>
        <v>8.5142120266485914</v>
      </c>
      <c r="F20" s="23">
        <f t="shared" ca="1" si="2"/>
        <v>5425.7443618755169</v>
      </c>
      <c r="G20" s="23">
        <f t="shared" si="2"/>
        <v>0</v>
      </c>
      <c r="H20" s="23">
        <f t="shared" si="2"/>
        <v>0</v>
      </c>
      <c r="I20" s="23">
        <f t="shared" si="2"/>
        <v>0</v>
      </c>
      <c r="J20" s="23">
        <f t="shared" si="2"/>
        <v>9.8352831445161094E-3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121229.99126925699</v>
      </c>
      <c r="C26" s="39">
        <f>IF(ISERROR(B26*3.6/1000000/'E Balans VL '!Z12*100),0,B26*3.6/1000000/'E Balans VL '!Z12*100)</f>
        <v>3.7266158684475816</v>
      </c>
      <c r="D26" s="232" t="s">
        <v>766</v>
      </c>
      <c r="F26" s="6"/>
    </row>
    <row r="27" spans="1:18" ht="30">
      <c r="A27" s="227" t="s">
        <v>52</v>
      </c>
      <c r="B27" s="33">
        <f>IF(ISERROR(TER_horeca_ele_kWh/1000),0,TER_horeca_ele_kWh/1000)</f>
        <v>6626.0816175155096</v>
      </c>
      <c r="C27" s="39">
        <f>IF(ISERROR(B27*3.6/1000000/'E Balans VL '!Z9*100),0,B27*3.6/1000000/'E Balans VL '!Z9*100)</f>
        <v>0.53802753993674113</v>
      </c>
      <c r="D27" s="232" t="s">
        <v>766</v>
      </c>
      <c r="F27" s="6"/>
    </row>
    <row r="28" spans="1:18" ht="30">
      <c r="A28" s="167" t="s">
        <v>51</v>
      </c>
      <c r="B28" s="33">
        <f>IF(ISERROR(TER_handel_ele_kWh/1000),0,TER_handel_ele_kWh/1000)</f>
        <v>27457.104929920701</v>
      </c>
      <c r="C28" s="39">
        <f>IF(ISERROR(B28*3.6/1000000/'E Balans VL '!Z13*100),0,B28*3.6/1000000/'E Balans VL '!Z13*100)</f>
        <v>0.90282552668854432</v>
      </c>
      <c r="D28" s="232" t="s">
        <v>766</v>
      </c>
      <c r="F28" s="6"/>
    </row>
    <row r="29" spans="1:18" ht="30">
      <c r="A29" s="227" t="s">
        <v>50</v>
      </c>
      <c r="B29" s="33">
        <f>IF(ISERROR(TER_gezond_ele_kWh/1000),0,TER_gezond_ele_kWh/1000)</f>
        <v>3285.4383899653399</v>
      </c>
      <c r="C29" s="39">
        <f>IF(ISERROR(B29*3.6/1000000/'E Balans VL '!Z10*100),0,B29*3.6/1000000/'E Balans VL '!Z10*100)</f>
        <v>0.32055945895246013</v>
      </c>
      <c r="D29" s="232" t="s">
        <v>766</v>
      </c>
      <c r="F29" s="6"/>
    </row>
    <row r="30" spans="1:18" ht="30">
      <c r="A30" s="227" t="s">
        <v>49</v>
      </c>
      <c r="B30" s="33">
        <f>IF(ISERROR(TER_ander_ele_kWh/1000),0,TER_ander_ele_kWh/1000)</f>
        <v>2592.2212511626399</v>
      </c>
      <c r="C30" s="39">
        <f>IF(ISERROR(B30*3.6/1000000/'E Balans VL '!Z14*100),0,B30*3.6/1000000/'E Balans VL '!Z14*100)</f>
        <v>0.11378820089681389</v>
      </c>
      <c r="D30" s="232" t="s">
        <v>766</v>
      </c>
      <c r="F30" s="6"/>
    </row>
    <row r="31" spans="1:18" ht="30">
      <c r="A31" s="227" t="s">
        <v>54</v>
      </c>
      <c r="B31" s="33">
        <f>IF(ISERROR(TER_onderwijs_ele_kWh/1000),0,TER_onderwijs_ele_kWh/1000)</f>
        <v>697.13422684502905</v>
      </c>
      <c r="C31" s="39">
        <f>IF(ISERROR(B31*3.6/1000000/'E Balans VL '!Z11*100),0,B31*3.6/1000000/'E Balans VL '!Z11*100)</f>
        <v>0.23882681191089919</v>
      </c>
      <c r="D31" s="232" t="s">
        <v>766</v>
      </c>
    </row>
    <row r="32" spans="1:18" ht="30">
      <c r="A32" s="227" t="s">
        <v>249</v>
      </c>
      <c r="B32" s="33">
        <f>IF(ISERROR(TER_rest_ele_kWh/1000),0,TER_rest_ele_kWh/1000)</f>
        <v>0</v>
      </c>
      <c r="C32" s="39">
        <f>IF(ISERROR(B32*3.6/1000000/'E Balans VL '!Z8*100),0,B32*3.6/1000000/'E Balans VL '!Z8*100)</f>
        <v>0</v>
      </c>
      <c r="D32" s="232" t="s">
        <v>766</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68" t="s">
        <v>156</v>
      </c>
      <c r="B1" s="1169" t="s">
        <v>188</v>
      </c>
      <c r="C1" s="1170"/>
      <c r="D1" s="1170"/>
      <c r="E1" s="1170"/>
      <c r="F1" s="1170"/>
      <c r="G1" s="1170"/>
      <c r="H1" s="1170"/>
      <c r="I1" s="1170"/>
      <c r="J1" s="1170"/>
      <c r="K1" s="1170"/>
      <c r="L1" s="1170"/>
      <c r="M1" s="1170"/>
      <c r="N1" s="1170"/>
      <c r="O1" s="1170"/>
      <c r="P1" s="1170"/>
      <c r="R1" s="719"/>
    </row>
    <row r="2" spans="1:18" s="307" customFormat="1" ht="15.75" thickTop="1">
      <c r="A2" s="1168"/>
      <c r="B2" s="1171" t="s">
        <v>20</v>
      </c>
      <c r="C2" s="1171" t="s">
        <v>189</v>
      </c>
      <c r="D2" s="1173" t="s">
        <v>190</v>
      </c>
      <c r="E2" s="1174"/>
      <c r="F2" s="1174"/>
      <c r="G2" s="1174"/>
      <c r="H2" s="1174"/>
      <c r="I2" s="1174"/>
      <c r="J2" s="1174"/>
      <c r="K2" s="1175"/>
      <c r="L2" s="1173" t="s">
        <v>191</v>
      </c>
      <c r="M2" s="1174"/>
      <c r="N2" s="1174"/>
      <c r="O2" s="1174"/>
      <c r="P2" s="1175"/>
      <c r="R2" s="719"/>
    </row>
    <row r="3" spans="1:18" s="307"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31404.365537510595</v>
      </c>
      <c r="C5" s="17">
        <f>IF(ISERROR('Eigen informatie GS &amp; warmtenet'!B61),0,'Eigen informatie GS &amp; warmtenet'!B61)</f>
        <v>0</v>
      </c>
      <c r="D5" s="30">
        <f>SUM(D6:D15)</f>
        <v>24049.176503175815</v>
      </c>
      <c r="E5" s="17">
        <f>SUM(E6:E15)</f>
        <v>289.73017453316237</v>
      </c>
      <c r="F5" s="17">
        <f>SUM(F6:F15)</f>
        <v>9465.5011337661526</v>
      </c>
      <c r="G5" s="18"/>
      <c r="H5" s="17"/>
      <c r="I5" s="17"/>
      <c r="J5" s="17">
        <f>SUM(J6:J15)</f>
        <v>6.4390745348362755</v>
      </c>
      <c r="K5" s="17"/>
      <c r="L5" s="17"/>
      <c r="M5" s="17"/>
      <c r="N5" s="17">
        <f>SUM(N6:N15)</f>
        <v>736.65489716818377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17124.637583898999</v>
      </c>
      <c r="C8" s="33"/>
      <c r="D8" s="37">
        <f>IF( ISERROR(IND_metaal_Gas_kWH/1000),0,IND_metaal_Gas_kWH/1000)*0.903</f>
        <v>10756.833498658016</v>
      </c>
      <c r="E8" s="33">
        <f>C30*'E Balans VL '!I18/100/3.6*1000000</f>
        <v>49.864212589381594</v>
      </c>
      <c r="F8" s="33">
        <f>C30*'E Balans VL '!L18/100/3.6*1000000+C30*'E Balans VL '!N18/100/3.6*1000000</f>
        <v>658.13503819984601</v>
      </c>
      <c r="G8" s="34"/>
      <c r="H8" s="33"/>
      <c r="I8" s="33"/>
      <c r="J8" s="40">
        <f>C30*'E Balans VL '!D18/100/3.6*1000000+C30*'E Balans VL '!E18/100/3.6*1000000</f>
        <v>4.6272704358961803E-14</v>
      </c>
      <c r="K8" s="33"/>
      <c r="L8" s="33"/>
      <c r="M8" s="33"/>
      <c r="N8" s="33">
        <f>C30*'E Balans VL '!Y18/100/3.6*1000000</f>
        <v>253.99887095379853</v>
      </c>
      <c r="O8" s="33"/>
      <c r="P8" s="33"/>
      <c r="R8" s="32"/>
    </row>
    <row r="9" spans="1:18">
      <c r="A9" s="6" t="s">
        <v>32</v>
      </c>
      <c r="B9" s="37">
        <f t="shared" si="0"/>
        <v>11357.3260795237</v>
      </c>
      <c r="C9" s="33"/>
      <c r="D9" s="37">
        <f>IF( ISERROR(IND_andere_gas_kWh/1000),0,IND_andere_gas_kWh/1000)*0.903</f>
        <v>11118.399842786603</v>
      </c>
      <c r="E9" s="33">
        <f>C31*'E Balans VL '!I19/100/3.6*1000000</f>
        <v>57.594738199939542</v>
      </c>
      <c r="F9" s="33">
        <f>C31*'E Balans VL '!L19/100/3.6*1000000+C31*'E Balans VL '!N19/100/3.6*1000000</f>
        <v>8595.4256597726089</v>
      </c>
      <c r="G9" s="34"/>
      <c r="H9" s="33"/>
      <c r="I9" s="33"/>
      <c r="J9" s="40">
        <f>C31*'E Balans VL '!D19/100/3.6*1000000+C31*'E Balans VL '!E19/100/3.6*1000000</f>
        <v>0</v>
      </c>
      <c r="K9" s="33"/>
      <c r="L9" s="33"/>
      <c r="M9" s="33"/>
      <c r="N9" s="33">
        <f>C31*'E Balans VL '!Y19/100/3.6*1000000</f>
        <v>418.07670706599316</v>
      </c>
      <c r="O9" s="33"/>
      <c r="P9" s="33"/>
      <c r="R9" s="32"/>
    </row>
    <row r="10" spans="1:18">
      <c r="A10" s="6" t="s">
        <v>40</v>
      </c>
      <c r="B10" s="37">
        <f t="shared" si="0"/>
        <v>1200.1538133418599</v>
      </c>
      <c r="C10" s="33"/>
      <c r="D10" s="37">
        <f>IF( ISERROR(IND_voed_gas_kWh/1000),0,IND_voed_gas_kWh/1000)*0.903</f>
        <v>901.81168940914893</v>
      </c>
      <c r="E10" s="33">
        <f>C32*'E Balans VL '!I20/100/3.6*1000000</f>
        <v>1.4034657907298473</v>
      </c>
      <c r="F10" s="33">
        <f>C32*'E Balans VL '!L20/100/3.6*1000000+C32*'E Balans VL '!N20/100/3.6*1000000</f>
        <v>56.042017070206427</v>
      </c>
      <c r="G10" s="34"/>
      <c r="H10" s="33"/>
      <c r="I10" s="33"/>
      <c r="J10" s="40">
        <f>C32*'E Balans VL '!D20/100/3.6*1000000+C32*'E Balans VL '!E20/100/3.6*1000000</f>
        <v>0</v>
      </c>
      <c r="K10" s="33"/>
      <c r="L10" s="33"/>
      <c r="M10" s="33"/>
      <c r="N10" s="33">
        <f>C32*'E Balans VL '!Y20/100/3.6*1000000</f>
        <v>68.828803824544678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82.028342700396692</v>
      </c>
      <c r="C12" s="33"/>
      <c r="D12" s="37">
        <f>IF( ISERROR(IND_min_gas_kWh/1000),0,IND_min_gas_kWh/1000)*0.903</f>
        <v>0</v>
      </c>
      <c r="E12" s="33">
        <f>C34*'E Balans VL '!I22/100/3.6*1000000</f>
        <v>0.86430284079634756</v>
      </c>
      <c r="F12" s="33">
        <f>C34*'E Balans VL '!L22/100/3.6*1000000+C34*'E Balans VL '!N22/100/3.6*1000000</f>
        <v>9.3126256458851682</v>
      </c>
      <c r="G12" s="34"/>
      <c r="H12" s="33"/>
      <c r="I12" s="33"/>
      <c r="J12" s="40">
        <f>C34*'E Balans VL '!D22/100/3.6*1000000+C34*'E Balans VL '!E22/100/3.6*1000000</f>
        <v>2.7958584144170961</v>
      </c>
      <c r="K12" s="33"/>
      <c r="L12" s="33"/>
      <c r="M12" s="33"/>
      <c r="N12" s="33">
        <f>C34*'E Balans VL '!Y22/100/3.6*1000000</f>
        <v>40.195710833210612</v>
      </c>
      <c r="O12" s="33"/>
      <c r="P12" s="33"/>
      <c r="R12" s="32"/>
    </row>
    <row r="13" spans="1:18">
      <c r="A13" s="6" t="s">
        <v>38</v>
      </c>
      <c r="B13" s="37">
        <f t="shared" si="0"/>
        <v>574.31521513497091</v>
      </c>
      <c r="C13" s="33"/>
      <c r="D13" s="37">
        <f>IF( ISERROR(IND_papier_gas_kWh/1000),0,IND_papier_gas_kWh/1000)*0.903</f>
        <v>409.62352683822098</v>
      </c>
      <c r="E13" s="33">
        <f>C35*'E Balans VL '!I23/100/3.6*1000000</f>
        <v>0</v>
      </c>
      <c r="F13" s="33">
        <f>C35*'E Balans VL '!L23/100/3.6*1000000+C35*'E Balans VL '!N23/100/3.6*1000000</f>
        <v>68.613805861793537</v>
      </c>
      <c r="G13" s="34"/>
      <c r="H13" s="33"/>
      <c r="I13" s="33"/>
      <c r="J13" s="40">
        <f>C35*'E Balans VL '!D23/100/3.6*1000000+C35*'E Balans VL '!E23/100/3.6*1000000</f>
        <v>3.4658995886729564</v>
      </c>
      <c r="K13" s="33"/>
      <c r="L13" s="33"/>
      <c r="M13" s="33"/>
      <c r="N13" s="33">
        <f>C35*'E Balans VL '!Y23/100/3.6*1000000</f>
        <v>-46.155984226113489</v>
      </c>
      <c r="O13" s="33"/>
      <c r="P13" s="33"/>
      <c r="R13" s="32"/>
    </row>
    <row r="14" spans="1:18">
      <c r="A14" s="6" t="s">
        <v>33</v>
      </c>
      <c r="B14" s="37">
        <f t="shared" si="0"/>
        <v>1033.89850291067</v>
      </c>
      <c r="C14" s="33"/>
      <c r="D14" s="37">
        <f>IF( ISERROR(IND_chemie_gas_kWh/1000),0,IND_chemie_gas_kWh/1000)*0.903</f>
        <v>739.1036477732448</v>
      </c>
      <c r="E14" s="33">
        <f>C36*'E Balans VL '!I24/100/3.6*1000000</f>
        <v>178.33648918681257</v>
      </c>
      <c r="F14" s="33">
        <f>C36*'E Balans VL '!L24/100/3.6*1000000+C36*'E Balans VL '!N24/100/3.6*1000000</f>
        <v>71.726603934077346</v>
      </c>
      <c r="G14" s="34"/>
      <c r="H14" s="33"/>
      <c r="I14" s="33"/>
      <c r="J14" s="40">
        <f>C36*'E Balans VL '!D24/100/3.6*1000000+C36*'E Balans VL '!E24/100/3.6*1000000</f>
        <v>0</v>
      </c>
      <c r="K14" s="33"/>
      <c r="L14" s="33"/>
      <c r="M14" s="33"/>
      <c r="N14" s="33">
        <f>C36*'E Balans VL '!Y24/100/3.6*1000000</f>
        <v>0.61195938110840842</v>
      </c>
      <c r="O14" s="33"/>
      <c r="P14" s="33"/>
      <c r="R14" s="32"/>
    </row>
    <row r="15" spans="1:18">
      <c r="A15" s="6" t="s">
        <v>259</v>
      </c>
      <c r="B15" s="37">
        <f t="shared" si="0"/>
        <v>32.006</v>
      </c>
      <c r="C15" s="33"/>
      <c r="D15" s="37">
        <f>IF( ISERROR(IND_rest_gas_kWh/1000),0,IND_rest_gas_kWh/1000)*0.903</f>
        <v>123.40429771058031</v>
      </c>
      <c r="E15" s="33">
        <f>C37*'E Balans VL '!I15/100/3.6*1000000</f>
        <v>1.6669659255024185</v>
      </c>
      <c r="F15" s="33">
        <f>C37*'E Balans VL '!L15/100/3.6*1000000+C37*'E Balans VL '!N15/100/3.6*1000000</f>
        <v>6.2453832817336226</v>
      </c>
      <c r="G15" s="34"/>
      <c r="H15" s="33"/>
      <c r="I15" s="33"/>
      <c r="J15" s="40">
        <f>C37*'E Balans VL '!D15/100/3.6*1000000+C37*'E Balans VL '!E15/100/3.6*1000000</f>
        <v>0.1773165317461762</v>
      </c>
      <c r="K15" s="33"/>
      <c r="L15" s="33"/>
      <c r="M15" s="33"/>
      <c r="N15" s="33">
        <f>C37*'E Balans VL '!Y15/100/3.6*1000000</f>
        <v>1.0988293356418823</v>
      </c>
      <c r="O15" s="33"/>
      <c r="P15" s="33"/>
      <c r="R15" s="32"/>
    </row>
    <row r="16" spans="1:18">
      <c r="A16" s="16" t="s">
        <v>804</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31404.365537510595</v>
      </c>
      <c r="C18" s="21">
        <f>C5+C16</f>
        <v>0</v>
      </c>
      <c r="D18" s="21">
        <f>MAX((D5+D16),0)</f>
        <v>24049.176503175815</v>
      </c>
      <c r="E18" s="21">
        <f>MAX((E5+E16),0)</f>
        <v>289.73017453316237</v>
      </c>
      <c r="F18" s="21">
        <f>MAX((F5+F16),0)</f>
        <v>9465.5011337661526</v>
      </c>
      <c r="G18" s="21"/>
      <c r="H18" s="21"/>
      <c r="I18" s="21"/>
      <c r="J18" s="21">
        <f>MAX((J5+J16),0)</f>
        <v>6.4390745348362755</v>
      </c>
      <c r="K18" s="21"/>
      <c r="L18" s="21">
        <f>MAX((L5+L16),0)</f>
        <v>0</v>
      </c>
      <c r="M18" s="21"/>
      <c r="N18" s="21">
        <f>MAX((N5+N16),0)</f>
        <v>736.65489716818377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0.21147976328109258</v>
      </c>
      <c r="C20" s="25">
        <f ca="1">'EF ele_warmte'!B22</f>
        <v>0.24795596681557122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6641.3877898656428</v>
      </c>
      <c r="C22" s="23">
        <f ca="1">C18*C20</f>
        <v>0</v>
      </c>
      <c r="D22" s="23">
        <f>D18*D20</f>
        <v>4857.9336536415149</v>
      </c>
      <c r="E22" s="23">
        <f>E18*E20</f>
        <v>65.768749619027858</v>
      </c>
      <c r="F22" s="23">
        <f>F18*F20</f>
        <v>2527.2888027155627</v>
      </c>
      <c r="G22" s="23"/>
      <c r="H22" s="23"/>
      <c r="I22" s="23"/>
      <c r="J22" s="23">
        <f>J18*J20</f>
        <v>2.2794323853320413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766</v>
      </c>
    </row>
    <row r="29" spans="1:18" ht="30">
      <c r="A29" s="167" t="s">
        <v>37</v>
      </c>
      <c r="B29" s="37">
        <f>IF( ISERROR(IND_nonf_ele_kWh/1000),0,IND_nonf_ele_kWh/1000)</f>
        <v>0</v>
      </c>
      <c r="C29" s="39">
        <f>IF(ISERROR(B29*3.6/1000000/'E Balans VL '!Z17*100),0,B29*3.6/1000000/'E Balans VL '!Z17*100)</f>
        <v>0</v>
      </c>
      <c r="D29" s="232" t="s">
        <v>766</v>
      </c>
    </row>
    <row r="30" spans="1:18" ht="30">
      <c r="A30" s="167" t="s">
        <v>35</v>
      </c>
      <c r="B30" s="37">
        <f>IF( ISERROR(IND_metaal_ele_kWh/1000),0,IND_metaal_ele_kWh/1000)</f>
        <v>17124.637583898999</v>
      </c>
      <c r="C30" s="39">
        <f>IF(ISERROR(B30*3.6/1000000/'E Balans VL '!Z18*100),0,B30*3.6/1000000/'E Balans VL '!Z18*100)</f>
        <v>1.200347908464646</v>
      </c>
      <c r="D30" s="232" t="s">
        <v>766</v>
      </c>
    </row>
    <row r="31" spans="1:18" ht="30">
      <c r="A31" s="6" t="s">
        <v>32</v>
      </c>
      <c r="B31" s="37">
        <f>IF( ISERROR(IND_ander_ele_kWh/1000),0,IND_ander_ele_kWh/1000)</f>
        <v>11357.3260795237</v>
      </c>
      <c r="C31" s="39">
        <f>IF(ISERROR(B31*3.6/1000000/'E Balans VL '!Z19*100),0,B31*3.6/1000000/'E Balans VL '!Z19*100)</f>
        <v>0.53212158848019864</v>
      </c>
      <c r="D31" s="232" t="s">
        <v>766</v>
      </c>
    </row>
    <row r="32" spans="1:18" ht="30">
      <c r="A32" s="167" t="s">
        <v>40</v>
      </c>
      <c r="B32" s="37">
        <f>IF( ISERROR(IND_voed_ele_kWh/1000),0,IND_voed_ele_kWh/1000)</f>
        <v>1200.1538133418599</v>
      </c>
      <c r="C32" s="39">
        <f>IF(ISERROR(B32*3.6/1000000/'E Balans VL '!Z20*100),0,B32*3.6/1000000/'E Balans VL '!Z20*100)</f>
        <v>3.9614872956236565E-2</v>
      </c>
      <c r="D32" s="232" t="s">
        <v>766</v>
      </c>
    </row>
    <row r="33" spans="1:5" ht="30">
      <c r="A33" s="167" t="s">
        <v>39</v>
      </c>
      <c r="B33" s="37">
        <f>IF( ISERROR(IND_textiel_ele_kWh/1000),0,IND_textiel_ele_kWh/1000)</f>
        <v>0</v>
      </c>
      <c r="C33" s="39">
        <f>IF(ISERROR(B33*3.6/1000000/'E Balans VL '!Z21*100),0,B33*3.6/1000000/'E Balans VL '!Z21*100)</f>
        <v>0</v>
      </c>
      <c r="D33" s="232" t="s">
        <v>766</v>
      </c>
    </row>
    <row r="34" spans="1:5" ht="30">
      <c r="A34" s="167" t="s">
        <v>36</v>
      </c>
      <c r="B34" s="37">
        <f>IF( ISERROR(IND_min_ele_kWh/1000),0,IND_min_ele_kWh/1000)</f>
        <v>82.028342700396692</v>
      </c>
      <c r="C34" s="39">
        <f>IF(ISERROR(B34*3.6/1000000/'E Balans VL '!Z22*100),0,B34*3.6/1000000/'E Balans VL '!Z22*100)</f>
        <v>3.4421156225510584E-2</v>
      </c>
      <c r="D34" s="232" t="s">
        <v>766</v>
      </c>
    </row>
    <row r="35" spans="1:5" ht="30">
      <c r="A35" s="167" t="s">
        <v>38</v>
      </c>
      <c r="B35" s="37">
        <f>IF( ISERROR(IND_papier_ele_kWh/1000),0,IND_papier_ele_kWh/1000)</f>
        <v>574.31521513497091</v>
      </c>
      <c r="C35" s="39">
        <f>IF(ISERROR(B35*3.6/1000000/'E Balans VL '!Z22*100),0,B35*3.6/1000000/'E Balans VL '!Z22*100)</f>
        <v>0.24099711260840767</v>
      </c>
      <c r="D35" s="232" t="s">
        <v>766</v>
      </c>
    </row>
    <row r="36" spans="1:5" ht="30">
      <c r="A36" s="167" t="s">
        <v>33</v>
      </c>
      <c r="B36" s="37">
        <f>IF( ISERROR(IND_chemie_ele_kWh/1000),0,IND_chemie_ele_kWh/1000)</f>
        <v>1033.89850291067</v>
      </c>
      <c r="C36" s="39">
        <f>IF(ISERROR(B36*3.6/1000000/'E Balans VL '!Z24*100),0,B36*3.6/1000000/'E Balans VL '!Z24*100)</f>
        <v>3.3288315729847986E-2</v>
      </c>
      <c r="D36" s="232" t="s">
        <v>766</v>
      </c>
    </row>
    <row r="37" spans="1:5" ht="30">
      <c r="A37" s="167" t="s">
        <v>259</v>
      </c>
      <c r="B37" s="37">
        <f>IF( ISERROR(IND_rest_ele_kWh/1000),0,IND_rest_ele_kWh/1000)</f>
        <v>32.006</v>
      </c>
      <c r="C37" s="39">
        <f>IF(ISERROR(B37*3.6/1000000/'E Balans VL '!Z15*100),0,B37*3.6/1000000/'E Balans VL '!Z15*100)</f>
        <v>2.9464316042601647E-4</v>
      </c>
      <c r="D37" s="232" t="s">
        <v>766</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68" t="s">
        <v>260</v>
      </c>
      <c r="B1" s="1169" t="s">
        <v>188</v>
      </c>
      <c r="C1" s="1170"/>
      <c r="D1" s="1170"/>
      <c r="E1" s="1170"/>
      <c r="F1" s="1170"/>
      <c r="G1" s="1170"/>
      <c r="H1" s="1170"/>
      <c r="I1" s="1170"/>
      <c r="J1" s="1170"/>
      <c r="K1" s="1170"/>
      <c r="L1" s="1170"/>
      <c r="M1" s="1170"/>
      <c r="N1" s="1170"/>
      <c r="O1" s="1170"/>
      <c r="P1" s="1170"/>
    </row>
    <row r="2" spans="1:18" s="307"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7"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387.92515600030003</v>
      </c>
      <c r="C5" s="17">
        <f>'Eigen informatie GS &amp; warmtenet'!B62</f>
        <v>0</v>
      </c>
      <c r="D5" s="30">
        <f>IF(ISERROR(SUM(LB_lb_gas_kWh,LB_rest_gas_kWh)/1000),0,SUM(LB_lb_gas_kWh,LB_rest_gas_kWh)/1000)*0.903</f>
        <v>223.82098645247135</v>
      </c>
      <c r="E5" s="17">
        <f>B17*'E Balans VL '!I25/3.6*1000000/100</f>
        <v>13.081430487949353</v>
      </c>
      <c r="F5" s="17">
        <f>B17*('E Balans VL '!L25/3.6*1000000+'E Balans VL '!N25/3.6*1000000)/100</f>
        <v>1344.0414181265101</v>
      </c>
      <c r="G5" s="18"/>
      <c r="H5" s="17"/>
      <c r="I5" s="17"/>
      <c r="J5" s="17">
        <f>('E Balans VL '!D25+'E Balans VL '!E25)/3.6*1000000*landbouw!B17/100</f>
        <v>84.200507203644662</v>
      </c>
      <c r="K5" s="17"/>
      <c r="L5" s="17">
        <f>L6*(-1)</f>
        <v>0</v>
      </c>
      <c r="M5" s="17"/>
      <c r="N5" s="17">
        <f>N6*(-1)</f>
        <v>0</v>
      </c>
      <c r="O5" s="17"/>
      <c r="P5" s="17"/>
      <c r="R5" s="32"/>
    </row>
    <row r="6" spans="1:18">
      <c r="A6" s="16" t="s">
        <v>804</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387.92515600030003</v>
      </c>
      <c r="C8" s="21">
        <f>C5+C6</f>
        <v>0</v>
      </c>
      <c r="D8" s="21">
        <f>MAX((D5+D6),0)</f>
        <v>223.82098645247135</v>
      </c>
      <c r="E8" s="21">
        <f>MAX((E5+E6),0)</f>
        <v>13.081430487949353</v>
      </c>
      <c r="F8" s="21">
        <f>MAX((F5+F6),0)</f>
        <v>1344.0414181265101</v>
      </c>
      <c r="G8" s="21"/>
      <c r="H8" s="21"/>
      <c r="I8" s="21"/>
      <c r="J8" s="21">
        <f>MAX((J5+J6),0)</f>
        <v>84.200507203644662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0.21147976328109258</v>
      </c>
      <c r="C10" s="31">
        <f ca="1">'EF ele_warmte'!B22</f>
        <v>0.24795596681557122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82.038320161724357</v>
      </c>
      <c r="C12" s="23">
        <f ca="1">C8*C10</f>
        <v>0</v>
      </c>
      <c r="D12" s="23">
        <f>D8*D10</f>
        <v>45.211839263399213</v>
      </c>
      <c r="E12" s="23">
        <f>E8*E10</f>
        <v>2.9694847207645032</v>
      </c>
      <c r="F12" s="23">
        <f>F8*F10</f>
        <v>358.8590586397782</v>
      </c>
      <c r="G12" s="23"/>
      <c r="H12" s="23"/>
      <c r="I12" s="23"/>
      <c r="J12" s="23">
        <f>J8*J10</f>
        <v>29.806979550090208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5.5414919559432271E-2</v>
      </c>
      <c r="C17" s="862" t="s">
        <v>766</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290</v>
      </c>
      <c r="B22" s="1179" t="s">
        <v>291</v>
      </c>
      <c r="C22" s="1179" t="s">
        <v>459</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1.7176354799244105</v>
      </c>
      <c r="C26" s="242">
        <f>B26*'GWP N2O_CH4'!B5</f>
        <v>36.070345078412622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0.1244633534964262</v>
      </c>
      <c r="C27" s="242">
        <f>B27*'GWP N2O_CH4'!B5</f>
        <v>2.6137304234249501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1.9584188579683009E-2</v>
      </c>
      <c r="C28" s="242">
        <f>B28*'GWP N2O_CH4'!B4</f>
        <v>6.0710984597017328</v>
      </c>
      <c r="D28" s="50"/>
    </row>
    <row r="29" spans="1:4">
      <c r="A29" s="41" t="s">
        <v>266</v>
      </c>
      <c r="B29" s="242">
        <f>B34*'ha_N2O bodem landbouw'!B4</f>
        <v>4.8280496688592427</v>
      </c>
      <c r="C29" s="242">
        <f>B29*'GWP N2O_CH4'!B4</f>
        <v>1496.6953973463653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1.0585314730806219E-3</v>
      </c>
      <c r="C34" s="876" t="s">
        <v>749</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85" zoomScaleNormal="85"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68" t="s">
        <v>463</v>
      </c>
      <c r="B1" s="1169" t="s">
        <v>507</v>
      </c>
      <c r="C1" s="1170"/>
      <c r="D1" s="1170"/>
      <c r="E1" s="1170"/>
      <c r="F1" s="1170"/>
      <c r="G1" s="1170"/>
      <c r="H1" s="1170"/>
      <c r="I1" s="1170"/>
      <c r="J1" s="1170"/>
      <c r="K1" s="1170"/>
      <c r="L1" s="1170"/>
      <c r="M1" s="1170"/>
      <c r="N1" s="1170"/>
      <c r="O1" s="1170"/>
      <c r="P1" s="1170"/>
    </row>
    <row r="2" spans="1:18" s="307"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7" customFormat="1" ht="45">
      <c r="A3" s="1168"/>
      <c r="B3" s="1172"/>
      <c r="C3" s="1172"/>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1.1553602752842637E-2</v>
      </c>
      <c r="C5" s="428" t="s">
        <v>204</v>
      </c>
      <c r="D5" s="413">
        <f>SUM(D6:D11)</f>
        <v>9.2792043300784256E-3</v>
      </c>
      <c r="E5" s="413">
        <f>SUM(E6:E11)</f>
        <v>3.630843843253866E-3</v>
      </c>
      <c r="F5" s="426" t="s">
        <v>204</v>
      </c>
      <c r="G5" s="413">
        <f>SUM(G6:G11)</f>
        <v>1.3440661466389732</v>
      </c>
      <c r="H5" s="413">
        <f>SUM(H6:H11)</f>
        <v>0.45944979209623249</v>
      </c>
      <c r="I5" s="428" t="s">
        <v>204</v>
      </c>
      <c r="J5" s="428" t="s">
        <v>204</v>
      </c>
      <c r="K5" s="428" t="s">
        <v>204</v>
      </c>
      <c r="L5" s="428" t="s">
        <v>204</v>
      </c>
      <c r="M5" s="413">
        <f>SUM(M6:M11)</f>
        <v>0.18998779729024118</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1.7759106284369727E-3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1.6371218638321218E-3</v>
      </c>
      <c r="E6" s="839">
        <f>vkm_GW_PW*SUMIFS(TableVerdeelsleutelVkm[LPG],TableVerdeelsleutelVkm[Voertuigtype],"Lichte voertuigen")*SUMIFS(TableECFTransport[EnergieConsumptieFactor (PJ per km)],TableECFTransport[Index],CONCATENATE($A6,"_LPG_LPG"))</f>
        <v>5.50383128613596E-4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0.15576877225790103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7.7884721571277959E-2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2.4138372379126759E-2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2.0335752507720668E-6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4.4979436105051569E-2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3.2417928796409485E-7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5.0349759480450068E-3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8.2544296304646768E-4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9.8731405910578037E-4</v>
      </c>
      <c r="E8" s="416">
        <f>vkm_NGW_PW*SUMIFS(TableVerdeelsleutelVkm[LPG],TableVerdeelsleutelVkm[Voertuigtype],"Lichte voertuigen")*SUMIFS(TableECFTransport[EnergieConsumptieFactor (PJ per km)],TableECFTransport[Index],CONCATENATE($A8,"_LPG_LPG"))</f>
        <v>3.1698793336249403E-4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8.2121646666220335E-2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4.608128534286185E-2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1.3157787369109122E-2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1.1563757260841393E-7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3.2927211059046108E-3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2.225053353447978E-8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3.6858545316189039E-4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8.9328604701240828E-3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6.6547684071405237E-3</v>
      </c>
      <c r="E10" s="416">
        <f>vkm_SW_PW*SUMIFS(TableVerdeelsleutelVkm[LPG],TableVerdeelsleutelVkm[Voertuigtype],"Lichte voertuigen")*SUMIFS(TableECFTransport[EnergieConsumptieFactor (PJ per km)],TableECFTransport[Index],CONCATENATE($A10,"_LPG_LPG"))</f>
        <v>2.7634727812777759E-3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0.69919872840568498</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0.3354806100999021</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0.10713481165536129</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1.7239478411731972E-5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0.35870484209821074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2.8286523690609576E-6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4.0153264485437087E-2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3209.3340980118437</v>
      </c>
      <c r="C14" s="21"/>
      <c r="D14" s="21">
        <f t="shared" ref="D14:M14" si="0">((D5)*10^9/3600)+D12</f>
        <v>2577.5567583551178</v>
      </c>
      <c r="E14" s="21">
        <f t="shared" si="0"/>
        <v>1008.5677342371849</v>
      </c>
      <c r="F14" s="21"/>
      <c r="G14" s="21">
        <f t="shared" si="0"/>
        <v>373351.7073997148</v>
      </c>
      <c r="H14" s="21">
        <f t="shared" si="0"/>
        <v>127624.94224895346</v>
      </c>
      <c r="I14" s="21"/>
      <c r="J14" s="21"/>
      <c r="K14" s="21"/>
      <c r="L14" s="21"/>
      <c r="M14" s="21">
        <f t="shared" si="0"/>
        <v>52774.38813617811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0.21147976328109258</v>
      </c>
      <c r="C16" s="56">
        <f ca="1">'EF ele_warmte'!B22</f>
        <v>0.24795596681557122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678.70921533748344</v>
      </c>
      <c r="C18" s="23"/>
      <c r="D18" s="23">
        <f t="shared" ref="D18:M18" si="1">D14*D16</f>
        <v>520.66646518773382</v>
      </c>
      <c r="E18" s="23">
        <f t="shared" si="1"/>
        <v>228.94487567184098</v>
      </c>
      <c r="F18" s="23"/>
      <c r="G18" s="23">
        <f t="shared" si="1"/>
        <v>99684.905875723853</v>
      </c>
      <c r="H18" s="23">
        <f t="shared" si="1"/>
        <v>31778.610619989413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33">
        <v>5.4120669999999996E-3</v>
      </c>
      <c r="C24" s="1033">
        <v>0.64447559600000004</v>
      </c>
      <c r="D24" s="1033"/>
      <c r="E24" s="1033">
        <v>5.5544979999999997E-3</v>
      </c>
      <c r="F24" s="1033"/>
      <c r="G24" s="1033">
        <v>1.2303981E-2</v>
      </c>
      <c r="H24" s="1033">
        <v>8.2687000000000001E-12</v>
      </c>
      <c r="I24" s="1033">
        <v>2.0482819999999998E-3</v>
      </c>
      <c r="J24" s="1033">
        <v>0.30784103200000001</v>
      </c>
      <c r="K24" s="1033">
        <v>1.0886269000000001E-2</v>
      </c>
      <c r="L24" s="1033">
        <v>1.1478276000000001E-2</v>
      </c>
      <c r="M24" s="264" t="s">
        <v>817</v>
      </c>
      <c r="N24" s="838">
        <f>SUM(B24:L24)</f>
        <v>1.0000000010082686</v>
      </c>
      <c r="O24" s="836"/>
    </row>
    <row r="25" spans="1:18">
      <c r="A25" s="32" t="s">
        <v>589</v>
      </c>
      <c r="B25" s="1033"/>
      <c r="C25" s="1033">
        <v>0.99989598400000002</v>
      </c>
      <c r="D25" s="1033"/>
      <c r="E25" s="1033"/>
      <c r="F25" s="1033"/>
      <c r="G25" s="1033">
        <v>9.2685900000000006E-5</v>
      </c>
      <c r="H25" s="1033"/>
      <c r="I25" s="1033"/>
      <c r="J25" s="1033">
        <v>1.1330300000000001E-5</v>
      </c>
      <c r="K25" s="1033"/>
      <c r="L25" s="1033"/>
      <c r="M25" s="264" t="s">
        <v>817</v>
      </c>
      <c r="N25" s="838">
        <f>SUM(B25:L25)</f>
        <v>1.0000000002</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818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464</v>
      </c>
      <c r="B46" s="1183" t="s">
        <v>506</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6.6596723982261798E-4</v>
      </c>
      <c r="C50" s="312">
        <f t="shared" ref="C50:P50" si="2">SUM(C51:C52)</f>
        <v>0</v>
      </c>
      <c r="D50" s="312">
        <f t="shared" si="2"/>
        <v>0</v>
      </c>
      <c r="E50" s="312">
        <f t="shared" si="2"/>
        <v>0</v>
      </c>
      <c r="F50" s="312">
        <f t="shared" si="2"/>
        <v>0</v>
      </c>
      <c r="G50" s="312">
        <f t="shared" si="2"/>
        <v>2.734910188374683E-2</v>
      </c>
      <c r="H50" s="312">
        <f t="shared" si="2"/>
        <v>0</v>
      </c>
      <c r="I50" s="312">
        <f t="shared" si="2"/>
        <v>0</v>
      </c>
      <c r="J50" s="312">
        <f t="shared" si="2"/>
        <v>0</v>
      </c>
      <c r="K50" s="312">
        <f t="shared" si="2"/>
        <v>0</v>
      </c>
      <c r="L50" s="312">
        <f t="shared" si="2"/>
        <v>0</v>
      </c>
      <c r="M50" s="312">
        <f t="shared" si="2"/>
        <v>3.0614280482545819E-3</v>
      </c>
      <c r="N50" s="312">
        <f t="shared" si="2"/>
        <v>0</v>
      </c>
      <c r="O50" s="312">
        <f t="shared" si="2"/>
        <v>0</v>
      </c>
      <c r="P50" s="313">
        <f t="shared" si="2"/>
        <v>0</v>
      </c>
    </row>
    <row r="51" spans="1:18">
      <c r="A51" s="256" t="s">
        <v>317</v>
      </c>
      <c r="B51" s="1002">
        <f>vkm_bus
*($B$65*(SUMIFS(TableECFTransport[EnergieConsumptieFactor (PJ per km)],TableECFTransport[Index],"BUS_Niet-genummerde wegen_DIESEL HYBRID PHEV_ELECTRIC")*0.5+SUMIFS(TableECFTransport[EnergieConsumptieFactor (PJ per km)],TableECFTransport[Index],"BUS_Genummerde wegen_DIESEL HYBRID PHEV_ELECTRIC")*0.5))</f>
        <v>6.6596723982261798E-4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2.734910188374683E-2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3.0614280482545819E-3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184.99089995072723</v>
      </c>
      <c r="C54" s="21">
        <f t="shared" ref="C54:P54" si="3">(C50)*10^9/3600</f>
        <v>0</v>
      </c>
      <c r="D54" s="21">
        <f t="shared" si="3"/>
        <v>0</v>
      </c>
      <c r="E54" s="21">
        <f t="shared" si="3"/>
        <v>0</v>
      </c>
      <c r="F54" s="21">
        <f t="shared" si="3"/>
        <v>0</v>
      </c>
      <c r="G54" s="21">
        <f t="shared" si="3"/>
        <v>7596.97274548523</v>
      </c>
      <c r="H54" s="21">
        <f t="shared" si="3"/>
        <v>0</v>
      </c>
      <c r="I54" s="21">
        <f t="shared" si="3"/>
        <v>0</v>
      </c>
      <c r="J54" s="21">
        <f t="shared" si="3"/>
        <v>0</v>
      </c>
      <c r="K54" s="21">
        <f t="shared" si="3"/>
        <v>0</v>
      </c>
      <c r="L54" s="21">
        <f t="shared" si="3"/>
        <v>0</v>
      </c>
      <c r="M54" s="21">
        <f t="shared" si="3"/>
        <v>850.39668007071725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0.21147976328109258</v>
      </c>
      <c r="C56" s="56">
        <f ca="1">'EF ele_warmte'!B22</f>
        <v>0.24795596681557122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39.121831730736076</v>
      </c>
      <c r="C58" s="23">
        <f t="shared" ref="C58:P58" ca="1" si="4">C54*C56</f>
        <v>0</v>
      </c>
      <c r="D58" s="23">
        <f t="shared" si="4"/>
        <v>0</v>
      </c>
      <c r="E58" s="23">
        <f t="shared" si="4"/>
        <v>0</v>
      </c>
      <c r="F58" s="23">
        <f t="shared" si="4"/>
        <v>0</v>
      </c>
      <c r="G58" s="23">
        <f t="shared" si="4"/>
        <v>2028.3917230445566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715</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0"/>
  <sheetViews>
    <sheetView showGridLines="0" zoomScale="65" zoomScaleNormal="65" workbookViewId="0">
      <selection activeCell="M28" sqref="M28"/>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508</v>
      </c>
      <c r="Q1" s="1203"/>
      <c r="S1" s="1201"/>
      <c r="T1" s="1201"/>
      <c r="U1" s="1201"/>
    </row>
    <row r="2" spans="1:21" s="525" customFormat="1" ht="15.75" thickBot="1">
      <c r="A2" s="1215"/>
      <c r="B2" s="1215"/>
      <c r="C2" s="1232" t="s">
        <v>190</v>
      </c>
      <c r="D2" s="1233"/>
      <c r="E2" s="1233"/>
      <c r="F2" s="1233"/>
      <c r="G2" s="1234"/>
      <c r="H2" s="1235" t="s">
        <v>234</v>
      </c>
      <c r="I2" s="1230" t="s">
        <v>235</v>
      </c>
      <c r="J2" s="1230" t="s">
        <v>223</v>
      </c>
      <c r="K2" s="1230" t="s">
        <v>236</v>
      </c>
      <c r="L2" s="1230" t="s">
        <v>120</v>
      </c>
      <c r="M2" s="1230" t="s">
        <v>639</v>
      </c>
      <c r="N2" s="1225" t="s">
        <v>640</v>
      </c>
      <c r="O2" s="1205"/>
      <c r="P2" s="1204"/>
      <c r="Q2" s="1205"/>
      <c r="S2" s="1201"/>
      <c r="T2" s="1201"/>
      <c r="U2" s="1201"/>
    </row>
    <row r="3" spans="1:21" s="525" customFormat="1" ht="53.45" customHeight="1" thickBot="1">
      <c r="A3" s="1216"/>
      <c r="B3" s="1206"/>
      <c r="C3" s="526" t="s">
        <v>192</v>
      </c>
      <c r="D3" s="527" t="s">
        <v>193</v>
      </c>
      <c r="E3" s="528" t="s">
        <v>194</v>
      </c>
      <c r="F3" s="529" t="s">
        <v>196</v>
      </c>
      <c r="G3" s="530" t="s">
        <v>197</v>
      </c>
      <c r="H3" s="1221"/>
      <c r="I3" s="1231"/>
      <c r="J3" s="1231"/>
      <c r="K3" s="1231"/>
      <c r="L3" s="1231"/>
      <c r="M3" s="1231"/>
      <c r="N3" s="1226"/>
      <c r="O3" s="1207"/>
      <c r="P3" s="1206"/>
      <c r="Q3" s="1207"/>
      <c r="S3" s="1201"/>
      <c r="T3" s="1201"/>
      <c r="U3" s="1201"/>
    </row>
    <row r="4" spans="1:21" s="525" customFormat="1" ht="15.75" thickTop="1">
      <c r="A4" s="531" t="s">
        <v>238</v>
      </c>
      <c r="B4" s="532">
        <f>IF(ISERROR(kWh_wind_land),0,kWh_wind_land)</f>
        <v>0</v>
      </c>
      <c r="C4" s="1242"/>
      <c r="D4" s="1227"/>
      <c r="E4" s="1227"/>
      <c r="F4" s="1245"/>
      <c r="G4" s="1248"/>
      <c r="H4" s="1239"/>
      <c r="I4" s="1227"/>
      <c r="J4" s="1227"/>
      <c r="K4" s="1227"/>
      <c r="L4" s="1227"/>
      <c r="M4" s="1227"/>
      <c r="N4" s="902"/>
      <c r="O4" s="533"/>
      <c r="P4" s="1208"/>
      <c r="Q4" s="1209"/>
      <c r="S4" s="534"/>
      <c r="T4" s="1198"/>
      <c r="U4" s="1198"/>
    </row>
    <row r="5" spans="1:21" s="525" customFormat="1">
      <c r="A5" s="535" t="s">
        <v>239</v>
      </c>
      <c r="B5" s="532">
        <f>IF(ISERROR(kWh_waterkracht),0,kWh_waterkracht)</f>
        <v>0</v>
      </c>
      <c r="C5" s="1243"/>
      <c r="D5" s="1228"/>
      <c r="E5" s="1228"/>
      <c r="F5" s="1246"/>
      <c r="G5" s="1249"/>
      <c r="H5" s="1240"/>
      <c r="I5" s="1228"/>
      <c r="J5" s="1228"/>
      <c r="K5" s="1228"/>
      <c r="L5" s="1228"/>
      <c r="M5" s="1228"/>
      <c r="N5" s="902"/>
      <c r="O5" s="536"/>
      <c r="P5" s="1210"/>
      <c r="Q5" s="1211"/>
      <c r="S5" s="534"/>
      <c r="T5" s="1198"/>
      <c r="U5" s="1198"/>
    </row>
    <row r="6" spans="1:21" s="525" customFormat="1">
      <c r="A6" s="535" t="s">
        <v>240</v>
      </c>
      <c r="B6" s="532">
        <f>IF(ISERROR((kWh_PV_kleiner_dan_10kW+kWh_PV_groter_dan_10kW)),0,(kWh_PV_kleiner_dan_10kW+kWh_PV_groter_dan_10kW))</f>
        <v>11098.566121237554</v>
      </c>
      <c r="C6" s="1243"/>
      <c r="D6" s="1228"/>
      <c r="E6" s="1228"/>
      <c r="F6" s="1246"/>
      <c r="G6" s="1249"/>
      <c r="H6" s="1240"/>
      <c r="I6" s="1228"/>
      <c r="J6" s="1228"/>
      <c r="K6" s="1228"/>
      <c r="L6" s="1228"/>
      <c r="M6" s="1228"/>
      <c r="N6" s="902"/>
      <c r="O6" s="536"/>
      <c r="P6" s="1210"/>
      <c r="Q6" s="1211"/>
      <c r="S6" s="534"/>
      <c r="T6" s="1198"/>
      <c r="U6" s="1198"/>
    </row>
    <row r="7" spans="1:21" s="525" customFormat="1">
      <c r="A7" s="535" t="s">
        <v>637</v>
      </c>
      <c r="B7" s="532"/>
      <c r="C7" s="1244"/>
      <c r="D7" s="1229"/>
      <c r="E7" s="1229"/>
      <c r="F7" s="1247"/>
      <c r="G7" s="1250"/>
      <c r="H7" s="1241"/>
      <c r="I7" s="1229"/>
      <c r="J7" s="1229"/>
      <c r="K7" s="1229"/>
      <c r="L7" s="1229"/>
      <c r="M7" s="1229"/>
      <c r="N7" s="903"/>
      <c r="O7" s="536"/>
      <c r="P7" s="887"/>
      <c r="Q7" s="888"/>
      <c r="S7" s="886"/>
      <c r="T7" s="886"/>
      <c r="U7" s="886"/>
    </row>
    <row r="8" spans="1:21" s="525" customFormat="1">
      <c r="A8" s="537" t="s">
        <v>241</v>
      </c>
      <c r="B8" s="538">
        <f>N29</f>
        <v>1080.5555556419999</v>
      </c>
      <c r="C8" s="539">
        <f>B48</f>
        <v>1326.387116322519</v>
      </c>
      <c r="D8" s="540">
        <f>J48</f>
        <v>0</v>
      </c>
      <c r="E8" s="540">
        <f>E48</f>
        <v>0</v>
      </c>
      <c r="F8" s="541"/>
      <c r="G8" s="542"/>
      <c r="H8" s="540">
        <f>I48</f>
        <v>0</v>
      </c>
      <c r="I8" s="540">
        <f>G48+F48</f>
        <v>0</v>
      </c>
      <c r="J8" s="540">
        <f>H48+D48+C48</f>
        <v>0</v>
      </c>
      <c r="K8" s="540"/>
      <c r="L8" s="540"/>
      <c r="M8" s="540"/>
      <c r="N8" s="543"/>
      <c r="O8" s="544">
        <f>C8*$C$12+D8*$D$12+E8*$E$12+F8*$F$12+G8*$G$12+H8*$H$12+I8*$I$12+J8*$J$12</f>
        <v>267.93019749714887</v>
      </c>
      <c r="P8" s="1210"/>
      <c r="Q8" s="1211"/>
      <c r="S8" s="534"/>
      <c r="T8" s="1198"/>
      <c r="U8" s="1198"/>
    </row>
    <row r="9" spans="1:21" s="525" customFormat="1" ht="17.45" customHeight="1" thickBot="1">
      <c r="A9" s="545" t="s">
        <v>237</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X36+IF(ISERROR('Eigen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V36+R36+Q36+IF(ISERROR('Eigen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12"/>
      <c r="Q9" s="1213"/>
      <c r="R9" s="551"/>
      <c r="S9" s="534"/>
      <c r="T9" s="1198"/>
      <c r="U9" s="1198"/>
    </row>
    <row r="10" spans="1:21" s="525" customFormat="1" ht="16.5" thickTop="1" thickBot="1">
      <c r="A10" s="552" t="s">
        <v>109</v>
      </c>
      <c r="B10" s="553">
        <f>SUM(B4:B9)</f>
        <v>12179.121676879555</v>
      </c>
      <c r="C10" s="554">
        <f t="shared" ref="C10:L10" si="0">SUM(C8:C9)</f>
        <v>1326.387116322519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267.93019749714887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5"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639</v>
      </c>
      <c r="N15" s="1225" t="s">
        <v>640</v>
      </c>
      <c r="O15" s="1205"/>
      <c r="P15" s="1204"/>
      <c r="Q15" s="1205"/>
      <c r="R15" s="1201"/>
      <c r="S15" s="1201"/>
      <c r="T15" s="1201"/>
    </row>
    <row r="16" spans="1:21" s="525" customFormat="1" ht="40.700000000000003" customHeight="1" thickBot="1">
      <c r="A16" s="1216"/>
      <c r="B16" s="1216"/>
      <c r="C16" s="565" t="s">
        <v>192</v>
      </c>
      <c r="D16" s="527" t="s">
        <v>193</v>
      </c>
      <c r="E16" s="566" t="s">
        <v>194</v>
      </c>
      <c r="F16" s="527" t="s">
        <v>196</v>
      </c>
      <c r="G16" s="567" t="s">
        <v>197</v>
      </c>
      <c r="H16" s="1221"/>
      <c r="I16" s="1221"/>
      <c r="J16" s="1221"/>
      <c r="K16" s="1221"/>
      <c r="L16" s="1221"/>
      <c r="M16" s="1221"/>
      <c r="N16" s="1226"/>
      <c r="O16" s="1207"/>
      <c r="P16" s="1206"/>
      <c r="Q16" s="1207"/>
      <c r="R16" s="1201"/>
      <c r="S16" s="1201"/>
      <c r="T16" s="1201"/>
    </row>
    <row r="17" spans="1:27" s="525" customFormat="1" ht="15.75" thickTop="1">
      <c r="A17" s="568" t="s">
        <v>241</v>
      </c>
      <c r="B17" s="569">
        <f>O29</f>
        <v>1531.1111112336</v>
      </c>
      <c r="C17" s="570">
        <f>B49</f>
        <v>1879.4462172672816</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379.64813588799092</v>
      </c>
      <c r="P17" s="1193"/>
      <c r="Q17" s="1194"/>
      <c r="R17" s="575"/>
      <c r="S17" s="1195"/>
      <c r="T17" s="1195"/>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196"/>
      <c r="Q18" s="1197"/>
      <c r="R18" s="534"/>
      <c r="S18" s="1198"/>
      <c r="T18" s="1198"/>
    </row>
    <row r="19" spans="1:27" s="525" customFormat="1" ht="15.75" thickBot="1">
      <c r="A19" s="545" t="s">
        <v>237</v>
      </c>
      <c r="B19" s="577">
        <f>O36+'Eigen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199"/>
      <c r="Q19" s="1200"/>
      <c r="R19" s="534"/>
      <c r="S19" s="1198"/>
      <c r="T19" s="1198"/>
    </row>
    <row r="20" spans="1:27" s="525" customFormat="1" ht="16.5" thickTop="1" thickBot="1">
      <c r="A20" s="552" t="s">
        <v>109</v>
      </c>
      <c r="B20" s="553">
        <f>SUM(B17:B19)</f>
        <v>1531.1111112336</v>
      </c>
      <c r="C20" s="553">
        <f>SUM(C17:C19)</f>
        <v>1879.4462172672816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379.64813588799092</v>
      </c>
      <c r="P20" s="1190"/>
      <c r="Q20" s="1191"/>
      <c r="R20" s="534"/>
      <c r="S20" s="1192"/>
      <c r="T20" s="1192"/>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769</v>
      </c>
      <c r="Y27" s="624" t="s">
        <v>286</v>
      </c>
      <c r="Z27" s="624" t="s">
        <v>103</v>
      </c>
      <c r="AA27" s="626" t="s">
        <v>287</v>
      </c>
    </row>
    <row r="28" spans="1:27" s="584" customFormat="1" ht="12.75">
      <c r="A28" s="583"/>
      <c r="B28" s="741">
        <v>23094</v>
      </c>
      <c r="C28" s="741"/>
      <c r="D28" s="628"/>
      <c r="E28" s="627"/>
      <c r="F28" s="627"/>
      <c r="G28" s="627"/>
      <c r="H28" s="627"/>
      <c r="I28" s="627"/>
      <c r="J28" s="740"/>
      <c r="K28" s="740"/>
      <c r="L28" s="627"/>
      <c r="M28" s="627">
        <v>246.1</v>
      </c>
      <c r="N28" s="627">
        <v>1080.5555556419999</v>
      </c>
      <c r="O28" s="627">
        <v>1531.1111112336</v>
      </c>
      <c r="P28" s="627">
        <v>3205.8333335898001</v>
      </c>
      <c r="Q28" s="627">
        <v>0</v>
      </c>
      <c r="R28" s="627">
        <v>0</v>
      </c>
      <c r="S28" s="627">
        <v>0</v>
      </c>
      <c r="T28" s="627">
        <v>0</v>
      </c>
      <c r="U28" s="627">
        <v>0</v>
      </c>
      <c r="V28" s="627">
        <v>0</v>
      </c>
      <c r="W28" s="627">
        <v>0</v>
      </c>
      <c r="X28" s="627">
        <v>0</v>
      </c>
      <c r="Y28" s="627"/>
      <c r="Z28" s="627"/>
      <c r="AA28" s="629" t="s">
        <v>832</v>
      </c>
    </row>
    <row r="29" spans="1:27" s="564" customFormat="1">
      <c r="A29" s="586" t="s">
        <v>269</v>
      </c>
      <c r="B29" s="587"/>
      <c r="C29" s="587"/>
      <c r="D29" s="587"/>
      <c r="E29" s="587"/>
      <c r="F29" s="587"/>
      <c r="G29" s="587"/>
      <c r="H29" s="587"/>
      <c r="I29" s="587"/>
      <c r="J29" s="587"/>
      <c r="K29" s="587"/>
      <c r="L29" s="588"/>
      <c r="M29" s="588">
        <f>SUM(M28:M28)</f>
        <v>246.1</v>
      </c>
      <c r="N29" s="588">
        <f>SUM(N28:N28)</f>
        <v>1080.5555556419999</v>
      </c>
      <c r="O29" s="588">
        <f>SUM(O28:O28)</f>
        <v>1531.1111112336</v>
      </c>
      <c r="P29" s="588">
        <f>SUM(P28:P28)</f>
        <v>3205.8333335898001</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246.1</v>
      </c>
      <c r="N31" s="588">
        <f ca="1">SUMIF($AA$28:AE28,"tertiair",N28:N28)</f>
        <v>1080.5555556419999</v>
      </c>
      <c r="O31" s="588">
        <f ca="1">SUMIF($AA$28:AF28,"tertiair",O28:O28)</f>
        <v>1531.1111112336</v>
      </c>
      <c r="P31" s="588">
        <f ca="1">SUMIF($AA$28:AG28,"tertiair",P28:P28)</f>
        <v>3205.8333335898001</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823</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769</v>
      </c>
      <c r="Y34" s="624" t="s">
        <v>286</v>
      </c>
      <c r="Z34" s="624" t="s">
        <v>103</v>
      </c>
      <c r="AA34" s="626" t="s">
        <v>287</v>
      </c>
    </row>
    <row r="35" spans="1:28" s="598" customFormat="1" ht="12.75">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824</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0.58625824292703688</v>
      </c>
      <c r="C45" s="612">
        <f>IF(ISERROR(N29/(O29+N29)),0,N29/(N29+O29))</f>
        <v>0.41374175707296323</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769</v>
      </c>
      <c r="K47" s="609"/>
      <c r="L47" s="617"/>
      <c r="M47" s="617"/>
      <c r="N47" s="617"/>
      <c r="O47" s="604"/>
      <c r="P47" s="604"/>
    </row>
    <row r="48" spans="1:28">
      <c r="A48" s="608" t="s">
        <v>272</v>
      </c>
      <c r="B48" s="621">
        <f t="shared" ref="B48:J48" si="2">$C$45*P29</f>
        <v>1326.387116322519</v>
      </c>
      <c r="C48" s="621">
        <f t="shared" si="2"/>
        <v>0</v>
      </c>
      <c r="D48" s="621">
        <f t="shared" si="2"/>
        <v>0</v>
      </c>
      <c r="E48" s="621">
        <f t="shared" si="2"/>
        <v>0</v>
      </c>
      <c r="F48" s="621">
        <f t="shared" si="2"/>
        <v>0</v>
      </c>
      <c r="G48" s="621">
        <f t="shared" si="2"/>
        <v>0</v>
      </c>
      <c r="H48" s="621">
        <f t="shared" si="2"/>
        <v>0</v>
      </c>
      <c r="I48" s="621">
        <f t="shared" si="2"/>
        <v>0</v>
      </c>
      <c r="J48" s="621">
        <f t="shared" si="2"/>
        <v>0</v>
      </c>
      <c r="K48" s="580"/>
      <c r="L48" s="617"/>
      <c r="M48" s="617"/>
      <c r="N48" s="617"/>
      <c r="O48" s="604"/>
      <c r="P48" s="604"/>
    </row>
    <row r="49" spans="1:16" ht="15.75" thickBot="1">
      <c r="A49" s="622" t="s">
        <v>273</v>
      </c>
      <c r="B49" s="623">
        <f t="shared" ref="B49:J49" si="3">$B$45*P29</f>
        <v>1879.4462172672816</v>
      </c>
      <c r="C49" s="623">
        <f t="shared" si="3"/>
        <v>0</v>
      </c>
      <c r="D49" s="623">
        <f t="shared" si="3"/>
        <v>0</v>
      </c>
      <c r="E49" s="623">
        <f t="shared" si="3"/>
        <v>0</v>
      </c>
      <c r="F49" s="623">
        <f t="shared" si="3"/>
        <v>0</v>
      </c>
      <c r="G49" s="623">
        <f t="shared" si="3"/>
        <v>0</v>
      </c>
      <c r="H49" s="623">
        <f t="shared" si="3"/>
        <v>0</v>
      </c>
      <c r="I49" s="623">
        <f t="shared" si="3"/>
        <v>0</v>
      </c>
      <c r="J49" s="623">
        <f t="shared" si="3"/>
        <v>0</v>
      </c>
      <c r="K49" s="580"/>
      <c r="L49" s="617"/>
      <c r="M49" s="617"/>
      <c r="N49" s="617"/>
      <c r="O49" s="604"/>
      <c r="P49" s="604"/>
    </row>
    <row r="50" spans="1:16">
      <c r="J50" s="560"/>
      <c r="K50" s="560"/>
      <c r="L50" s="560"/>
      <c r="M50" s="560"/>
      <c r="N50" s="560"/>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76" zoomScale="69" zoomScaleNormal="69" workbookViewId="0">
      <selection activeCell="I89" sqref="I89"/>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38"/>
      <c r="B4" s="438"/>
      <c r="C4" s="63"/>
      <c r="D4" s="63"/>
      <c r="E4" s="63"/>
      <c r="F4" s="63"/>
      <c r="G4" s="63"/>
      <c r="H4" s="63"/>
      <c r="I4" s="63"/>
      <c r="J4" s="63"/>
      <c r="K4" s="63"/>
      <c r="L4" s="63"/>
      <c r="M4" s="63"/>
      <c r="N4" s="63"/>
      <c r="O4" s="63"/>
      <c r="P4" s="63"/>
      <c r="Q4" s="63"/>
      <c r="R4" s="63"/>
    </row>
    <row r="5" spans="1:19" ht="16.5" thickBot="1">
      <c r="A5" s="1111" t="s">
        <v>211</v>
      </c>
      <c r="B5" s="748"/>
      <c r="C5" s="1114" t="s">
        <v>328</v>
      </c>
      <c r="D5" s="1115"/>
      <c r="E5" s="1115"/>
      <c r="F5" s="1115"/>
      <c r="G5" s="1115"/>
      <c r="H5" s="1115"/>
      <c r="I5" s="1115"/>
      <c r="J5" s="1115"/>
      <c r="K5" s="1115"/>
      <c r="L5" s="1115"/>
      <c r="M5" s="1115"/>
      <c r="N5" s="1115"/>
      <c r="O5" s="1115"/>
      <c r="P5" s="1115"/>
      <c r="Q5" s="1115"/>
      <c r="R5" s="1116"/>
    </row>
    <row r="6" spans="1:19" ht="16.5" thickTop="1">
      <c r="A6" s="1112"/>
      <c r="B6" s="749"/>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0"/>
      <c r="C7" s="1118"/>
      <c r="D7" s="112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125"/>
    </row>
    <row r="8" spans="1:19" ht="18.75" customHeight="1" thickTop="1">
      <c r="A8" s="756" t="s">
        <v>329</v>
      </c>
      <c r="B8" s="761"/>
      <c r="C8" s="1126"/>
      <c r="D8" s="1126"/>
      <c r="E8" s="1126"/>
      <c r="F8" s="1126"/>
      <c r="G8" s="1126"/>
      <c r="H8" s="1126"/>
      <c r="I8" s="1126"/>
      <c r="J8" s="1126"/>
      <c r="K8" s="1126"/>
      <c r="L8" s="1126"/>
      <c r="M8" s="1126"/>
      <c r="N8" s="1126"/>
      <c r="O8" s="1126"/>
      <c r="P8" s="1126"/>
      <c r="Q8" s="112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165197.50524030821</v>
      </c>
      <c r="D10" s="637">
        <f ca="1">tertiair!C16</f>
        <v>1531.1111112336</v>
      </c>
      <c r="E10" s="637">
        <f ca="1">tertiair!D16</f>
        <v>105724.9867482649</v>
      </c>
      <c r="F10" s="637">
        <f ca="1">tertiair!E16</f>
        <v>37.507541967614941</v>
      </c>
      <c r="G10" s="637">
        <f ca="1">tertiair!F16</f>
        <v>20321.13993211804</v>
      </c>
      <c r="H10" s="637">
        <f>tertiair!G16</f>
        <v>0</v>
      </c>
      <c r="I10" s="637">
        <f>tertiair!H16</f>
        <v>0</v>
      </c>
      <c r="J10" s="637">
        <f>tertiair!I16</f>
        <v>0</v>
      </c>
      <c r="K10" s="637">
        <f>tertiair!J16</f>
        <v>2.778328571897206E-2</v>
      </c>
      <c r="L10" s="637">
        <f>tertiair!K16</f>
        <v>0</v>
      </c>
      <c r="M10" s="637">
        <f ca="1">tertiair!L16</f>
        <v>0</v>
      </c>
      <c r="N10" s="637">
        <f>tertiair!M16</f>
        <v>0</v>
      </c>
      <c r="O10" s="637">
        <f ca="1">tertiair!N16</f>
        <v>1262.2289184235869</v>
      </c>
      <c r="P10" s="637">
        <f>tertiair!O16</f>
        <v>4.8972607658411542</v>
      </c>
      <c r="Q10" s="638">
        <f>tertiair!P16</f>
        <v>683.0087979844352</v>
      </c>
      <c r="R10" s="640">
        <f ca="1">SUM(C10:Q10)</f>
        <v>294762.41333435196</v>
      </c>
      <c r="S10" s="67"/>
    </row>
    <row r="11" spans="1:19" s="439" customFormat="1">
      <c r="A11" s="757" t="s">
        <v>214</v>
      </c>
      <c r="B11" s="762"/>
      <c r="C11" s="637">
        <f>huishoudens!B8</f>
        <v>47987.008771511762</v>
      </c>
      <c r="D11" s="637">
        <f>huishoudens!C8</f>
        <v>0</v>
      </c>
      <c r="E11" s="637">
        <f>huishoudens!D8</f>
        <v>149364.35549722615</v>
      </c>
      <c r="F11" s="637">
        <f>huishoudens!E8</f>
        <v>2969.3415598586312</v>
      </c>
      <c r="G11" s="637">
        <f>huishoudens!F8</f>
        <v>37617.217558527671</v>
      </c>
      <c r="H11" s="637">
        <f>huishoudens!G8</f>
        <v>0</v>
      </c>
      <c r="I11" s="637">
        <f>huishoudens!H8</f>
        <v>0</v>
      </c>
      <c r="J11" s="637">
        <f>huishoudens!I8</f>
        <v>0</v>
      </c>
      <c r="K11" s="637">
        <f>huishoudens!J8</f>
        <v>240.77186872672684</v>
      </c>
      <c r="L11" s="637">
        <f>huishoudens!K8</f>
        <v>0</v>
      </c>
      <c r="M11" s="637">
        <f>huishoudens!L8</f>
        <v>0</v>
      </c>
      <c r="N11" s="637">
        <f>huishoudens!M8</f>
        <v>0</v>
      </c>
      <c r="O11" s="637">
        <f>huishoudens!N8</f>
        <v>14666.427182834639</v>
      </c>
      <c r="P11" s="637">
        <f>huishoudens!O8</f>
        <v>188.47603084176802</v>
      </c>
      <c r="Q11" s="638">
        <f>huishoudens!P8</f>
        <v>768.9790294610068</v>
      </c>
      <c r="R11" s="640">
        <f>SUM(C11:Q11)</f>
        <v>253802.57749898834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31404.365537510595</v>
      </c>
      <c r="D13" s="637">
        <f>industrie!C18</f>
        <v>0</v>
      </c>
      <c r="E13" s="637">
        <f>industrie!D18</f>
        <v>24049.176503175815</v>
      </c>
      <c r="F13" s="637">
        <f>industrie!E18</f>
        <v>289.73017453316237</v>
      </c>
      <c r="G13" s="637">
        <f>industrie!F18</f>
        <v>9465.5011337661526</v>
      </c>
      <c r="H13" s="637">
        <f>industrie!G18</f>
        <v>0</v>
      </c>
      <c r="I13" s="637">
        <f>industrie!H18</f>
        <v>0</v>
      </c>
      <c r="J13" s="637">
        <f>industrie!I18</f>
        <v>0</v>
      </c>
      <c r="K13" s="637">
        <f>industrie!J18</f>
        <v>6.4390745348362755</v>
      </c>
      <c r="L13" s="637">
        <f>industrie!K18</f>
        <v>0</v>
      </c>
      <c r="M13" s="637">
        <f>industrie!L18</f>
        <v>0</v>
      </c>
      <c r="N13" s="637">
        <f>industrie!M18</f>
        <v>0</v>
      </c>
      <c r="O13" s="637">
        <f>industrie!N18</f>
        <v>736.65489716818377</v>
      </c>
      <c r="P13" s="637">
        <f>industrie!O18</f>
        <v>0</v>
      </c>
      <c r="Q13" s="638">
        <f>industrie!P18</f>
        <v>0</v>
      </c>
      <c r="R13" s="640">
        <f>SUM(C13:Q13)</f>
        <v>65951.867320688747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244588.87954933057</v>
      </c>
      <c r="D16" s="673">
        <f t="shared" ref="D16:R16" ca="1" si="0">SUM(D9:D15)</f>
        <v>1531.1111112336</v>
      </c>
      <c r="E16" s="673">
        <f t="shared" ca="1" si="0"/>
        <v>279138.51874866686</v>
      </c>
      <c r="F16" s="673">
        <f t="shared" ca="1" si="0"/>
        <v>3296.5792763594086</v>
      </c>
      <c r="G16" s="673">
        <f t="shared" ca="1" si="0"/>
        <v>67403.858624411863</v>
      </c>
      <c r="H16" s="673">
        <f t="shared" si="0"/>
        <v>0</v>
      </c>
      <c r="I16" s="673">
        <f t="shared" si="0"/>
        <v>0</v>
      </c>
      <c r="J16" s="673">
        <f t="shared" si="0"/>
        <v>0</v>
      </c>
      <c r="K16" s="673">
        <f t="shared" si="0"/>
        <v>247.23872654728208</v>
      </c>
      <c r="L16" s="673">
        <f t="shared" si="0"/>
        <v>0</v>
      </c>
      <c r="M16" s="673">
        <f t="shared" ca="1" si="0"/>
        <v>0</v>
      </c>
      <c r="N16" s="673">
        <f t="shared" si="0"/>
        <v>0</v>
      </c>
      <c r="O16" s="673">
        <f t="shared" ca="1" si="0"/>
        <v>16665.310998426408</v>
      </c>
      <c r="P16" s="673">
        <f t="shared" si="0"/>
        <v>193.37329160760919</v>
      </c>
      <c r="Q16" s="673">
        <f t="shared" si="0"/>
        <v>1451.987827445442</v>
      </c>
      <c r="R16" s="673">
        <f t="shared" ca="1" si="0"/>
        <v>614516.85815402912</v>
      </c>
      <c r="S16" s="67"/>
    </row>
    <row r="17" spans="1:19" s="439" customFormat="1" ht="15.75">
      <c r="A17" s="759" t="s">
        <v>216</v>
      </c>
      <c r="B17" s="677"/>
      <c r="C17" s="1066"/>
      <c r="D17" s="1066"/>
      <c r="E17" s="1066"/>
      <c r="F17" s="1066"/>
      <c r="G17" s="1066"/>
      <c r="H17" s="1066"/>
      <c r="I17" s="1066"/>
      <c r="J17" s="1066"/>
      <c r="K17" s="1066"/>
      <c r="L17" s="1066"/>
      <c r="M17" s="1066"/>
      <c r="N17" s="1066"/>
      <c r="O17" s="1066"/>
      <c r="P17" s="1066"/>
      <c r="Q17" s="1066"/>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184.99089995072723</v>
      </c>
      <c r="D19" s="637">
        <f>transport!C54</f>
        <v>0</v>
      </c>
      <c r="E19" s="637">
        <f>transport!D54</f>
        <v>0</v>
      </c>
      <c r="F19" s="637">
        <f>transport!E54</f>
        <v>0</v>
      </c>
      <c r="G19" s="637">
        <f>transport!F54</f>
        <v>0</v>
      </c>
      <c r="H19" s="637">
        <f>transport!G54</f>
        <v>7596.97274548523</v>
      </c>
      <c r="I19" s="637">
        <f>transport!H54</f>
        <v>0</v>
      </c>
      <c r="J19" s="637">
        <f>transport!I54</f>
        <v>0</v>
      </c>
      <c r="K19" s="637">
        <f>transport!J54</f>
        <v>0</v>
      </c>
      <c r="L19" s="637">
        <f>transport!K54</f>
        <v>0</v>
      </c>
      <c r="M19" s="637">
        <f>transport!L54</f>
        <v>0</v>
      </c>
      <c r="N19" s="637">
        <f>transport!M54</f>
        <v>850.39668007071725</v>
      </c>
      <c r="O19" s="637">
        <f>transport!N54</f>
        <v>0</v>
      </c>
      <c r="P19" s="637">
        <f>transport!O54</f>
        <v>0</v>
      </c>
      <c r="Q19" s="638">
        <f>transport!P54</f>
        <v>0</v>
      </c>
      <c r="R19" s="640">
        <f>SUM(C19:Q19)</f>
        <v>8632.3603255066737</v>
      </c>
      <c r="S19" s="67"/>
    </row>
    <row r="20" spans="1:19" s="439" customFormat="1">
      <c r="A20" s="757" t="s">
        <v>294</v>
      </c>
      <c r="B20" s="762"/>
      <c r="C20" s="637">
        <f>transport!B14</f>
        <v>3209.3340980118437</v>
      </c>
      <c r="D20" s="637">
        <f>transport!C14</f>
        <v>0</v>
      </c>
      <c r="E20" s="637">
        <f>transport!D14</f>
        <v>2577.5567583551178</v>
      </c>
      <c r="F20" s="637">
        <f>transport!E14</f>
        <v>1008.5677342371849</v>
      </c>
      <c r="G20" s="637">
        <f>transport!F14</f>
        <v>0</v>
      </c>
      <c r="H20" s="637">
        <f>transport!G14</f>
        <v>373351.7073997148</v>
      </c>
      <c r="I20" s="637">
        <f>transport!H14</f>
        <v>127624.94224895346</v>
      </c>
      <c r="J20" s="637">
        <f>transport!I14</f>
        <v>0</v>
      </c>
      <c r="K20" s="637">
        <f>transport!J14</f>
        <v>0</v>
      </c>
      <c r="L20" s="637">
        <f>transport!K14</f>
        <v>0</v>
      </c>
      <c r="M20" s="637">
        <f>transport!L14</f>
        <v>0</v>
      </c>
      <c r="N20" s="637">
        <f>transport!M14</f>
        <v>52774.38813617811</v>
      </c>
      <c r="O20" s="637">
        <f>transport!N14</f>
        <v>0</v>
      </c>
      <c r="P20" s="637">
        <f>transport!O14</f>
        <v>0</v>
      </c>
      <c r="Q20" s="638">
        <f>transport!P14</f>
        <v>0</v>
      </c>
      <c r="R20" s="640">
        <f>SUM(C20:Q20)</f>
        <v>560546.49637545052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3394.3249979625707</v>
      </c>
      <c r="D22" s="760">
        <f t="shared" ref="D22:R22" si="1">SUM(D18:D21)</f>
        <v>0</v>
      </c>
      <c r="E22" s="760">
        <f t="shared" si="1"/>
        <v>2577.5567583551178</v>
      </c>
      <c r="F22" s="760">
        <f t="shared" si="1"/>
        <v>1008.5677342371849</v>
      </c>
      <c r="G22" s="760">
        <f t="shared" si="1"/>
        <v>0</v>
      </c>
      <c r="H22" s="760">
        <f t="shared" si="1"/>
        <v>380948.68014520005</v>
      </c>
      <c r="I22" s="760">
        <f t="shared" si="1"/>
        <v>127624.94224895346</v>
      </c>
      <c r="J22" s="760">
        <f t="shared" si="1"/>
        <v>0</v>
      </c>
      <c r="K22" s="760">
        <f t="shared" si="1"/>
        <v>0</v>
      </c>
      <c r="L22" s="760">
        <f t="shared" si="1"/>
        <v>0</v>
      </c>
      <c r="M22" s="760">
        <f t="shared" si="1"/>
        <v>0</v>
      </c>
      <c r="N22" s="760">
        <f t="shared" si="1"/>
        <v>53624.78481624883</v>
      </c>
      <c r="O22" s="760">
        <f t="shared" si="1"/>
        <v>0</v>
      </c>
      <c r="P22" s="760">
        <f t="shared" si="1"/>
        <v>0</v>
      </c>
      <c r="Q22" s="760">
        <f t="shared" si="1"/>
        <v>0</v>
      </c>
      <c r="R22" s="760">
        <f t="shared" si="1"/>
        <v>569178.85670095717</v>
      </c>
      <c r="S22" s="67"/>
    </row>
    <row r="23" spans="1:19" s="439" customFormat="1" ht="15.75">
      <c r="A23" s="759" t="s">
        <v>226</v>
      </c>
      <c r="B23" s="677"/>
      <c r="C23" s="1066"/>
      <c r="D23" s="1066"/>
      <c r="E23" s="1066"/>
      <c r="F23" s="1066"/>
      <c r="G23" s="1066"/>
      <c r="H23" s="1066"/>
      <c r="I23" s="1066"/>
      <c r="J23" s="1066"/>
      <c r="K23" s="1066"/>
      <c r="L23" s="1066"/>
      <c r="M23" s="1066"/>
      <c r="N23" s="1066"/>
      <c r="O23" s="1066"/>
      <c r="P23" s="1066"/>
      <c r="Q23" s="1066"/>
      <c r="R23" s="642"/>
      <c r="S23" s="67"/>
    </row>
    <row r="24" spans="1:19" s="439" customFormat="1">
      <c r="A24" s="757" t="s">
        <v>567</v>
      </c>
      <c r="B24" s="762"/>
      <c r="C24" s="637">
        <f>+landbouw!B8</f>
        <v>387.92515600030003</v>
      </c>
      <c r="D24" s="637">
        <f>+landbouw!C8</f>
        <v>0</v>
      </c>
      <c r="E24" s="637">
        <f>+landbouw!D8</f>
        <v>223.82098645247135</v>
      </c>
      <c r="F24" s="637">
        <f>+landbouw!E8</f>
        <v>13.081430487949353</v>
      </c>
      <c r="G24" s="637">
        <f>+landbouw!F8</f>
        <v>1344.0414181265101</v>
      </c>
      <c r="H24" s="637">
        <f>+landbouw!G8</f>
        <v>0</v>
      </c>
      <c r="I24" s="637">
        <f>+landbouw!H8</f>
        <v>0</v>
      </c>
      <c r="J24" s="637">
        <f>+landbouw!I8</f>
        <v>0</v>
      </c>
      <c r="K24" s="637">
        <f>+landbouw!J8</f>
        <v>84.200507203644662</v>
      </c>
      <c r="L24" s="637">
        <f>+landbouw!K8</f>
        <v>0</v>
      </c>
      <c r="M24" s="637">
        <f>+landbouw!L8</f>
        <v>0</v>
      </c>
      <c r="N24" s="637">
        <f>+landbouw!M8</f>
        <v>0</v>
      </c>
      <c r="O24" s="637">
        <f>+landbouw!N8</f>
        <v>0</v>
      </c>
      <c r="P24" s="637">
        <f>+landbouw!O8</f>
        <v>0</v>
      </c>
      <c r="Q24" s="638">
        <f>+landbouw!P8</f>
        <v>0</v>
      </c>
      <c r="R24" s="640">
        <f>SUM(C24:Q24)</f>
        <v>2053.0694982708756</v>
      </c>
      <c r="S24" s="67"/>
    </row>
    <row r="25" spans="1:19" s="439" customFormat="1" ht="15" thickBot="1">
      <c r="A25" s="779" t="s">
        <v>634</v>
      </c>
      <c r="B25" s="890"/>
      <c r="C25" s="891">
        <f>IF(Onbekend_ele_kWh="---",0,Onbekend_ele_kWh)/1000+IF(REST_rest_ele_kWh="---",0,REST_rest_ele_kWh)/1000</f>
        <v>6208.2221188937801</v>
      </c>
      <c r="D25" s="891"/>
      <c r="E25" s="891">
        <f>IF(onbekend_gas_kWh="---",0,onbekend_gas_kWh)/1000+IF(REST_rest_gas_kWh="---",0,REST_rest_gas_kWh)/1000</f>
        <v>10737.964551736601</v>
      </c>
      <c r="F25" s="891"/>
      <c r="G25" s="891"/>
      <c r="H25" s="891"/>
      <c r="I25" s="891"/>
      <c r="J25" s="891"/>
      <c r="K25" s="891"/>
      <c r="L25" s="891"/>
      <c r="M25" s="891"/>
      <c r="N25" s="891"/>
      <c r="O25" s="891"/>
      <c r="P25" s="891"/>
      <c r="Q25" s="892"/>
      <c r="R25" s="640">
        <f>SUM(C25:Q25)</f>
        <v>16946.186670630381</v>
      </c>
      <c r="S25" s="67"/>
    </row>
    <row r="26" spans="1:19" s="439" customFormat="1" ht="15.75" thickBot="1">
      <c r="A26" s="645" t="s">
        <v>635</v>
      </c>
      <c r="B26" s="765"/>
      <c r="C26" s="760">
        <f>SUM(C24:C25)</f>
        <v>6596.1472748940805</v>
      </c>
      <c r="D26" s="760">
        <f t="shared" ref="D26:R26" si="2">SUM(D24:D25)</f>
        <v>0</v>
      </c>
      <c r="E26" s="760">
        <f t="shared" si="2"/>
        <v>10961.785538189071</v>
      </c>
      <c r="F26" s="760">
        <f t="shared" si="2"/>
        <v>13.081430487949353</v>
      </c>
      <c r="G26" s="760">
        <f t="shared" si="2"/>
        <v>1344.0414181265101</v>
      </c>
      <c r="H26" s="760">
        <f t="shared" si="2"/>
        <v>0</v>
      </c>
      <c r="I26" s="760">
        <f t="shared" si="2"/>
        <v>0</v>
      </c>
      <c r="J26" s="760">
        <f t="shared" si="2"/>
        <v>0</v>
      </c>
      <c r="K26" s="760">
        <f t="shared" si="2"/>
        <v>84.200507203644662</v>
      </c>
      <c r="L26" s="760">
        <f t="shared" si="2"/>
        <v>0</v>
      </c>
      <c r="M26" s="760">
        <f t="shared" si="2"/>
        <v>0</v>
      </c>
      <c r="N26" s="760">
        <f t="shared" si="2"/>
        <v>0</v>
      </c>
      <c r="O26" s="760">
        <f t="shared" si="2"/>
        <v>0</v>
      </c>
      <c r="P26" s="760">
        <f t="shared" si="2"/>
        <v>0</v>
      </c>
      <c r="Q26" s="760">
        <f t="shared" si="2"/>
        <v>0</v>
      </c>
      <c r="R26" s="760">
        <f t="shared" si="2"/>
        <v>18999.256168901258</v>
      </c>
      <c r="S26" s="67"/>
    </row>
    <row r="27" spans="1:19" s="439" customFormat="1" ht="17.25" thickTop="1" thickBot="1">
      <c r="A27" s="646" t="s">
        <v>109</v>
      </c>
      <c r="B27" s="752"/>
      <c r="C27" s="647">
        <f ca="1">C22+C16+C26</f>
        <v>254579.35182218722</v>
      </c>
      <c r="D27" s="647">
        <f t="shared" ref="D27:R27" ca="1" si="3">D22+D16+D26</f>
        <v>1531.1111112336</v>
      </c>
      <c r="E27" s="647">
        <f t="shared" ca="1" si="3"/>
        <v>292677.86104521103</v>
      </c>
      <c r="F27" s="647">
        <f t="shared" ca="1" si="3"/>
        <v>4318.2284410845432</v>
      </c>
      <c r="G27" s="647">
        <f t="shared" ca="1" si="3"/>
        <v>68747.900042538371</v>
      </c>
      <c r="H27" s="647">
        <f t="shared" si="3"/>
        <v>380948.68014520005</v>
      </c>
      <c r="I27" s="647">
        <f t="shared" si="3"/>
        <v>127624.94224895346</v>
      </c>
      <c r="J27" s="647">
        <f t="shared" si="3"/>
        <v>0</v>
      </c>
      <c r="K27" s="647">
        <f t="shared" si="3"/>
        <v>331.43923375092675</v>
      </c>
      <c r="L27" s="647">
        <f t="shared" si="3"/>
        <v>0</v>
      </c>
      <c r="M27" s="647">
        <f t="shared" ca="1" si="3"/>
        <v>0</v>
      </c>
      <c r="N27" s="647">
        <f t="shared" si="3"/>
        <v>53624.78481624883</v>
      </c>
      <c r="O27" s="647">
        <f t="shared" ca="1" si="3"/>
        <v>16665.310998426408</v>
      </c>
      <c r="P27" s="647">
        <f t="shared" si="3"/>
        <v>193.37329160760919</v>
      </c>
      <c r="Q27" s="647">
        <f t="shared" si="3"/>
        <v>1451.987827445442</v>
      </c>
      <c r="R27" s="647">
        <f t="shared" ca="1" si="3"/>
        <v>1202694.9710238876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127"/>
      <c r="B31" s="1127"/>
      <c r="C31" s="1127"/>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95"/>
      <c r="B35" s="767"/>
      <c r="C35" s="1097" t="s">
        <v>332</v>
      </c>
      <c r="D35" s="1098"/>
      <c r="E35" s="1098"/>
      <c r="F35" s="1098"/>
      <c r="G35" s="1098"/>
      <c r="H35" s="1098"/>
      <c r="I35" s="1098"/>
      <c r="J35" s="1098"/>
      <c r="K35" s="1098"/>
      <c r="L35" s="1098"/>
      <c r="M35" s="1098"/>
      <c r="N35" s="1098"/>
      <c r="O35" s="1098"/>
      <c r="P35" s="1098"/>
      <c r="Q35" s="1098"/>
      <c r="R35" s="1099"/>
    </row>
    <row r="36" spans="1:18" ht="16.5" thickTop="1">
      <c r="A36" s="1096"/>
      <c r="B36" s="768"/>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68"/>
      <c r="C37" s="1101"/>
      <c r="D37" s="104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86"/>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34935.929302847435</v>
      </c>
      <c r="D40" s="637">
        <f ca="1">tertiair!C20</f>
        <v>379.64813588799092</v>
      </c>
      <c r="E40" s="637">
        <f ca="1">tertiair!D20</f>
        <v>21356.44732314951</v>
      </c>
      <c r="F40" s="637">
        <f ca="1">tertiair!E20</f>
        <v>8.5142120266485914</v>
      </c>
      <c r="G40" s="637">
        <f ca="1">tertiair!F20</f>
        <v>5425.7443618755169</v>
      </c>
      <c r="H40" s="637">
        <f>tertiair!G20</f>
        <v>0</v>
      </c>
      <c r="I40" s="637">
        <f>tertiair!H20</f>
        <v>0</v>
      </c>
      <c r="J40" s="637">
        <f>tertiair!I20</f>
        <v>0</v>
      </c>
      <c r="K40" s="637">
        <f>tertiair!J20</f>
        <v>9.8352831445161094E-3</v>
      </c>
      <c r="L40" s="637">
        <f>tertiair!K20</f>
        <v>0</v>
      </c>
      <c r="M40" s="637">
        <f ca="1">tertiair!L20</f>
        <v>0</v>
      </c>
      <c r="N40" s="637">
        <f>tertiair!M20</f>
        <v>0</v>
      </c>
      <c r="O40" s="637">
        <f ca="1">tertiair!N20</f>
        <v>0</v>
      </c>
      <c r="P40" s="637">
        <f>tertiair!O20</f>
        <v>0</v>
      </c>
      <c r="Q40" s="720">
        <f>tertiair!P20</f>
        <v>0</v>
      </c>
      <c r="R40" s="798">
        <f t="shared" ca="1" si="4"/>
        <v>62106.29317107024</v>
      </c>
    </row>
    <row r="41" spans="1:18">
      <c r="A41" s="770" t="s">
        <v>214</v>
      </c>
      <c r="B41" s="777"/>
      <c r="C41" s="637">
        <f ca="1">huishoudens!B12</f>
        <v>10148.281255567021</v>
      </c>
      <c r="D41" s="637">
        <f ca="1">huishoudens!C12</f>
        <v>0</v>
      </c>
      <c r="E41" s="637">
        <f>huishoudens!D12</f>
        <v>30171.599810439682</v>
      </c>
      <c r="F41" s="637">
        <f>huishoudens!E12</f>
        <v>674.04053408790935</v>
      </c>
      <c r="G41" s="637">
        <f>huishoudens!F12</f>
        <v>10043.797088126888</v>
      </c>
      <c r="H41" s="637">
        <f>huishoudens!G12</f>
        <v>0</v>
      </c>
      <c r="I41" s="637">
        <f>huishoudens!H12</f>
        <v>0</v>
      </c>
      <c r="J41" s="637">
        <f>huishoudens!I12</f>
        <v>0</v>
      </c>
      <c r="K41" s="637">
        <f>huishoudens!J12</f>
        <v>85.233241529261292</v>
      </c>
      <c r="L41" s="637">
        <f>huishoudens!K12</f>
        <v>0</v>
      </c>
      <c r="M41" s="637">
        <f>huishoudens!L12</f>
        <v>0</v>
      </c>
      <c r="N41" s="637">
        <f>huishoudens!M12</f>
        <v>0</v>
      </c>
      <c r="O41" s="637">
        <f>huishoudens!N12</f>
        <v>0</v>
      </c>
      <c r="P41" s="637">
        <f>huishoudens!O12</f>
        <v>0</v>
      </c>
      <c r="Q41" s="720">
        <f>huishoudens!P12</f>
        <v>0</v>
      </c>
      <c r="R41" s="798">
        <f t="shared" ca="1" si="4"/>
        <v>51122.951929750765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6641.3877898656428</v>
      </c>
      <c r="D43" s="637">
        <f ca="1">industrie!C22</f>
        <v>0</v>
      </c>
      <c r="E43" s="637">
        <f>industrie!D22</f>
        <v>4857.9336536415149</v>
      </c>
      <c r="F43" s="637">
        <f>industrie!E22</f>
        <v>65.768749619027858</v>
      </c>
      <c r="G43" s="637">
        <f>industrie!F22</f>
        <v>2527.2888027155627</v>
      </c>
      <c r="H43" s="637">
        <f>industrie!G22</f>
        <v>0</v>
      </c>
      <c r="I43" s="637">
        <f>industrie!H22</f>
        <v>0</v>
      </c>
      <c r="J43" s="637">
        <f>industrie!I22</f>
        <v>0</v>
      </c>
      <c r="K43" s="637">
        <f>industrie!J22</f>
        <v>2.2794323853320413</v>
      </c>
      <c r="L43" s="637">
        <f>industrie!K22</f>
        <v>0</v>
      </c>
      <c r="M43" s="637">
        <f>industrie!L22</f>
        <v>0</v>
      </c>
      <c r="N43" s="637">
        <f>industrie!M22</f>
        <v>0</v>
      </c>
      <c r="O43" s="637">
        <f>industrie!N22</f>
        <v>0</v>
      </c>
      <c r="P43" s="637">
        <f>industrie!O22</f>
        <v>0</v>
      </c>
      <c r="Q43" s="720">
        <f>industrie!P22</f>
        <v>0</v>
      </c>
      <c r="R43" s="797">
        <f t="shared" ca="1" si="4"/>
        <v>14094.65842822708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51725.598348280102</v>
      </c>
      <c r="D46" s="673">
        <f t="shared" ref="D46:Q46" ca="1" si="5">SUM(D39:D45)</f>
        <v>379.64813588799092</v>
      </c>
      <c r="E46" s="673">
        <f t="shared" ca="1" si="5"/>
        <v>56385.980787230706</v>
      </c>
      <c r="F46" s="673">
        <f t="shared" ca="1" si="5"/>
        <v>748.32349573358579</v>
      </c>
      <c r="G46" s="673">
        <f t="shared" ca="1" si="5"/>
        <v>17996.830252717969</v>
      </c>
      <c r="H46" s="673">
        <f t="shared" si="5"/>
        <v>0</v>
      </c>
      <c r="I46" s="673">
        <f t="shared" si="5"/>
        <v>0</v>
      </c>
      <c r="J46" s="673">
        <f t="shared" si="5"/>
        <v>0</v>
      </c>
      <c r="K46" s="673">
        <f t="shared" si="5"/>
        <v>87.522509197737847</v>
      </c>
      <c r="L46" s="673">
        <f t="shared" si="5"/>
        <v>0</v>
      </c>
      <c r="M46" s="673">
        <f t="shared" ca="1" si="5"/>
        <v>0</v>
      </c>
      <c r="N46" s="673">
        <f t="shared" si="5"/>
        <v>0</v>
      </c>
      <c r="O46" s="673">
        <f t="shared" ca="1" si="5"/>
        <v>0</v>
      </c>
      <c r="P46" s="673">
        <f t="shared" si="5"/>
        <v>0</v>
      </c>
      <c r="Q46" s="673">
        <f t="shared" si="5"/>
        <v>0</v>
      </c>
      <c r="R46" s="673">
        <f ca="1">SUM(R39:R45)</f>
        <v>127323.90352904808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39.121831730736076</v>
      </c>
      <c r="D49" s="637">
        <f ca="1">transport!C58</f>
        <v>0</v>
      </c>
      <c r="E49" s="637">
        <f>transport!D58</f>
        <v>0</v>
      </c>
      <c r="F49" s="637">
        <f>transport!E58</f>
        <v>0</v>
      </c>
      <c r="G49" s="637">
        <f>transport!F58</f>
        <v>0</v>
      </c>
      <c r="H49" s="637">
        <f>transport!G58</f>
        <v>2028.3917230445566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2067.5135547752925</v>
      </c>
    </row>
    <row r="50" spans="1:18">
      <c r="A50" s="773" t="s">
        <v>294</v>
      </c>
      <c r="B50" s="783"/>
      <c r="C50" s="643">
        <f ca="1">transport!B18</f>
        <v>678.70921533748344</v>
      </c>
      <c r="D50" s="643">
        <f>transport!C18</f>
        <v>0</v>
      </c>
      <c r="E50" s="643">
        <f>transport!D18</f>
        <v>520.66646518773382</v>
      </c>
      <c r="F50" s="643">
        <f>transport!E18</f>
        <v>228.94487567184098</v>
      </c>
      <c r="G50" s="643">
        <f>transport!F18</f>
        <v>0</v>
      </c>
      <c r="H50" s="643">
        <f>transport!G18</f>
        <v>99684.905875723853</v>
      </c>
      <c r="I50" s="643">
        <f>transport!H18</f>
        <v>31778.610619989413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132891.83705191032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717.8310470682195</v>
      </c>
      <c r="D52" s="673">
        <f t="shared" ref="D52:Q52" ca="1" si="6">SUM(D48:D51)</f>
        <v>0</v>
      </c>
      <c r="E52" s="673">
        <f t="shared" si="6"/>
        <v>520.66646518773382</v>
      </c>
      <c r="F52" s="673">
        <f t="shared" si="6"/>
        <v>228.94487567184098</v>
      </c>
      <c r="G52" s="673">
        <f t="shared" si="6"/>
        <v>0</v>
      </c>
      <c r="H52" s="673">
        <f t="shared" si="6"/>
        <v>101713.2975987684</v>
      </c>
      <c r="I52" s="673">
        <f t="shared" si="6"/>
        <v>31778.610619989413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134959.35060668562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82.038320161724357</v>
      </c>
      <c r="D54" s="643">
        <f ca="1">+landbouw!C12</f>
        <v>0</v>
      </c>
      <c r="E54" s="643">
        <f>+landbouw!D12</f>
        <v>45.211839263399213</v>
      </c>
      <c r="F54" s="643">
        <f>+landbouw!E12</f>
        <v>2.9694847207645032</v>
      </c>
      <c r="G54" s="643">
        <f>+landbouw!F12</f>
        <v>358.8590586397782</v>
      </c>
      <c r="H54" s="643">
        <f>+landbouw!G12</f>
        <v>0</v>
      </c>
      <c r="I54" s="643">
        <f>+landbouw!H12</f>
        <v>0</v>
      </c>
      <c r="J54" s="643">
        <f>+landbouw!I12</f>
        <v>0</v>
      </c>
      <c r="K54" s="643">
        <f>+landbouw!J12</f>
        <v>29.806979550090208</v>
      </c>
      <c r="L54" s="643">
        <f>+landbouw!K12</f>
        <v>0</v>
      </c>
      <c r="M54" s="643">
        <f>+landbouw!L12</f>
        <v>0</v>
      </c>
      <c r="N54" s="643">
        <f>+landbouw!M12</f>
        <v>0</v>
      </c>
      <c r="O54" s="643">
        <f>+landbouw!N12</f>
        <v>0</v>
      </c>
      <c r="P54" s="643">
        <f>+landbouw!O12</f>
        <v>0</v>
      </c>
      <c r="Q54" s="644">
        <f>+landbouw!P12</f>
        <v>0</v>
      </c>
      <c r="R54" s="672">
        <f ca="1">SUM(C54:Q54)</f>
        <v>518.88568233575654</v>
      </c>
    </row>
    <row r="55" spans="1:18" ht="15" thickBot="1">
      <c r="A55" s="773" t="s">
        <v>634</v>
      </c>
      <c r="B55" s="783"/>
      <c r="C55" s="643">
        <f ca="1">C25*'EF ele_warmte'!B12</f>
        <v>1312.9133441000997</v>
      </c>
      <c r="D55" s="643"/>
      <c r="E55" s="643">
        <f>E25*EF_CO2_aardgas</f>
        <v>2169.0688394507933</v>
      </c>
      <c r="F55" s="643"/>
      <c r="G55" s="643"/>
      <c r="H55" s="643"/>
      <c r="I55" s="643"/>
      <c r="J55" s="643"/>
      <c r="K55" s="643"/>
      <c r="L55" s="643"/>
      <c r="M55" s="643"/>
      <c r="N55" s="643"/>
      <c r="O55" s="643"/>
      <c r="P55" s="643"/>
      <c r="Q55" s="644"/>
      <c r="R55" s="672">
        <f ca="1">SUM(C55:Q55)</f>
        <v>3481.9821835508928</v>
      </c>
    </row>
    <row r="56" spans="1:18" ht="15.75" thickBot="1">
      <c r="A56" s="771" t="s">
        <v>635</v>
      </c>
      <c r="B56" s="784"/>
      <c r="C56" s="673">
        <f ca="1">SUM(C54:C55)</f>
        <v>1394.9516642618241</v>
      </c>
      <c r="D56" s="673">
        <f t="shared" ref="D56:Q56" ca="1" si="7">SUM(D54:D55)</f>
        <v>0</v>
      </c>
      <c r="E56" s="673">
        <f t="shared" si="7"/>
        <v>2214.2806787141926</v>
      </c>
      <c r="F56" s="673">
        <f t="shared" si="7"/>
        <v>2.9694847207645032</v>
      </c>
      <c r="G56" s="673">
        <f t="shared" si="7"/>
        <v>358.8590586397782</v>
      </c>
      <c r="H56" s="673">
        <f t="shared" si="7"/>
        <v>0</v>
      </c>
      <c r="I56" s="673">
        <f t="shared" si="7"/>
        <v>0</v>
      </c>
      <c r="J56" s="673">
        <f t="shared" si="7"/>
        <v>0</v>
      </c>
      <c r="K56" s="673">
        <f t="shared" si="7"/>
        <v>29.806979550090208</v>
      </c>
      <c r="L56" s="673">
        <f t="shared" si="7"/>
        <v>0</v>
      </c>
      <c r="M56" s="673">
        <f t="shared" si="7"/>
        <v>0</v>
      </c>
      <c r="N56" s="673">
        <f t="shared" si="7"/>
        <v>0</v>
      </c>
      <c r="O56" s="673">
        <f t="shared" si="7"/>
        <v>0</v>
      </c>
      <c r="P56" s="673">
        <f t="shared" si="7"/>
        <v>0</v>
      </c>
      <c r="Q56" s="674">
        <f t="shared" si="7"/>
        <v>0</v>
      </c>
      <c r="R56" s="675">
        <f ca="1">SUM(R54:R55)</f>
        <v>4000.8678658866493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105"/>
      <c r="D58" s="1106"/>
      <c r="E58" s="1106"/>
      <c r="F58" s="1106"/>
      <c r="G58" s="1106"/>
      <c r="H58" s="1106"/>
      <c r="I58" s="1106"/>
      <c r="J58" s="1106"/>
      <c r="K58" s="1106"/>
      <c r="L58" s="1106"/>
      <c r="M58" s="1106"/>
      <c r="N58" s="1106"/>
      <c r="O58" s="1106"/>
      <c r="P58" s="1106"/>
      <c r="Q58" s="1106"/>
      <c r="R58" s="679"/>
    </row>
    <row r="59" spans="1:18" ht="15">
      <c r="A59" s="775" t="s">
        <v>228</v>
      </c>
      <c r="B59" s="762"/>
      <c r="C59" s="1107"/>
      <c r="D59" s="1108"/>
      <c r="E59" s="1108"/>
      <c r="F59" s="1108"/>
      <c r="G59" s="1108"/>
      <c r="H59" s="1108"/>
      <c r="I59" s="1108"/>
      <c r="J59" s="1108"/>
      <c r="K59" s="1108"/>
      <c r="L59" s="1108"/>
      <c r="M59" s="1108"/>
      <c r="N59" s="1108"/>
      <c r="O59" s="1108"/>
      <c r="P59" s="1108"/>
      <c r="Q59" s="1108"/>
      <c r="R59" s="680"/>
    </row>
    <row r="60" spans="1:18" ht="15" thickBot="1">
      <c r="A60" s="786" t="s">
        <v>229</v>
      </c>
      <c r="B60" s="787"/>
      <c r="C60" s="1107"/>
      <c r="D60" s="1108"/>
      <c r="E60" s="1108"/>
      <c r="F60" s="1108"/>
      <c r="G60" s="1108"/>
      <c r="H60" s="1108"/>
      <c r="I60" s="1108"/>
      <c r="J60" s="1108"/>
      <c r="K60" s="1108"/>
      <c r="L60" s="1108"/>
      <c r="M60" s="1108"/>
      <c r="N60" s="1108"/>
      <c r="O60" s="1108"/>
      <c r="P60" s="1108"/>
      <c r="Q60" s="1108"/>
      <c r="R60" s="672"/>
    </row>
    <row r="61" spans="1:18" ht="16.5" thickBot="1">
      <c r="A61" s="789" t="s">
        <v>109</v>
      </c>
      <c r="B61" s="790"/>
      <c r="C61" s="681">
        <f ca="1">C46+C52+C56</f>
        <v>53838.381059610147</v>
      </c>
      <c r="D61" s="681">
        <f t="shared" ref="D61:Q61" ca="1" si="8">D46+D52+D56</f>
        <v>379.64813588799092</v>
      </c>
      <c r="E61" s="681">
        <f t="shared" ca="1" si="8"/>
        <v>59120.927931132639</v>
      </c>
      <c r="F61" s="681">
        <f t="shared" ca="1" si="8"/>
        <v>980.23785612619122</v>
      </c>
      <c r="G61" s="681">
        <f t="shared" ca="1" si="8"/>
        <v>18355.689311357746</v>
      </c>
      <c r="H61" s="681">
        <f t="shared" si="8"/>
        <v>101713.2975987684</v>
      </c>
      <c r="I61" s="681">
        <f t="shared" si="8"/>
        <v>31778.610619989413</v>
      </c>
      <c r="J61" s="681">
        <f t="shared" si="8"/>
        <v>0</v>
      </c>
      <c r="K61" s="681">
        <f t="shared" si="8"/>
        <v>117.32948874782805</v>
      </c>
      <c r="L61" s="681">
        <f t="shared" si="8"/>
        <v>0</v>
      </c>
      <c r="M61" s="681">
        <f t="shared" ca="1" si="8"/>
        <v>0</v>
      </c>
      <c r="N61" s="681">
        <f t="shared" si="8"/>
        <v>0</v>
      </c>
      <c r="O61" s="681">
        <f t="shared" ca="1" si="8"/>
        <v>0</v>
      </c>
      <c r="P61" s="681">
        <f t="shared" si="8"/>
        <v>0</v>
      </c>
      <c r="Q61" s="681">
        <f t="shared" si="8"/>
        <v>0</v>
      </c>
      <c r="R61" s="681">
        <f ca="1">R46+R52+R56</f>
        <v>266284.12200162036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0.21147976328109261</v>
      </c>
      <c r="D63" s="727">
        <f t="shared" ca="1" si="9"/>
        <v>0.24795596681557122</v>
      </c>
      <c r="E63" s="916">
        <f t="shared" ca="1" si="9"/>
        <v>0.20200000000000004</v>
      </c>
      <c r="F63" s="727">
        <f t="shared" ca="1" si="9"/>
        <v>0.22699999999999998</v>
      </c>
      <c r="G63" s="727">
        <f t="shared" ca="1" si="9"/>
        <v>0.26700000000000002</v>
      </c>
      <c r="H63" s="727">
        <f t="shared" si="9"/>
        <v>0.26699999999999996</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83"/>
      <c r="B67" s="1083"/>
      <c r="C67" s="1083"/>
      <c r="D67" s="1083"/>
      <c r="E67" s="1083"/>
      <c r="F67" s="1083"/>
      <c r="G67" s="1083"/>
      <c r="H67" s="1083"/>
      <c r="I67" s="1083"/>
      <c r="J67" s="1083"/>
      <c r="K67" s="1083"/>
      <c r="L67" s="1083"/>
      <c r="M67" s="1083"/>
      <c r="N67" s="1083"/>
      <c r="O67" s="1083"/>
      <c r="P67" s="1083"/>
      <c r="Q67" s="1083"/>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84" t="s">
        <v>230</v>
      </c>
      <c r="B69" s="1070" t="s">
        <v>336</v>
      </c>
      <c r="C69" s="1071"/>
      <c r="D69" s="1050" t="s">
        <v>337</v>
      </c>
      <c r="E69" s="1051"/>
      <c r="F69" s="1051"/>
      <c r="G69" s="1051"/>
      <c r="H69" s="1051"/>
      <c r="I69" s="1051"/>
      <c r="J69" s="1051"/>
      <c r="K69" s="1051"/>
      <c r="L69" s="1051"/>
      <c r="M69" s="1051"/>
      <c r="N69" s="1051"/>
      <c r="O69" s="1052"/>
      <c r="P69" s="904" t="s">
        <v>576</v>
      </c>
      <c r="Q69" s="1042" t="s">
        <v>575</v>
      </c>
      <c r="R69" s="1043"/>
    </row>
    <row r="70" spans="1:18" ht="61.5" thickTop="1" thickBot="1">
      <c r="A70" s="1085"/>
      <c r="B70" s="1072"/>
      <c r="C70" s="1073"/>
      <c r="D70" s="1067" t="s">
        <v>190</v>
      </c>
      <c r="E70" s="1068"/>
      <c r="F70" s="1068"/>
      <c r="G70" s="1068"/>
      <c r="H70" s="1069"/>
      <c r="I70" s="878" t="s">
        <v>235</v>
      </c>
      <c r="J70" s="878" t="s">
        <v>223</v>
      </c>
      <c r="K70" s="878" t="s">
        <v>202</v>
      </c>
      <c r="L70" s="878" t="s">
        <v>203</v>
      </c>
      <c r="M70" s="691" t="s">
        <v>234</v>
      </c>
      <c r="N70" s="878" t="s">
        <v>236</v>
      </c>
      <c r="O70" s="880" t="s">
        <v>120</v>
      </c>
      <c r="P70" s="905"/>
      <c r="Q70" s="804"/>
      <c r="R70" s="805"/>
    </row>
    <row r="71" spans="1:18" ht="95.25" customHeight="1" thickTop="1" thickBot="1">
      <c r="A71" s="1086"/>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046"/>
      <c r="D72" s="1046"/>
      <c r="E72" s="1059"/>
      <c r="F72" s="1059"/>
      <c r="G72" s="1060"/>
      <c r="H72" s="1063"/>
      <c r="I72" s="1049"/>
      <c r="J72" s="881"/>
      <c r="K72" s="1053"/>
      <c r="L72" s="1053"/>
      <c r="M72" s="1053"/>
      <c r="N72" s="1053"/>
      <c r="O72" s="1056"/>
      <c r="P72" s="799">
        <v>0</v>
      </c>
      <c r="Q72" s="907"/>
      <c r="R72" s="799">
        <v>0</v>
      </c>
    </row>
    <row r="73" spans="1:18" ht="15">
      <c r="A73" s="695" t="s">
        <v>239</v>
      </c>
      <c r="B73" s="694">
        <f>'lokale energieproductie'!B5</f>
        <v>0</v>
      </c>
      <c r="C73" s="1047"/>
      <c r="D73" s="1047"/>
      <c r="E73" s="1054"/>
      <c r="F73" s="1054"/>
      <c r="G73" s="1061"/>
      <c r="H73" s="1064"/>
      <c r="I73" s="1047"/>
      <c r="J73" s="882"/>
      <c r="K73" s="1054"/>
      <c r="L73" s="1054"/>
      <c r="M73" s="1054"/>
      <c r="N73" s="1054"/>
      <c r="O73" s="1057"/>
      <c r="P73" s="800">
        <v>0</v>
      </c>
      <c r="Q73" s="806"/>
      <c r="R73" s="800">
        <v>0</v>
      </c>
    </row>
    <row r="74" spans="1:18" ht="15">
      <c r="A74" s="695" t="s">
        <v>240</v>
      </c>
      <c r="B74" s="694">
        <f>'lokale energieproductie'!B6</f>
        <v>11098.566121237554</v>
      </c>
      <c r="C74" s="1047"/>
      <c r="D74" s="1047"/>
      <c r="E74" s="1054"/>
      <c r="F74" s="1054"/>
      <c r="G74" s="1061"/>
      <c r="H74" s="1064"/>
      <c r="I74" s="1047"/>
      <c r="J74" s="882"/>
      <c r="K74" s="1054"/>
      <c r="L74" s="1054"/>
      <c r="M74" s="1054"/>
      <c r="N74" s="1054"/>
      <c r="O74" s="1057"/>
      <c r="P74" s="800">
        <v>0</v>
      </c>
      <c r="Q74" s="806"/>
      <c r="R74" s="800">
        <v>0</v>
      </c>
    </row>
    <row r="75" spans="1:18" ht="15.75" thickBot="1">
      <c r="A75" s="695" t="s">
        <v>637</v>
      </c>
      <c r="B75" s="694">
        <f>'lokale energieproductie'!B7</f>
        <v>0</v>
      </c>
      <c r="C75" s="1048"/>
      <c r="D75" s="1048"/>
      <c r="E75" s="1055"/>
      <c r="F75" s="1055"/>
      <c r="G75" s="1062"/>
      <c r="H75" s="1065"/>
      <c r="I75" s="1048"/>
      <c r="J75" s="901"/>
      <c r="K75" s="1055"/>
      <c r="L75" s="1055"/>
      <c r="M75" s="1055"/>
      <c r="N75" s="1055"/>
      <c r="O75" s="1058"/>
      <c r="P75" s="800">
        <v>0</v>
      </c>
      <c r="Q75" s="908"/>
      <c r="R75" s="800">
        <v>0</v>
      </c>
    </row>
    <row r="76" spans="1:18" ht="15">
      <c r="A76" s="696" t="s">
        <v>241</v>
      </c>
      <c r="B76" s="694">
        <f>'lokale energieproductie'!B8*IFERROR(SUM(I76:O76)/SUM(D76:O76),0)</f>
        <v>0</v>
      </c>
      <c r="C76" s="694">
        <f>'lokale energieproductie'!B8*IFERROR(SUM(D76:H76)/SUM(D76:O76),0)</f>
        <v>1080.5555556419999</v>
      </c>
      <c r="D76" s="899">
        <f>'lokale energieproductie'!C8</f>
        <v>1326.387116322519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267.93019749714887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11098.566121237554</v>
      </c>
      <c r="C78" s="699">
        <f>SUM(C72:C77)</f>
        <v>1080.5555556419999</v>
      </c>
      <c r="D78" s="700">
        <f t="shared" ref="D78:H78" si="10">SUM(D76:D77)</f>
        <v>1326.387116322519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267.93019749714887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83"/>
      <c r="B82" s="1083"/>
      <c r="C82" s="1083"/>
      <c r="D82" s="1083"/>
      <c r="E82" s="1083"/>
      <c r="F82" s="1083"/>
      <c r="G82" s="1083"/>
      <c r="H82" s="1083"/>
      <c r="I82" s="1083"/>
      <c r="J82" s="1083"/>
      <c r="K82" s="1083"/>
      <c r="L82" s="1083"/>
      <c r="M82" s="1083"/>
      <c r="N82" s="1083"/>
      <c r="O82" s="1083"/>
      <c r="P82" s="1083"/>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84" t="s">
        <v>242</v>
      </c>
      <c r="B84" s="1070" t="s">
        <v>340</v>
      </c>
      <c r="C84" s="1092"/>
      <c r="D84" s="1080" t="s">
        <v>341</v>
      </c>
      <c r="E84" s="1081"/>
      <c r="F84" s="1081"/>
      <c r="G84" s="1081"/>
      <c r="H84" s="1081"/>
      <c r="I84" s="1081"/>
      <c r="J84" s="1081"/>
      <c r="K84" s="1081"/>
      <c r="L84" s="1081"/>
      <c r="M84" s="1081"/>
      <c r="N84" s="1081"/>
      <c r="O84" s="1082"/>
      <c r="P84" s="904" t="s">
        <v>576</v>
      </c>
      <c r="Q84" s="1070" t="s">
        <v>575</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05"/>
      <c r="Q85" s="804"/>
      <c r="R85" s="805"/>
    </row>
    <row r="86" spans="1:19" ht="110.25" customHeight="1" thickTop="1" thickBot="1">
      <c r="A86" s="1086"/>
      <c r="B86" s="792" t="s">
        <v>574</v>
      </c>
      <c r="C86" s="792" t="s">
        <v>638</v>
      </c>
      <c r="D86" s="708" t="s">
        <v>192</v>
      </c>
      <c r="E86" s="692" t="s">
        <v>193</v>
      </c>
      <c r="F86" s="709" t="s">
        <v>194</v>
      </c>
      <c r="G86" s="692" t="s">
        <v>196</v>
      </c>
      <c r="H86" s="710" t="s">
        <v>197</v>
      </c>
      <c r="I86" s="1079"/>
      <c r="J86" s="1075"/>
      <c r="K86" s="1045"/>
      <c r="L86" s="1045"/>
      <c r="M86" s="1091"/>
      <c r="N86" s="1045"/>
      <c r="O86" s="1077"/>
      <c r="P86" s="906"/>
      <c r="Q86" s="745" t="s">
        <v>577</v>
      </c>
      <c r="R86" s="743" t="s">
        <v>578</v>
      </c>
    </row>
    <row r="87" spans="1:19" ht="15.75" thickTop="1">
      <c r="A87" s="711" t="s">
        <v>241</v>
      </c>
      <c r="B87" s="712">
        <f>'lokale energieproductie'!B17*IFERROR(SUM(I87:O87)/SUM(D87:O87),0)</f>
        <v>0</v>
      </c>
      <c r="C87" s="712">
        <f>'lokale energieproductie'!B17*IFERROR(SUM(D87:H87)/SUM(D87:O87),0)</f>
        <v>1531.1111112336</v>
      </c>
      <c r="D87" s="723">
        <f>'lokale energieproductie'!C17</f>
        <v>1879.4462172672816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039"/>
      <c r="Q87" s="807">
        <f>D87*EF_CO2_aardgas+E87*EF_VLgas_CO2+'SEAP template'!F87*EF_stookolie_CO2+EF_bruinkool_CO2*'SEAP template'!G87+'SEAP template'!H87*EF_steenkool_CO2+'EF brandstof'!M4*'SEAP template'!M87+'SEAP template'!O87*EF_anderfossiel_CO2</f>
        <v>379.64813588799092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040"/>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041"/>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1531.1111112336</v>
      </c>
      <c r="D90" s="699">
        <f t="shared" ref="D90:H90" si="12">SUM(D87:D89)</f>
        <v>1879.4462172672816</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379.64813588799092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07" t="s">
        <v>716</v>
      </c>
      <c r="C2" s="994" t="s">
        <v>584</v>
      </c>
      <c r="D2" s="994" t="s">
        <v>689</v>
      </c>
      <c r="E2" s="340"/>
      <c r="F2" s="846" t="s">
        <v>611</v>
      </c>
      <c r="G2" s="846" t="s">
        <v>610</v>
      </c>
      <c r="H2" s="846" t="s">
        <v>612</v>
      </c>
    </row>
    <row r="3" spans="1:8" s="10" customFormat="1">
      <c r="A3" s="994" t="s">
        <v>819</v>
      </c>
      <c r="B3" s="1007" t="s">
        <v>820</v>
      </c>
      <c r="C3" s="994" t="s">
        <v>186</v>
      </c>
      <c r="D3" s="1029" t="s">
        <v>821</v>
      </c>
      <c r="E3" s="1021"/>
      <c r="F3" s="846" t="s">
        <v>611</v>
      </c>
      <c r="G3" s="846" t="s">
        <v>610</v>
      </c>
      <c r="H3" s="846" t="s">
        <v>612</v>
      </c>
    </row>
    <row r="4" spans="1:8" s="10" customFormat="1">
      <c r="A4" s="339" t="s">
        <v>376</v>
      </c>
      <c r="B4" s="747">
        <v>2021</v>
      </c>
      <c r="C4" s="339" t="s">
        <v>376</v>
      </c>
      <c r="D4" s="339" t="s">
        <v>618</v>
      </c>
      <c r="E4" s="1021"/>
      <c r="F4" s="846" t="s">
        <v>608</v>
      </c>
      <c r="G4" s="846" t="s">
        <v>609</v>
      </c>
      <c r="H4" s="846" t="s">
        <v>814</v>
      </c>
    </row>
    <row r="5" spans="1:8">
      <c r="A5" s="334" t="s">
        <v>682</v>
      </c>
      <c r="B5" s="842" t="s">
        <v>754</v>
      </c>
      <c r="C5" s="334" t="s">
        <v>682</v>
      </c>
      <c r="D5" s="334" t="s">
        <v>619</v>
      </c>
      <c r="E5" s="341" t="s">
        <v>755</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813</v>
      </c>
      <c r="E7" s="341" t="s">
        <v>614</v>
      </c>
      <c r="F7" s="1022"/>
      <c r="G7" s="1022"/>
      <c r="H7" s="1023"/>
    </row>
    <row r="8" spans="1:8" s="836" customFormat="1">
      <c r="A8" s="339" t="s">
        <v>624</v>
      </c>
      <c r="B8" s="747">
        <v>2017</v>
      </c>
      <c r="C8" s="339" t="s">
        <v>626</v>
      </c>
      <c r="D8" s="339" t="s">
        <v>625</v>
      </c>
      <c r="E8" s="341" t="s">
        <v>623</v>
      </c>
      <c r="F8" s="337"/>
      <c r="G8" s="337"/>
      <c r="H8" s="338"/>
    </row>
    <row r="9" spans="1:8" s="11" customFormat="1">
      <c r="A9" s="339" t="s">
        <v>562</v>
      </c>
      <c r="B9" s="747" t="s">
        <v>752</v>
      </c>
      <c r="C9" s="339" t="s">
        <v>563</v>
      </c>
      <c r="D9" s="339" t="s">
        <v>564</v>
      </c>
      <c r="E9" s="341" t="s">
        <v>753</v>
      </c>
      <c r="F9" s="846" t="s">
        <v>690</v>
      </c>
      <c r="G9" s="846"/>
      <c r="H9" s="993" t="s">
        <v>691</v>
      </c>
    </row>
    <row r="10" spans="1:8" s="10" customFormat="1">
      <c r="A10" s="339" t="s">
        <v>617</v>
      </c>
      <c r="B10" s="747">
        <v>2017</v>
      </c>
      <c r="C10" s="339" t="s">
        <v>390</v>
      </c>
      <c r="D10" s="339" t="s">
        <v>616</v>
      </c>
      <c r="E10" s="1021"/>
      <c r="F10" s="846" t="s">
        <v>615</v>
      </c>
      <c r="G10" s="846" t="s">
        <v>620</v>
      </c>
      <c r="H10" s="1030" t="s">
        <v>621</v>
      </c>
    </row>
    <row r="11" spans="1:8">
      <c r="A11" s="334" t="s">
        <v>757</v>
      </c>
      <c r="B11" s="335" t="s">
        <v>750</v>
      </c>
      <c r="C11" s="334" t="s">
        <v>757</v>
      </c>
      <c r="D11" s="334" t="s">
        <v>758</v>
      </c>
      <c r="E11" s="341" t="s">
        <v>756</v>
      </c>
      <c r="F11" s="337"/>
      <c r="G11" s="337"/>
      <c r="H11" s="337"/>
    </row>
    <row r="12" spans="1:8" s="843" customFormat="1">
      <c r="A12" s="1009" t="s">
        <v>726</v>
      </c>
      <c r="B12" s="1010" t="s">
        <v>799</v>
      </c>
      <c r="C12" s="1009" t="s">
        <v>726</v>
      </c>
      <c r="D12" s="1009" t="s">
        <v>389</v>
      </c>
      <c r="E12" s="1011"/>
      <c r="F12" s="1012" t="s">
        <v>794</v>
      </c>
      <c r="G12" s="1012" t="s">
        <v>795</v>
      </c>
      <c r="H12" s="1012" t="s">
        <v>796</v>
      </c>
    </row>
    <row r="13" spans="1:8" s="843" customFormat="1">
      <c r="A13" s="339" t="s">
        <v>471</v>
      </c>
      <c r="B13" s="342" t="s">
        <v>702</v>
      </c>
      <c r="C13" s="339" t="s">
        <v>630</v>
      </c>
      <c r="D13" s="1014" t="s">
        <v>701</v>
      </c>
      <c r="E13" s="1011"/>
      <c r="F13" s="1012" t="s">
        <v>607</v>
      </c>
      <c r="G13" s="1012" t="s">
        <v>801</v>
      </c>
      <c r="H13" s="1015" t="s">
        <v>729</v>
      </c>
    </row>
    <row r="14" spans="1:8" s="843" customFormat="1">
      <c r="A14" s="1009" t="s">
        <v>726</v>
      </c>
      <c r="B14" s="1013" t="s">
        <v>800</v>
      </c>
      <c r="C14" s="1009" t="s">
        <v>726</v>
      </c>
      <c r="D14" s="1014" t="s">
        <v>703</v>
      </c>
      <c r="E14" s="1011"/>
      <c r="F14" s="1012" t="s">
        <v>794</v>
      </c>
      <c r="G14" s="1012" t="s">
        <v>795</v>
      </c>
      <c r="H14" s="1012" t="s">
        <v>796</v>
      </c>
    </row>
    <row r="15" spans="1:8" s="843" customFormat="1">
      <c r="A15" s="1009" t="s">
        <v>727</v>
      </c>
      <c r="B15" s="1013" t="s">
        <v>765</v>
      </c>
      <c r="C15" s="1009" t="s">
        <v>726</v>
      </c>
      <c r="D15" s="1009" t="s">
        <v>764</v>
      </c>
      <c r="E15" s="1016" t="s">
        <v>730</v>
      </c>
      <c r="F15" s="1012" t="s">
        <v>607</v>
      </c>
      <c r="G15" s="1012" t="s">
        <v>801</v>
      </c>
      <c r="H15" s="1015" t="s">
        <v>729</v>
      </c>
    </row>
    <row r="16" spans="1:8" s="843" customFormat="1">
      <c r="A16" s="1009" t="s">
        <v>186</v>
      </c>
      <c r="B16" s="1017" t="s">
        <v>750</v>
      </c>
      <c r="C16" s="1009" t="s">
        <v>391</v>
      </c>
      <c r="D16" s="1009" t="s">
        <v>751</v>
      </c>
      <c r="E16" s="1011"/>
      <c r="F16" s="1012" t="s">
        <v>392</v>
      </c>
      <c r="G16" s="1012" t="s">
        <v>393</v>
      </c>
      <c r="H16" s="1015" t="s">
        <v>394</v>
      </c>
    </row>
    <row r="17" spans="1:8" s="10" customFormat="1">
      <c r="A17" s="994" t="s">
        <v>817</v>
      </c>
      <c r="B17" s="1031" t="s">
        <v>820</v>
      </c>
      <c r="C17" s="994" t="s">
        <v>186</v>
      </c>
      <c r="D17" s="994" t="s">
        <v>822</v>
      </c>
      <c r="E17" s="336"/>
      <c r="F17" s="846" t="s">
        <v>611</v>
      </c>
      <c r="G17" s="846" t="s">
        <v>610</v>
      </c>
      <c r="H17" s="846" t="s">
        <v>612</v>
      </c>
    </row>
    <row r="18" spans="1:8" s="843" customFormat="1">
      <c r="A18" s="1009" t="s">
        <v>726</v>
      </c>
      <c r="B18" s="1017" t="s">
        <v>802</v>
      </c>
      <c r="C18" s="1009" t="s">
        <v>726</v>
      </c>
      <c r="D18" s="1009" t="s">
        <v>700</v>
      </c>
      <c r="E18" s="1011"/>
      <c r="F18" s="1012" t="s">
        <v>632</v>
      </c>
      <c r="G18" s="1012" t="s">
        <v>684</v>
      </c>
      <c r="H18" s="993" t="s">
        <v>798</v>
      </c>
    </row>
    <row r="19" spans="1:8" s="843" customFormat="1">
      <c r="A19" s="1009" t="s">
        <v>726</v>
      </c>
      <c r="B19" s="1018" t="s">
        <v>802</v>
      </c>
      <c r="C19" s="1009" t="s">
        <v>726</v>
      </c>
      <c r="D19" s="1009" t="s">
        <v>699</v>
      </c>
      <c r="E19" s="1011"/>
      <c r="F19" s="1012" t="s">
        <v>632</v>
      </c>
      <c r="G19" s="1012" t="s">
        <v>684</v>
      </c>
      <c r="H19" s="993" t="s">
        <v>798</v>
      </c>
    </row>
    <row r="20" spans="1:8" s="843" customFormat="1">
      <c r="A20" s="1009" t="s">
        <v>726</v>
      </c>
      <c r="B20" s="1017" t="s">
        <v>728</v>
      </c>
      <c r="C20" s="1009" t="s">
        <v>726</v>
      </c>
      <c r="D20" s="1009" t="s">
        <v>631</v>
      </c>
      <c r="E20" s="1011"/>
      <c r="F20" s="1012" t="s">
        <v>683</v>
      </c>
      <c r="G20" s="1012" t="s">
        <v>685</v>
      </c>
      <c r="H20" s="993" t="s">
        <v>797</v>
      </c>
    </row>
    <row r="21" spans="1:8" s="843" customFormat="1">
      <c r="A21" s="1009" t="s">
        <v>726</v>
      </c>
      <c r="B21" s="1010" t="s">
        <v>793</v>
      </c>
      <c r="C21" s="1009" t="s">
        <v>726</v>
      </c>
      <c r="D21" s="1009" t="s">
        <v>805</v>
      </c>
      <c r="E21" s="1011"/>
      <c r="F21" s="1012" t="s">
        <v>794</v>
      </c>
      <c r="G21" s="1012" t="s">
        <v>795</v>
      </c>
      <c r="H21" s="1012" t="s">
        <v>796</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4"/>
  <sheetViews>
    <sheetView workbookViewId="0">
      <selection activeCell="C16" sqref="C16"/>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745</v>
      </c>
      <c r="B2" s="870"/>
      <c r="C2" s="995" t="s">
        <v>694</v>
      </c>
      <c r="D2" s="996" t="s">
        <v>695</v>
      </c>
    </row>
    <row r="3" spans="1:4" s="837" customFormat="1">
      <c r="A3" s="965" t="s">
        <v>745</v>
      </c>
      <c r="B3" s="870"/>
      <c r="C3" s="995" t="s">
        <v>697</v>
      </c>
      <c r="D3" s="874" t="s">
        <v>696</v>
      </c>
    </row>
    <row r="4" spans="1:4" s="7" customFormat="1">
      <c r="A4" s="965" t="s">
        <v>745</v>
      </c>
      <c r="B4" s="870"/>
      <c r="C4" s="997" t="s">
        <v>720</v>
      </c>
      <c r="D4" s="1006" t="s">
        <v>717</v>
      </c>
    </row>
    <row r="5" spans="1:4" s="7" customFormat="1">
      <c r="A5" s="965" t="s">
        <v>745</v>
      </c>
      <c r="B5" s="856"/>
      <c r="C5" s="997" t="s">
        <v>719</v>
      </c>
      <c r="D5" s="1006" t="s">
        <v>718</v>
      </c>
    </row>
    <row r="6" spans="1:4" s="1004" customFormat="1">
      <c r="A6" s="965" t="s">
        <v>745</v>
      </c>
      <c r="B6" s="1005"/>
      <c r="C6" s="997" t="s">
        <v>722</v>
      </c>
      <c r="D6" s="1006" t="s">
        <v>723</v>
      </c>
    </row>
    <row r="7" spans="1:4" s="7" customFormat="1">
      <c r="A7" s="965" t="s">
        <v>745</v>
      </c>
      <c r="B7" s="856"/>
      <c r="C7" s="997" t="s">
        <v>812</v>
      </c>
      <c r="D7" s="1006" t="s">
        <v>724</v>
      </c>
    </row>
    <row r="8" spans="1:4" s="7" customFormat="1">
      <c r="A8" s="965" t="s">
        <v>745</v>
      </c>
      <c r="B8" s="856"/>
      <c r="C8" s="997" t="s">
        <v>811</v>
      </c>
      <c r="D8" s="1006" t="s">
        <v>725</v>
      </c>
    </row>
    <row r="9" spans="1:4" s="7" customFormat="1">
      <c r="A9" s="965" t="s">
        <v>745</v>
      </c>
      <c r="B9" s="856"/>
      <c r="C9" s="997" t="s">
        <v>810</v>
      </c>
      <c r="D9" s="1006" t="s">
        <v>721</v>
      </c>
    </row>
    <row r="10" spans="1:4" s="7" customFormat="1">
      <c r="A10" s="965" t="s">
        <v>745</v>
      </c>
      <c r="B10" s="856"/>
      <c r="C10" s="997" t="s">
        <v>731</v>
      </c>
      <c r="D10" s="1006" t="s">
        <v>732</v>
      </c>
    </row>
    <row r="11" spans="1:4" s="7" customFormat="1">
      <c r="A11" s="965" t="s">
        <v>825</v>
      </c>
      <c r="B11" s="991"/>
      <c r="C11" s="997" t="s">
        <v>826</v>
      </c>
      <c r="D11" s="990"/>
    </row>
    <row r="12" spans="1:4" s="7" customFormat="1">
      <c r="A12" s="965"/>
      <c r="B12" s="991"/>
      <c r="C12" s="991"/>
      <c r="D12" s="990"/>
    </row>
    <row r="13" spans="1:4" s="7" customFormat="1">
      <c r="B13" s="844"/>
      <c r="C13" s="856"/>
      <c r="D13" s="871"/>
    </row>
    <row r="14" spans="1:4" s="7" customFormat="1">
      <c r="B14" s="844"/>
      <c r="D14"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28" t="s">
        <v>510</v>
      </c>
      <c r="B1" s="1129" t="s">
        <v>507</v>
      </c>
      <c r="C1" s="1129"/>
      <c r="D1" s="1129"/>
      <c r="E1" s="1129"/>
      <c r="F1" s="1129"/>
      <c r="G1" s="1129"/>
      <c r="H1" s="1129"/>
      <c r="I1" s="1129"/>
      <c r="J1" s="1129"/>
      <c r="K1" s="1129"/>
      <c r="L1" s="1129"/>
      <c r="M1" s="1129"/>
      <c r="N1" s="1129"/>
      <c r="O1" s="1129"/>
      <c r="P1" s="1130"/>
      <c r="Q1" s="440"/>
    </row>
    <row r="2" spans="1:17">
      <c r="A2" s="1128"/>
      <c r="B2" s="1131" t="s">
        <v>20</v>
      </c>
      <c r="C2" s="1133" t="s">
        <v>189</v>
      </c>
      <c r="D2" s="1135" t="s">
        <v>190</v>
      </c>
      <c r="E2" s="1136"/>
      <c r="F2" s="1136"/>
      <c r="G2" s="1136"/>
      <c r="H2" s="1136"/>
      <c r="I2" s="1136"/>
      <c r="J2" s="1136"/>
      <c r="K2" s="1132"/>
      <c r="L2" s="1135" t="s">
        <v>191</v>
      </c>
      <c r="M2" s="1136"/>
      <c r="N2" s="1136"/>
      <c r="O2" s="1136"/>
      <c r="P2" s="1132"/>
      <c r="Q2" s="440"/>
    </row>
    <row r="3" spans="1:17" ht="45">
      <c r="A3" s="1128"/>
      <c r="B3" s="1132"/>
      <c r="C3" s="1134"/>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47987.008771511762</v>
      </c>
      <c r="C4" s="443">
        <f>huishoudens!C8</f>
        <v>0</v>
      </c>
      <c r="D4" s="443">
        <f>huishoudens!D8</f>
        <v>149364.35549722615</v>
      </c>
      <c r="E4" s="443">
        <f>huishoudens!E8</f>
        <v>2969.3415598586312</v>
      </c>
      <c r="F4" s="443">
        <f>huishoudens!F8</f>
        <v>37617.217558527671</v>
      </c>
      <c r="G4" s="443">
        <f>huishoudens!G8</f>
        <v>0</v>
      </c>
      <c r="H4" s="443">
        <f>huishoudens!H8</f>
        <v>0</v>
      </c>
      <c r="I4" s="443">
        <f>huishoudens!I8</f>
        <v>0</v>
      </c>
      <c r="J4" s="443">
        <f>huishoudens!J8</f>
        <v>240.77186872672684</v>
      </c>
      <c r="K4" s="443">
        <f>huishoudens!K8</f>
        <v>0</v>
      </c>
      <c r="L4" s="443">
        <f>huishoudens!L8</f>
        <v>0</v>
      </c>
      <c r="M4" s="443">
        <f>huishoudens!M8</f>
        <v>0</v>
      </c>
      <c r="N4" s="443">
        <f>huishoudens!N8</f>
        <v>14666.427182834639</v>
      </c>
      <c r="O4" s="443">
        <f>huishoudens!O8</f>
        <v>188.47603084176802</v>
      </c>
      <c r="P4" s="444">
        <f>huishoudens!P8</f>
        <v>768.9790294610068</v>
      </c>
      <c r="Q4" s="445">
        <f>SUM(B4:P4)</f>
        <v>253802.57749898834</v>
      </c>
    </row>
    <row r="5" spans="1:17">
      <c r="A5" s="442" t="s">
        <v>149</v>
      </c>
      <c r="B5" s="443">
        <f ca="1">tertiair!B16</f>
        <v>162968.52724030821</v>
      </c>
      <c r="C5" s="443">
        <f ca="1">tertiair!C16</f>
        <v>1531.1111112336</v>
      </c>
      <c r="D5" s="443">
        <f ca="1">tertiair!D16</f>
        <v>105724.9867482649</v>
      </c>
      <c r="E5" s="443">
        <f ca="1">tertiair!E16</f>
        <v>37.507541967614941</v>
      </c>
      <c r="F5" s="443">
        <f ca="1">tertiair!F16</f>
        <v>20321.13993211804</v>
      </c>
      <c r="G5" s="443">
        <f>tertiair!G16</f>
        <v>0</v>
      </c>
      <c r="H5" s="443">
        <f>tertiair!H16</f>
        <v>0</v>
      </c>
      <c r="I5" s="443">
        <f>tertiair!I16</f>
        <v>0</v>
      </c>
      <c r="J5" s="443">
        <f>tertiair!J16</f>
        <v>2.778328571897206E-2</v>
      </c>
      <c r="K5" s="443">
        <f>tertiair!K16</f>
        <v>0</v>
      </c>
      <c r="L5" s="443">
        <f ca="1">tertiair!L16</f>
        <v>0</v>
      </c>
      <c r="M5" s="443">
        <f>tertiair!M16</f>
        <v>0</v>
      </c>
      <c r="N5" s="443">
        <f ca="1">tertiair!N16</f>
        <v>1262.2289184235869</v>
      </c>
      <c r="O5" s="443">
        <f>tertiair!O16</f>
        <v>4.8972607658411542</v>
      </c>
      <c r="P5" s="444">
        <f>tertiair!P16</f>
        <v>683.0087979844352</v>
      </c>
      <c r="Q5" s="442">
        <f t="shared" ref="Q5:Q14" ca="1" si="0">SUM(B5:P5)</f>
        <v>292533.43533435196</v>
      </c>
    </row>
    <row r="6" spans="1:17">
      <c r="A6" s="442" t="s">
        <v>187</v>
      </c>
      <c r="B6" s="443">
        <f>'openbare verlichting'!B8</f>
        <v>2228.9780000000001</v>
      </c>
      <c r="C6" s="443"/>
      <c r="D6" s="443"/>
      <c r="E6" s="443"/>
      <c r="F6" s="443"/>
      <c r="G6" s="443"/>
      <c r="H6" s="443"/>
      <c r="I6" s="443"/>
      <c r="J6" s="443"/>
      <c r="K6" s="443"/>
      <c r="L6" s="443"/>
      <c r="M6" s="443"/>
      <c r="N6" s="443"/>
      <c r="O6" s="443"/>
      <c r="P6" s="444"/>
      <c r="Q6" s="442">
        <f t="shared" si="0"/>
        <v>2228.9780000000001</v>
      </c>
    </row>
    <row r="7" spans="1:17">
      <c r="A7" s="442" t="s">
        <v>105</v>
      </c>
      <c r="B7" s="443">
        <f>landbouw!B8</f>
        <v>387.92515600030003</v>
      </c>
      <c r="C7" s="443">
        <f>landbouw!C8</f>
        <v>0</v>
      </c>
      <c r="D7" s="443">
        <f>landbouw!D8</f>
        <v>223.82098645247135</v>
      </c>
      <c r="E7" s="443">
        <f>landbouw!E8</f>
        <v>13.081430487949353</v>
      </c>
      <c r="F7" s="443">
        <f>landbouw!F8</f>
        <v>1344.0414181265101</v>
      </c>
      <c r="G7" s="443">
        <f>landbouw!G8</f>
        <v>0</v>
      </c>
      <c r="H7" s="443">
        <f>landbouw!H8</f>
        <v>0</v>
      </c>
      <c r="I7" s="443">
        <f>landbouw!I8</f>
        <v>0</v>
      </c>
      <c r="J7" s="443">
        <f>landbouw!J8</f>
        <v>84.200507203644662</v>
      </c>
      <c r="K7" s="443">
        <f>landbouw!K8</f>
        <v>0</v>
      </c>
      <c r="L7" s="443">
        <f>landbouw!L8</f>
        <v>0</v>
      </c>
      <c r="M7" s="443">
        <f>landbouw!M8</f>
        <v>0</v>
      </c>
      <c r="N7" s="443">
        <f>landbouw!N8</f>
        <v>0</v>
      </c>
      <c r="O7" s="443">
        <f>landbouw!O8</f>
        <v>0</v>
      </c>
      <c r="P7" s="444">
        <f>landbouw!P8</f>
        <v>0</v>
      </c>
      <c r="Q7" s="442">
        <f t="shared" si="0"/>
        <v>2053.0694982708756</v>
      </c>
    </row>
    <row r="8" spans="1:17">
      <c r="A8" s="442" t="s">
        <v>569</v>
      </c>
      <c r="B8" s="443">
        <f>industrie!B18</f>
        <v>31404.365537510595</v>
      </c>
      <c r="C8" s="443">
        <f>industrie!C18</f>
        <v>0</v>
      </c>
      <c r="D8" s="443">
        <f>industrie!D18</f>
        <v>24049.176503175815</v>
      </c>
      <c r="E8" s="443">
        <f>industrie!E18</f>
        <v>289.73017453316237</v>
      </c>
      <c r="F8" s="443">
        <f>industrie!F18</f>
        <v>9465.5011337661526</v>
      </c>
      <c r="G8" s="443">
        <f>industrie!G18</f>
        <v>0</v>
      </c>
      <c r="H8" s="443">
        <f>industrie!H18</f>
        <v>0</v>
      </c>
      <c r="I8" s="443">
        <f>industrie!I18</f>
        <v>0</v>
      </c>
      <c r="J8" s="443">
        <f>industrie!J18</f>
        <v>6.4390745348362755</v>
      </c>
      <c r="K8" s="443">
        <f>industrie!K18</f>
        <v>0</v>
      </c>
      <c r="L8" s="443">
        <f>industrie!L18</f>
        <v>0</v>
      </c>
      <c r="M8" s="443">
        <f>industrie!M18</f>
        <v>0</v>
      </c>
      <c r="N8" s="443">
        <f>industrie!N18</f>
        <v>736.65489716818377</v>
      </c>
      <c r="O8" s="443">
        <f>industrie!O18</f>
        <v>0</v>
      </c>
      <c r="P8" s="444">
        <f>industrie!P18</f>
        <v>0</v>
      </c>
      <c r="Q8" s="442">
        <f t="shared" si="0"/>
        <v>65951.867320688747</v>
      </c>
    </row>
    <row r="9" spans="1:17" s="448" customFormat="1">
      <c r="A9" s="446" t="s">
        <v>521</v>
      </c>
      <c r="B9" s="447">
        <f>transport!B14</f>
        <v>3209.3340980118437</v>
      </c>
      <c r="C9" s="447">
        <f>transport!C14</f>
        <v>0</v>
      </c>
      <c r="D9" s="447">
        <f>transport!D14</f>
        <v>2577.5567583551178</v>
      </c>
      <c r="E9" s="447">
        <f>transport!E14</f>
        <v>1008.5677342371849</v>
      </c>
      <c r="F9" s="447">
        <f>transport!F14</f>
        <v>0</v>
      </c>
      <c r="G9" s="447">
        <f>transport!G14</f>
        <v>373351.7073997148</v>
      </c>
      <c r="H9" s="447">
        <f>transport!H14</f>
        <v>127624.94224895346</v>
      </c>
      <c r="I9" s="447">
        <f>transport!I14</f>
        <v>0</v>
      </c>
      <c r="J9" s="447">
        <f>transport!J14</f>
        <v>0</v>
      </c>
      <c r="K9" s="447">
        <f>transport!K14</f>
        <v>0</v>
      </c>
      <c r="L9" s="447">
        <f>transport!L14</f>
        <v>0</v>
      </c>
      <c r="M9" s="447">
        <f>transport!M14</f>
        <v>52774.38813617811</v>
      </c>
      <c r="N9" s="447">
        <f>transport!N14</f>
        <v>0</v>
      </c>
      <c r="O9" s="447">
        <f>transport!O14</f>
        <v>0</v>
      </c>
      <c r="P9" s="447">
        <f>transport!P14</f>
        <v>0</v>
      </c>
      <c r="Q9" s="446">
        <f>SUM(B9:P9)</f>
        <v>560546.49637545052</v>
      </c>
    </row>
    <row r="10" spans="1:17">
      <c r="A10" s="442" t="s">
        <v>511</v>
      </c>
      <c r="B10" s="443">
        <f>transport!B54</f>
        <v>184.99089995072723</v>
      </c>
      <c r="C10" s="443">
        <f>transport!C54</f>
        <v>0</v>
      </c>
      <c r="D10" s="443">
        <f>transport!D54</f>
        <v>0</v>
      </c>
      <c r="E10" s="443">
        <f>transport!E54</f>
        <v>0</v>
      </c>
      <c r="F10" s="443">
        <f>transport!F54</f>
        <v>0</v>
      </c>
      <c r="G10" s="443">
        <f>transport!G54</f>
        <v>7596.97274548523</v>
      </c>
      <c r="H10" s="443">
        <f>transport!H54</f>
        <v>0</v>
      </c>
      <c r="I10" s="443">
        <f>transport!I54</f>
        <v>0</v>
      </c>
      <c r="J10" s="443">
        <f>transport!J54</f>
        <v>0</v>
      </c>
      <c r="K10" s="443">
        <f>transport!K54</f>
        <v>0</v>
      </c>
      <c r="L10" s="443">
        <f>transport!L54</f>
        <v>0</v>
      </c>
      <c r="M10" s="443">
        <f>transport!M54</f>
        <v>850.39668007071725</v>
      </c>
      <c r="N10" s="443">
        <f>transport!N54</f>
        <v>0</v>
      </c>
      <c r="O10" s="443">
        <f>transport!O54</f>
        <v>0</v>
      </c>
      <c r="P10" s="444">
        <f>transport!P54</f>
        <v>0</v>
      </c>
      <c r="Q10" s="442">
        <f t="shared" si="0"/>
        <v>8632.3603255066737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6208.2221188937801</v>
      </c>
      <c r="C14" s="450"/>
      <c r="D14" s="450">
        <f>'SEAP template'!E25</f>
        <v>10737.964551736601</v>
      </c>
      <c r="E14" s="450"/>
      <c r="F14" s="450"/>
      <c r="G14" s="450"/>
      <c r="H14" s="450"/>
      <c r="I14" s="450"/>
      <c r="J14" s="450"/>
      <c r="K14" s="450"/>
      <c r="L14" s="450"/>
      <c r="M14" s="450"/>
      <c r="N14" s="450"/>
      <c r="O14" s="450"/>
      <c r="P14" s="451"/>
      <c r="Q14" s="442">
        <f t="shared" si="0"/>
        <v>16946.186670630381</v>
      </c>
    </row>
    <row r="15" spans="1:17" s="454" customFormat="1">
      <c r="A15" s="452" t="s">
        <v>515</v>
      </c>
      <c r="B15" s="453">
        <f ca="1">SUM(B4:B14)</f>
        <v>254579.35182218722</v>
      </c>
      <c r="C15" s="453">
        <f t="shared" ref="C15:Q15" ca="1" si="1">SUM(C4:C14)</f>
        <v>1531.1111112336</v>
      </c>
      <c r="D15" s="453">
        <f t="shared" ca="1" si="1"/>
        <v>292677.86104521109</v>
      </c>
      <c r="E15" s="453">
        <f t="shared" ca="1" si="1"/>
        <v>4318.2284410845432</v>
      </c>
      <c r="F15" s="453">
        <f t="shared" ca="1" si="1"/>
        <v>68747.900042538371</v>
      </c>
      <c r="G15" s="453">
        <f t="shared" si="1"/>
        <v>380948.68014520005</v>
      </c>
      <c r="H15" s="453">
        <f t="shared" si="1"/>
        <v>127624.94224895346</v>
      </c>
      <c r="I15" s="453">
        <f t="shared" si="1"/>
        <v>0</v>
      </c>
      <c r="J15" s="453">
        <f t="shared" si="1"/>
        <v>331.43923375092675</v>
      </c>
      <c r="K15" s="453">
        <f t="shared" si="1"/>
        <v>0</v>
      </c>
      <c r="L15" s="453">
        <f t="shared" ca="1" si="1"/>
        <v>0</v>
      </c>
      <c r="M15" s="453">
        <f t="shared" si="1"/>
        <v>53624.78481624883</v>
      </c>
      <c r="N15" s="453">
        <f t="shared" ca="1" si="1"/>
        <v>16665.310998426408</v>
      </c>
      <c r="O15" s="453">
        <f t="shared" si="1"/>
        <v>193.37329160760919</v>
      </c>
      <c r="P15" s="453">
        <f t="shared" si="1"/>
        <v>1451.987827445442</v>
      </c>
      <c r="Q15" s="453">
        <f t="shared" ca="1" si="1"/>
        <v>1202694.9710238876</v>
      </c>
    </row>
    <row r="17" spans="1:17">
      <c r="A17" s="455" t="s">
        <v>516</v>
      </c>
      <c r="B17" s="732">
        <f ca="1">huishoudens!B10</f>
        <v>0.21147976328109258</v>
      </c>
      <c r="C17" s="732">
        <f ca="1">huishoudens!C10</f>
        <v>0.24795596681557122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28" t="s">
        <v>518</v>
      </c>
      <c r="B19" s="1129" t="s">
        <v>517</v>
      </c>
      <c r="C19" s="1129"/>
      <c r="D19" s="1129"/>
      <c r="E19" s="1129"/>
      <c r="F19" s="1129"/>
      <c r="G19" s="1129"/>
      <c r="H19" s="1129"/>
      <c r="I19" s="1129"/>
      <c r="J19" s="1129"/>
      <c r="K19" s="1129"/>
      <c r="L19" s="1129"/>
      <c r="M19" s="1129"/>
      <c r="N19" s="1129"/>
      <c r="O19" s="1129"/>
      <c r="P19" s="1130"/>
      <c r="Q19" s="440"/>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0"/>
    </row>
    <row r="21" spans="1:17" ht="45">
      <c r="A21" s="1128"/>
      <c r="B21" s="1132"/>
      <c r="C21" s="1134"/>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10148.281255567021</v>
      </c>
      <c r="C22" s="443">
        <f t="shared" ref="C22:C32" ca="1" si="3">C4*$C$17</f>
        <v>0</v>
      </c>
      <c r="D22" s="443">
        <f t="shared" ref="D22:D32" si="4">D4*$D$17</f>
        <v>30171.599810439682</v>
      </c>
      <c r="E22" s="443">
        <f t="shared" ref="E22:E32" si="5">E4*$E$17</f>
        <v>674.04053408790935</v>
      </c>
      <c r="F22" s="443">
        <f t="shared" ref="F22:F32" si="6">F4*$F$17</f>
        <v>10043.797088126888</v>
      </c>
      <c r="G22" s="443">
        <f t="shared" ref="G22:G32" si="7">G4*$G$17</f>
        <v>0</v>
      </c>
      <c r="H22" s="443">
        <f t="shared" ref="H22:H32" si="8">H4*$H$17</f>
        <v>0</v>
      </c>
      <c r="I22" s="443">
        <f t="shared" ref="I22:I32" si="9">I4*$I$17</f>
        <v>0</v>
      </c>
      <c r="J22" s="443">
        <f t="shared" ref="J22:J32" si="10">J4*$J$17</f>
        <v>85.233241529261292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51122.951929750765</v>
      </c>
    </row>
    <row r="23" spans="1:17">
      <c r="A23" s="442" t="s">
        <v>149</v>
      </c>
      <c r="B23" s="443">
        <f t="shared" ca="1" si="2"/>
        <v>34464.545563048669</v>
      </c>
      <c r="C23" s="443">
        <f t="shared" ca="1" si="3"/>
        <v>379.64813588799092</v>
      </c>
      <c r="D23" s="443">
        <f t="shared" ca="1" si="4"/>
        <v>21356.44732314951</v>
      </c>
      <c r="E23" s="443">
        <f t="shared" ca="1" si="5"/>
        <v>8.5142120266485914</v>
      </c>
      <c r="F23" s="443">
        <f t="shared" ca="1" si="6"/>
        <v>5425.7443618755169</v>
      </c>
      <c r="G23" s="443">
        <f t="shared" si="7"/>
        <v>0</v>
      </c>
      <c r="H23" s="443">
        <f t="shared" si="8"/>
        <v>0</v>
      </c>
      <c r="I23" s="443">
        <f t="shared" si="9"/>
        <v>0</v>
      </c>
      <c r="J23" s="443">
        <f t="shared" si="10"/>
        <v>9.8352831445161094E-3</v>
      </c>
      <c r="K23" s="443">
        <f t="shared" si="11"/>
        <v>0</v>
      </c>
      <c r="L23" s="443">
        <f t="shared" ca="1" si="12"/>
        <v>0</v>
      </c>
      <c r="M23" s="443">
        <f t="shared" si="13"/>
        <v>0</v>
      </c>
      <c r="N23" s="443">
        <f t="shared" ca="1" si="14"/>
        <v>0</v>
      </c>
      <c r="O23" s="443">
        <f t="shared" si="15"/>
        <v>0</v>
      </c>
      <c r="P23" s="444">
        <f t="shared" si="16"/>
        <v>0</v>
      </c>
      <c r="Q23" s="442">
        <f t="shared" ref="Q23:Q31" ca="1" si="17">SUM(B23:P23)</f>
        <v>61634.909431271473</v>
      </c>
    </row>
    <row r="24" spans="1:17">
      <c r="A24" s="442" t="s">
        <v>187</v>
      </c>
      <c r="B24" s="443">
        <f t="shared" ca="1" si="2"/>
        <v>471.3837397987632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471.3837397987632</v>
      </c>
    </row>
    <row r="25" spans="1:17">
      <c r="A25" s="442" t="s">
        <v>105</v>
      </c>
      <c r="B25" s="443">
        <f t="shared" ca="1" si="2"/>
        <v>82.038320161724357</v>
      </c>
      <c r="C25" s="443">
        <f t="shared" ca="1" si="3"/>
        <v>0</v>
      </c>
      <c r="D25" s="443">
        <f t="shared" si="4"/>
        <v>45.211839263399213</v>
      </c>
      <c r="E25" s="443">
        <f t="shared" si="5"/>
        <v>2.9694847207645032</v>
      </c>
      <c r="F25" s="443">
        <f t="shared" si="6"/>
        <v>358.8590586397782</v>
      </c>
      <c r="G25" s="443">
        <f t="shared" si="7"/>
        <v>0</v>
      </c>
      <c r="H25" s="443">
        <f t="shared" si="8"/>
        <v>0</v>
      </c>
      <c r="I25" s="443">
        <f t="shared" si="9"/>
        <v>0</v>
      </c>
      <c r="J25" s="443">
        <f t="shared" si="10"/>
        <v>29.806979550090208</v>
      </c>
      <c r="K25" s="443">
        <f t="shared" si="11"/>
        <v>0</v>
      </c>
      <c r="L25" s="443">
        <f t="shared" si="12"/>
        <v>0</v>
      </c>
      <c r="M25" s="443">
        <f t="shared" si="13"/>
        <v>0</v>
      </c>
      <c r="N25" s="443">
        <f t="shared" si="14"/>
        <v>0</v>
      </c>
      <c r="O25" s="443">
        <f t="shared" si="15"/>
        <v>0</v>
      </c>
      <c r="P25" s="444">
        <f t="shared" si="16"/>
        <v>0</v>
      </c>
      <c r="Q25" s="442">
        <f t="shared" ca="1" si="17"/>
        <v>518.88568233575654</v>
      </c>
    </row>
    <row r="26" spans="1:17">
      <c r="A26" s="442" t="s">
        <v>569</v>
      </c>
      <c r="B26" s="443">
        <f t="shared" ca="1" si="2"/>
        <v>6641.3877898656428</v>
      </c>
      <c r="C26" s="443">
        <f t="shared" ca="1" si="3"/>
        <v>0</v>
      </c>
      <c r="D26" s="443">
        <f t="shared" si="4"/>
        <v>4857.9336536415149</v>
      </c>
      <c r="E26" s="443">
        <f t="shared" si="5"/>
        <v>65.768749619027858</v>
      </c>
      <c r="F26" s="443">
        <f t="shared" si="6"/>
        <v>2527.2888027155627</v>
      </c>
      <c r="G26" s="443">
        <f t="shared" si="7"/>
        <v>0</v>
      </c>
      <c r="H26" s="443">
        <f t="shared" si="8"/>
        <v>0</v>
      </c>
      <c r="I26" s="443">
        <f t="shared" si="9"/>
        <v>0</v>
      </c>
      <c r="J26" s="443">
        <f t="shared" si="10"/>
        <v>2.2794323853320413</v>
      </c>
      <c r="K26" s="443">
        <f t="shared" si="11"/>
        <v>0</v>
      </c>
      <c r="L26" s="443">
        <f t="shared" si="12"/>
        <v>0</v>
      </c>
      <c r="M26" s="443">
        <f t="shared" si="13"/>
        <v>0</v>
      </c>
      <c r="N26" s="443">
        <f t="shared" si="14"/>
        <v>0</v>
      </c>
      <c r="O26" s="443">
        <f t="shared" si="15"/>
        <v>0</v>
      </c>
      <c r="P26" s="444">
        <f t="shared" si="16"/>
        <v>0</v>
      </c>
      <c r="Q26" s="442">
        <f t="shared" ca="1" si="17"/>
        <v>14094.65842822708</v>
      </c>
    </row>
    <row r="27" spans="1:17" s="448" customFormat="1">
      <c r="A27" s="446" t="s">
        <v>521</v>
      </c>
      <c r="B27" s="726">
        <f t="shared" ca="1" si="2"/>
        <v>678.70921533748344</v>
      </c>
      <c r="C27" s="447">
        <f t="shared" ca="1" si="3"/>
        <v>0</v>
      </c>
      <c r="D27" s="447">
        <f t="shared" si="4"/>
        <v>520.66646518773382</v>
      </c>
      <c r="E27" s="447">
        <f t="shared" si="5"/>
        <v>228.94487567184098</v>
      </c>
      <c r="F27" s="447">
        <f t="shared" si="6"/>
        <v>0</v>
      </c>
      <c r="G27" s="447">
        <f t="shared" si="7"/>
        <v>99684.905875723853</v>
      </c>
      <c r="H27" s="447">
        <f t="shared" si="8"/>
        <v>31778.610619989413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132891.83705191032</v>
      </c>
    </row>
    <row r="28" spans="1:17" ht="16.5" customHeight="1">
      <c r="A28" s="442" t="s">
        <v>511</v>
      </c>
      <c r="B28" s="443">
        <f t="shared" ca="1" si="2"/>
        <v>39.121831730736076</v>
      </c>
      <c r="C28" s="443">
        <f t="shared" ca="1" si="3"/>
        <v>0</v>
      </c>
      <c r="D28" s="443">
        <f t="shared" si="4"/>
        <v>0</v>
      </c>
      <c r="E28" s="443">
        <f t="shared" si="5"/>
        <v>0</v>
      </c>
      <c r="F28" s="443">
        <f t="shared" si="6"/>
        <v>0</v>
      </c>
      <c r="G28" s="443">
        <f t="shared" si="7"/>
        <v>2028.3917230445566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2067.5135547752925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1312.9133441000997</v>
      </c>
      <c r="C32" s="443">
        <f t="shared" ca="1" si="3"/>
        <v>0</v>
      </c>
      <c r="D32" s="443">
        <f t="shared" si="4"/>
        <v>2169.0688394507933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3481.9821835508928</v>
      </c>
    </row>
    <row r="33" spans="1:17" s="454" customFormat="1">
      <c r="A33" s="452" t="s">
        <v>515</v>
      </c>
      <c r="B33" s="453">
        <f ca="1">SUM(B22:B32)</f>
        <v>53838.381059610147</v>
      </c>
      <c r="C33" s="453">
        <f t="shared" ref="C33:Q33" ca="1" si="19">SUM(C22:C32)</f>
        <v>379.64813588799092</v>
      </c>
      <c r="D33" s="453">
        <f t="shared" ca="1" si="19"/>
        <v>59120.927931132639</v>
      </c>
      <c r="E33" s="453">
        <f t="shared" ca="1" si="19"/>
        <v>980.23785612619122</v>
      </c>
      <c r="F33" s="453">
        <f t="shared" ca="1" si="19"/>
        <v>18355.689311357746</v>
      </c>
      <c r="G33" s="453">
        <f t="shared" si="19"/>
        <v>101713.2975987684</v>
      </c>
      <c r="H33" s="453">
        <f t="shared" si="19"/>
        <v>31778.610619989413</v>
      </c>
      <c r="I33" s="453">
        <f t="shared" si="19"/>
        <v>0</v>
      </c>
      <c r="J33" s="453">
        <f t="shared" si="19"/>
        <v>117.32948874782805</v>
      </c>
      <c r="K33" s="453">
        <f t="shared" si="19"/>
        <v>0</v>
      </c>
      <c r="L33" s="453">
        <f t="shared" ca="1" si="19"/>
        <v>0</v>
      </c>
      <c r="M33" s="453">
        <f t="shared" si="19"/>
        <v>0</v>
      </c>
      <c r="N33" s="453">
        <f t="shared" ca="1" si="19"/>
        <v>0</v>
      </c>
      <c r="O33" s="453">
        <f t="shared" si="19"/>
        <v>0</v>
      </c>
      <c r="P33" s="453">
        <f t="shared" si="19"/>
        <v>0</v>
      </c>
      <c r="Q33" s="453">
        <f t="shared" ca="1" si="19"/>
        <v>266284.12200162036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7" t="s">
        <v>510</v>
      </c>
      <c r="B1" s="1138" t="s">
        <v>641</v>
      </c>
      <c r="C1" s="1138"/>
      <c r="D1" s="1138"/>
      <c r="E1" s="1138"/>
      <c r="F1" s="1138"/>
      <c r="G1" s="1138"/>
      <c r="H1" s="1138"/>
      <c r="I1" s="1138"/>
      <c r="J1" s="1138"/>
      <c r="K1" s="1138"/>
      <c r="L1" s="1138"/>
      <c r="M1" s="1138"/>
      <c r="N1" s="1138"/>
      <c r="O1" s="1138"/>
      <c r="P1" s="1139"/>
      <c r="Q1" s="917"/>
    </row>
    <row r="2" spans="1:17" s="918" customFormat="1" ht="21">
      <c r="A2" s="1137"/>
      <c r="B2" s="1140" t="s">
        <v>20</v>
      </c>
      <c r="C2" s="1142" t="s">
        <v>189</v>
      </c>
      <c r="D2" s="1144" t="s">
        <v>190</v>
      </c>
      <c r="E2" s="1145"/>
      <c r="F2" s="1145"/>
      <c r="G2" s="1145"/>
      <c r="H2" s="1145"/>
      <c r="I2" s="1145"/>
      <c r="J2" s="1145"/>
      <c r="K2" s="1141"/>
      <c r="L2" s="1144" t="s">
        <v>191</v>
      </c>
      <c r="M2" s="1145"/>
      <c r="N2" s="1145"/>
      <c r="O2" s="1145"/>
      <c r="P2" s="1141"/>
      <c r="Q2" s="917"/>
    </row>
    <row r="3" spans="1:17" s="918" customFormat="1" ht="42">
      <c r="A3" s="1137"/>
      <c r="B3" s="1141"/>
      <c r="C3" s="1143"/>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776</v>
      </c>
      <c r="F4" s="924" t="s">
        <v>777</v>
      </c>
      <c r="G4" s="925" t="s">
        <v>645</v>
      </c>
      <c r="H4" s="925" t="s">
        <v>645</v>
      </c>
      <c r="I4" s="925" t="s">
        <v>645</v>
      </c>
      <c r="J4" s="924" t="s">
        <v>778</v>
      </c>
      <c r="K4" s="925" t="s">
        <v>645</v>
      </c>
      <c r="L4" s="925" t="s">
        <v>645</v>
      </c>
      <c r="M4" s="925" t="s">
        <v>645</v>
      </c>
      <c r="N4" s="924" t="s">
        <v>779</v>
      </c>
      <c r="O4" s="926" t="s">
        <v>646</v>
      </c>
      <c r="P4" s="927" t="s">
        <v>647</v>
      </c>
      <c r="Q4" s="928"/>
    </row>
    <row r="5" spans="1:17" ht="195">
      <c r="A5" s="929" t="s">
        <v>149</v>
      </c>
      <c r="B5" s="930" t="s">
        <v>780</v>
      </c>
      <c r="C5" s="931" t="s">
        <v>781</v>
      </c>
      <c r="D5" s="931" t="s">
        <v>782</v>
      </c>
      <c r="E5" s="932" t="s">
        <v>648</v>
      </c>
      <c r="F5" s="932" t="s">
        <v>783</v>
      </c>
      <c r="G5" s="933" t="s">
        <v>645</v>
      </c>
      <c r="H5" s="933" t="s">
        <v>645</v>
      </c>
      <c r="I5" s="933" t="s">
        <v>645</v>
      </c>
      <c r="J5" s="932" t="s">
        <v>650</v>
      </c>
      <c r="K5" s="933" t="s">
        <v>645</v>
      </c>
      <c r="L5" s="933" t="s">
        <v>645</v>
      </c>
      <c r="M5" s="933" t="s">
        <v>645</v>
      </c>
      <c r="N5" s="932" t="s">
        <v>784</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781</v>
      </c>
      <c r="D7" s="931" t="s">
        <v>782</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785</v>
      </c>
      <c r="C8" s="931" t="s">
        <v>781</v>
      </c>
      <c r="D8" s="931" t="s">
        <v>782</v>
      </c>
      <c r="E8" s="932" t="s">
        <v>648</v>
      </c>
      <c r="F8" s="932" t="s">
        <v>649</v>
      </c>
      <c r="G8" s="933" t="s">
        <v>645</v>
      </c>
      <c r="H8" s="933" t="s">
        <v>645</v>
      </c>
      <c r="I8" s="933" t="s">
        <v>645</v>
      </c>
      <c r="J8" s="932" t="s">
        <v>650</v>
      </c>
      <c r="K8" s="933" t="s">
        <v>645</v>
      </c>
      <c r="L8" s="933" t="s">
        <v>645</v>
      </c>
      <c r="M8" s="933" t="s">
        <v>645</v>
      </c>
      <c r="N8" s="932" t="s">
        <v>784</v>
      </c>
      <c r="O8" s="934" t="s">
        <v>646</v>
      </c>
      <c r="P8" s="935" t="s">
        <v>647</v>
      </c>
      <c r="Q8" s="936"/>
    </row>
    <row r="9" spans="1:17" s="448" customFormat="1" ht="390">
      <c r="A9" s="944" t="s">
        <v>521</v>
      </c>
      <c r="B9" s="932" t="s">
        <v>786</v>
      </c>
      <c r="C9" s="939" t="s">
        <v>652</v>
      </c>
      <c r="D9" s="932" t="s">
        <v>787</v>
      </c>
      <c r="E9" s="932" t="s">
        <v>788</v>
      </c>
      <c r="F9" s="933" t="s">
        <v>652</v>
      </c>
      <c r="G9" s="932" t="s">
        <v>789</v>
      </c>
      <c r="H9" s="932" t="s">
        <v>790</v>
      </c>
      <c r="I9" s="933" t="s">
        <v>652</v>
      </c>
      <c r="J9" s="933" t="s">
        <v>652</v>
      </c>
      <c r="K9" s="933" t="s">
        <v>652</v>
      </c>
      <c r="L9" s="933" t="s">
        <v>652</v>
      </c>
      <c r="M9" s="932" t="s">
        <v>791</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6" t="s">
        <v>230</v>
      </c>
      <c r="B1" s="1147" t="s">
        <v>336</v>
      </c>
      <c r="C1" s="1147"/>
      <c r="D1" s="1148" t="s">
        <v>337</v>
      </c>
      <c r="E1" s="1148"/>
      <c r="F1" s="1148"/>
      <c r="G1" s="1148"/>
      <c r="H1" s="1148"/>
      <c r="I1" s="1148"/>
      <c r="J1" s="1148"/>
      <c r="K1" s="1148"/>
      <c r="L1" s="1148"/>
      <c r="M1" s="1148"/>
      <c r="N1" s="1148"/>
      <c r="O1" s="1148"/>
      <c r="P1" s="1147" t="s">
        <v>662</v>
      </c>
    </row>
    <row r="2" spans="1:16" ht="60">
      <c r="A2" s="1146"/>
      <c r="B2" s="1147"/>
      <c r="C2" s="1147"/>
      <c r="D2" s="1148" t="s">
        <v>190</v>
      </c>
      <c r="E2" s="1148"/>
      <c r="F2" s="1148"/>
      <c r="G2" s="1148"/>
      <c r="H2" s="1148"/>
      <c r="I2" s="966" t="s">
        <v>670</v>
      </c>
      <c r="J2" s="966" t="s">
        <v>223</v>
      </c>
      <c r="K2" s="966" t="s">
        <v>669</v>
      </c>
      <c r="L2" s="966" t="s">
        <v>637</v>
      </c>
      <c r="M2" s="966" t="s">
        <v>234</v>
      </c>
      <c r="N2" s="966" t="s">
        <v>667</v>
      </c>
      <c r="O2" s="966" t="s">
        <v>120</v>
      </c>
      <c r="P2" s="1147"/>
    </row>
    <row r="3" spans="1:16" ht="30">
      <c r="A3" s="1146"/>
      <c r="B3" s="966" t="s">
        <v>673</v>
      </c>
      <c r="C3" s="966" t="s">
        <v>674</v>
      </c>
      <c r="D3" s="966" t="s">
        <v>192</v>
      </c>
      <c r="E3" s="966" t="s">
        <v>193</v>
      </c>
      <c r="F3" s="966" t="s">
        <v>194</v>
      </c>
      <c r="G3" s="966" t="s">
        <v>196</v>
      </c>
      <c r="H3" s="966" t="s">
        <v>197</v>
      </c>
      <c r="I3" s="966"/>
      <c r="J3" s="966"/>
      <c r="K3" s="966"/>
      <c r="L3" s="966"/>
      <c r="M3" s="966"/>
      <c r="N3" s="966"/>
      <c r="O3" s="966"/>
      <c r="P3" s="1147"/>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11098.566121237554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1080.5555556419999</v>
      </c>
      <c r="D8" s="967">
        <f>'SEAP template'!D76</f>
        <v>1326.387116322519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267.93019749714887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11098.566121237554</v>
      </c>
      <c r="C10" s="969">
        <f>SUM(C4:C9)</f>
        <v>1080.5555556419999</v>
      </c>
      <c r="D10" s="969">
        <f t="shared" ref="D10:H10" si="0">SUM(D8:D9)</f>
        <v>1326.387116322519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267.93019749714887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0.21147976328109258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46" t="s">
        <v>242</v>
      </c>
      <c r="B14" s="1147" t="s">
        <v>340</v>
      </c>
      <c r="C14" s="1147"/>
      <c r="D14" s="1148" t="s">
        <v>341</v>
      </c>
      <c r="E14" s="1148"/>
      <c r="F14" s="1148"/>
      <c r="G14" s="1148"/>
      <c r="H14" s="1148"/>
      <c r="I14" s="1148"/>
      <c r="J14" s="1148"/>
      <c r="K14" s="1148"/>
      <c r="L14" s="1148"/>
      <c r="M14" s="1148"/>
      <c r="N14" s="1148"/>
      <c r="O14" s="1148"/>
      <c r="P14" s="1147" t="s">
        <v>663</v>
      </c>
    </row>
    <row r="15" spans="1:16">
      <c r="A15" s="1146"/>
      <c r="B15" s="1147"/>
      <c r="C15" s="1147"/>
      <c r="D15" s="1149" t="s">
        <v>190</v>
      </c>
      <c r="E15" s="1149"/>
      <c r="F15" s="1149"/>
      <c r="G15" s="1149"/>
      <c r="H15" s="1149"/>
      <c r="I15" s="1147" t="s">
        <v>670</v>
      </c>
      <c r="J15" s="1147" t="s">
        <v>223</v>
      </c>
      <c r="K15" s="1147" t="s">
        <v>669</v>
      </c>
      <c r="L15" s="1147" t="s">
        <v>637</v>
      </c>
      <c r="M15" s="1147" t="s">
        <v>234</v>
      </c>
      <c r="N15" s="1147" t="s">
        <v>668</v>
      </c>
      <c r="O15" s="1147" t="s">
        <v>120</v>
      </c>
      <c r="P15" s="1147"/>
    </row>
    <row r="16" spans="1:16" ht="30">
      <c r="A16" s="1146"/>
      <c r="B16" s="966" t="s">
        <v>671</v>
      </c>
      <c r="C16" s="966" t="s">
        <v>672</v>
      </c>
      <c r="D16" s="966" t="s">
        <v>192</v>
      </c>
      <c r="E16" s="966" t="s">
        <v>193</v>
      </c>
      <c r="F16" s="966" t="s">
        <v>194</v>
      </c>
      <c r="G16" s="966" t="s">
        <v>196</v>
      </c>
      <c r="H16" s="966" t="s">
        <v>197</v>
      </c>
      <c r="I16" s="1147"/>
      <c r="J16" s="1147"/>
      <c r="K16" s="1147"/>
      <c r="L16" s="1147"/>
      <c r="M16" s="1147"/>
      <c r="N16" s="1147"/>
      <c r="O16" s="1150"/>
      <c r="P16" s="1147"/>
    </row>
    <row r="17" spans="1:16">
      <c r="A17" s="974" t="s">
        <v>241</v>
      </c>
      <c r="B17" s="970">
        <f>'SEAP template'!B87</f>
        <v>0</v>
      </c>
      <c r="C17" s="970">
        <f>'SEAP template'!C87</f>
        <v>1531.1111112336</v>
      </c>
      <c r="D17" s="968">
        <f>'SEAP template'!D87</f>
        <v>1879.4462172672816</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379.64813588799092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1531.1111112336</v>
      </c>
      <c r="D20" s="969">
        <f t="shared" ref="D20:H20" si="2">SUM(D17:D19)</f>
        <v>1879.4462172672816</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379.64813588799092</v>
      </c>
    </row>
    <row r="21" spans="1:16">
      <c r="B21" s="836"/>
    </row>
    <row r="22" spans="1:16">
      <c r="A22" s="455" t="s">
        <v>677</v>
      </c>
      <c r="B22" s="732" t="s">
        <v>675</v>
      </c>
      <c r="C22" s="732">
        <f ca="1">'EF ele_warmte'!B22</f>
        <v>0.24795596681557122</v>
      </c>
    </row>
  </sheetData>
  <mergeCells count="17">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 ref="O15:O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6" t="s">
        <v>230</v>
      </c>
      <c r="B1" s="1147" t="s">
        <v>336</v>
      </c>
      <c r="C1" s="1147"/>
      <c r="D1" s="1148" t="s">
        <v>337</v>
      </c>
      <c r="E1" s="1148"/>
      <c r="F1" s="1148"/>
      <c r="G1" s="1148"/>
      <c r="H1" s="1148"/>
      <c r="I1" s="1148"/>
      <c r="J1" s="1148"/>
      <c r="K1" s="1148"/>
      <c r="L1" s="1148"/>
      <c r="M1" s="1148"/>
      <c r="N1" s="1148"/>
      <c r="O1" s="1148"/>
      <c r="P1" s="1147" t="s">
        <v>662</v>
      </c>
    </row>
    <row r="2" spans="1:16" ht="15.75">
      <c r="A2" s="1146"/>
      <c r="B2" s="1147"/>
      <c r="C2" s="1147"/>
      <c r="D2" s="1148" t="s">
        <v>190</v>
      </c>
      <c r="E2" s="1148"/>
      <c r="F2" s="1148"/>
      <c r="G2" s="1148"/>
      <c r="H2" s="1148"/>
      <c r="I2" s="966" t="s">
        <v>670</v>
      </c>
      <c r="J2" s="966" t="s">
        <v>223</v>
      </c>
      <c r="K2" s="966" t="s">
        <v>669</v>
      </c>
      <c r="L2" s="966" t="s">
        <v>637</v>
      </c>
      <c r="M2" s="966" t="s">
        <v>234</v>
      </c>
      <c r="N2" s="966" t="s">
        <v>667</v>
      </c>
      <c r="O2" s="966" t="s">
        <v>120</v>
      </c>
      <c r="P2" s="1147"/>
    </row>
    <row r="3" spans="1:16" ht="30">
      <c r="A3" s="1146"/>
      <c r="B3" s="966" t="s">
        <v>673</v>
      </c>
      <c r="C3" s="966" t="s">
        <v>674</v>
      </c>
      <c r="D3" s="966" t="s">
        <v>192</v>
      </c>
      <c r="E3" s="966" t="s">
        <v>193</v>
      </c>
      <c r="F3" s="966" t="s">
        <v>194</v>
      </c>
      <c r="G3" s="966" t="s">
        <v>196</v>
      </c>
      <c r="H3" s="966" t="s">
        <v>197</v>
      </c>
      <c r="I3" s="966"/>
      <c r="J3" s="966"/>
      <c r="K3" s="966"/>
      <c r="L3" s="966"/>
      <c r="M3" s="966"/>
      <c r="N3" s="966"/>
      <c r="O3" s="966"/>
      <c r="P3" s="1147"/>
    </row>
    <row r="4" spans="1:16" ht="110.25" customHeight="1">
      <c r="A4" s="979" t="s">
        <v>238</v>
      </c>
      <c r="B4" s="977" t="s">
        <v>792</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792</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792</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0" t="s">
        <v>806</v>
      </c>
      <c r="C8" s="1020" t="s">
        <v>806</v>
      </c>
      <c r="D8" s="1020" t="s">
        <v>807</v>
      </c>
      <c r="E8" s="1020" t="s">
        <v>807</v>
      </c>
      <c r="F8" s="1020" t="s">
        <v>807</v>
      </c>
      <c r="G8" s="1020" t="s">
        <v>807</v>
      </c>
      <c r="H8" s="1020" t="s">
        <v>807</v>
      </c>
      <c r="I8" s="1020" t="s">
        <v>807</v>
      </c>
      <c r="J8" s="1020" t="s">
        <v>807</v>
      </c>
      <c r="K8" s="982" t="s">
        <v>652</v>
      </c>
      <c r="L8" s="982" t="s">
        <v>652</v>
      </c>
      <c r="M8" s="1020" t="s">
        <v>807</v>
      </c>
      <c r="N8" s="1020" t="s">
        <v>807</v>
      </c>
      <c r="O8" s="1020" t="s">
        <v>807</v>
      </c>
      <c r="P8" s="1024"/>
    </row>
    <row r="9" spans="1:16" ht="105">
      <c r="A9" s="981" t="s">
        <v>665</v>
      </c>
      <c r="B9" s="1020" t="s">
        <v>806</v>
      </c>
      <c r="C9" s="1020" t="s">
        <v>806</v>
      </c>
      <c r="D9" s="1020" t="s">
        <v>807</v>
      </c>
      <c r="E9" s="1020" t="s">
        <v>807</v>
      </c>
      <c r="F9" s="1020" t="s">
        <v>807</v>
      </c>
      <c r="G9" s="1020" t="s">
        <v>807</v>
      </c>
      <c r="H9" s="1020" t="s">
        <v>807</v>
      </c>
      <c r="I9" s="1020" t="s">
        <v>807</v>
      </c>
      <c r="J9" s="1020" t="s">
        <v>807</v>
      </c>
      <c r="K9" s="982" t="s">
        <v>652</v>
      </c>
      <c r="L9" s="982" t="s">
        <v>652</v>
      </c>
      <c r="M9" s="1020" t="s">
        <v>807</v>
      </c>
      <c r="N9" s="1020" t="s">
        <v>807</v>
      </c>
      <c r="O9" s="1020" t="s">
        <v>807</v>
      </c>
      <c r="P9" s="1024"/>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5"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46" t="s">
        <v>242</v>
      </c>
      <c r="B14" s="1147" t="s">
        <v>340</v>
      </c>
      <c r="C14" s="1147"/>
      <c r="D14" s="1148" t="s">
        <v>341</v>
      </c>
      <c r="E14" s="1148"/>
      <c r="F14" s="1148"/>
      <c r="G14" s="1148"/>
      <c r="H14" s="1148"/>
      <c r="I14" s="1148"/>
      <c r="J14" s="1148"/>
      <c r="K14" s="1148"/>
      <c r="L14" s="1148"/>
      <c r="M14" s="1148"/>
      <c r="N14" s="1148"/>
      <c r="O14" s="1148"/>
      <c r="P14" s="1147" t="s">
        <v>663</v>
      </c>
    </row>
    <row r="15" spans="1:16">
      <c r="A15" s="1146"/>
      <c r="B15" s="1147"/>
      <c r="C15" s="1147"/>
      <c r="D15" s="1149" t="s">
        <v>190</v>
      </c>
      <c r="E15" s="1149"/>
      <c r="F15" s="1149"/>
      <c r="G15" s="1149"/>
      <c r="H15" s="1149"/>
      <c r="I15" s="1147" t="s">
        <v>670</v>
      </c>
      <c r="J15" s="1147" t="s">
        <v>223</v>
      </c>
      <c r="K15" s="1147" t="s">
        <v>669</v>
      </c>
      <c r="L15" s="1147" t="s">
        <v>637</v>
      </c>
      <c r="M15" s="1147" t="s">
        <v>234</v>
      </c>
      <c r="N15" s="1147" t="s">
        <v>668</v>
      </c>
      <c r="O15" s="1147" t="s">
        <v>120</v>
      </c>
      <c r="P15" s="1147"/>
    </row>
    <row r="16" spans="1:16" ht="30">
      <c r="A16" s="1146"/>
      <c r="B16" s="966" t="s">
        <v>671</v>
      </c>
      <c r="C16" s="966" t="s">
        <v>672</v>
      </c>
      <c r="D16" s="966" t="s">
        <v>192</v>
      </c>
      <c r="E16" s="966" t="s">
        <v>193</v>
      </c>
      <c r="F16" s="966" t="s">
        <v>194</v>
      </c>
      <c r="G16" s="966" t="s">
        <v>196</v>
      </c>
      <c r="H16" s="966" t="s">
        <v>197</v>
      </c>
      <c r="I16" s="1147"/>
      <c r="J16" s="1147"/>
      <c r="K16" s="1147"/>
      <c r="L16" s="1147"/>
      <c r="M16" s="1147"/>
      <c r="N16" s="1147"/>
      <c r="O16" s="1150"/>
      <c r="P16" s="1147"/>
    </row>
    <row r="17" spans="1:16" ht="105">
      <c r="A17" s="974" t="s">
        <v>241</v>
      </c>
      <c r="B17" s="1020" t="s">
        <v>806</v>
      </c>
      <c r="C17" s="1020" t="s">
        <v>806</v>
      </c>
      <c r="D17" s="1020" t="s">
        <v>807</v>
      </c>
      <c r="E17" s="1020" t="s">
        <v>807</v>
      </c>
      <c r="F17" s="1020" t="s">
        <v>807</v>
      </c>
      <c r="G17" s="1020" t="s">
        <v>807</v>
      </c>
      <c r="H17" s="1020" t="s">
        <v>807</v>
      </c>
      <c r="I17" s="1020" t="s">
        <v>807</v>
      </c>
      <c r="J17" s="1020" t="s">
        <v>807</v>
      </c>
      <c r="K17" s="982" t="s">
        <v>652</v>
      </c>
      <c r="L17" s="982" t="s">
        <v>652</v>
      </c>
      <c r="M17" s="1020" t="s">
        <v>807</v>
      </c>
      <c r="N17" s="1020" t="s">
        <v>807</v>
      </c>
      <c r="O17" s="1020" t="s">
        <v>807</v>
      </c>
      <c r="P17" s="1026"/>
    </row>
    <row r="18" spans="1:16" ht="45">
      <c r="A18" s="975" t="s">
        <v>247</v>
      </c>
      <c r="B18" s="1027" t="s">
        <v>656</v>
      </c>
      <c r="C18" s="1027" t="s">
        <v>656</v>
      </c>
      <c r="D18" s="1027" t="s">
        <v>656</v>
      </c>
      <c r="E18" s="1027" t="s">
        <v>656</v>
      </c>
      <c r="F18" s="1027" t="s">
        <v>656</v>
      </c>
      <c r="G18" s="1027" t="s">
        <v>656</v>
      </c>
      <c r="H18" s="1027" t="s">
        <v>656</v>
      </c>
      <c r="I18" s="1027" t="s">
        <v>656</v>
      </c>
      <c r="J18" s="1027" t="s">
        <v>656</v>
      </c>
      <c r="K18" s="1027" t="s">
        <v>656</v>
      </c>
      <c r="L18" s="1027" t="s">
        <v>656</v>
      </c>
      <c r="M18" s="1027" t="s">
        <v>656</v>
      </c>
      <c r="N18" s="1027" t="s">
        <v>656</v>
      </c>
      <c r="O18" s="1027" t="s">
        <v>656</v>
      </c>
      <c r="P18" s="1027" t="s">
        <v>656</v>
      </c>
    </row>
    <row r="19" spans="1:16" ht="105">
      <c r="A19" s="973" t="s">
        <v>666</v>
      </c>
      <c r="B19" s="1020" t="s">
        <v>806</v>
      </c>
      <c r="C19" s="1020" t="s">
        <v>806</v>
      </c>
      <c r="D19" s="1020" t="s">
        <v>807</v>
      </c>
      <c r="E19" s="1020" t="s">
        <v>807</v>
      </c>
      <c r="F19" s="1020" t="s">
        <v>807</v>
      </c>
      <c r="G19" s="1020" t="s">
        <v>807</v>
      </c>
      <c r="H19" s="1020" t="s">
        <v>807</v>
      </c>
      <c r="I19" s="1020" t="s">
        <v>807</v>
      </c>
      <c r="J19" s="1020" t="s">
        <v>807</v>
      </c>
      <c r="K19" s="982" t="s">
        <v>652</v>
      </c>
      <c r="L19" s="982" t="s">
        <v>652</v>
      </c>
      <c r="M19" s="1020" t="s">
        <v>807</v>
      </c>
      <c r="N19" s="1020" t="s">
        <v>807</v>
      </c>
      <c r="O19" s="1020" t="s">
        <v>807</v>
      </c>
      <c r="P19" s="1024"/>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5" t="s">
        <v>680</v>
      </c>
      <c r="D22" s="836"/>
      <c r="E22" s="836"/>
      <c r="F22" s="836"/>
      <c r="G22" s="836"/>
      <c r="H22" s="836"/>
      <c r="I22" s="836"/>
      <c r="J22" s="836"/>
      <c r="K22" s="836"/>
      <c r="L22" s="836"/>
      <c r="M22" s="836"/>
      <c r="N22" s="836"/>
      <c r="O22" s="836"/>
      <c r="P22" s="836"/>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773</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28" t="s">
        <v>367</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0.21147976328109258</v>
      </c>
      <c r="C17" s="492">
        <f ca="1">'EF ele_warmte'!B22</f>
        <v>0.24795596681557122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2023-08-02T14:50:24Z</dcterms:modified>
</cp:coreProperties>
</file>