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07F9BFB-2C35-4A96-B666-94290A17D78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C9" i="18"/>
  <c r="D77" i="14"/>
  <c r="D9" i="59"/>
  <c r="O39" i="18"/>
  <c r="N39" i="18"/>
  <c r="B9" i="18"/>
  <c r="M39" i="18"/>
  <c r="W35" i="18"/>
  <c r="V35" i="18"/>
  <c r="U35" i="18"/>
  <c r="T35" i="18"/>
  <c r="S35" i="18"/>
  <c r="R35" i="18"/>
  <c r="Q35" i="18"/>
  <c r="P35" i="18"/>
  <c r="O35" i="18"/>
  <c r="N35" i="18"/>
  <c r="M35" i="18"/>
  <c r="W34" i="18"/>
  <c r="V34" i="18"/>
  <c r="U34" i="18"/>
  <c r="T34" i="18"/>
  <c r="S34" i="18"/>
  <c r="F13" i="15"/>
  <c r="R34" i="18"/>
  <c r="Q34" i="18"/>
  <c r="P34" i="18"/>
  <c r="O34" i="18"/>
  <c r="C13" i="15"/>
  <c r="N34" i="18"/>
  <c r="B13" i="15"/>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8" i="18"/>
  <c r="I9" i="18"/>
  <c r="I77" i="14"/>
  <c r="I9" i="59"/>
  <c r="B17" i="18"/>
  <c r="B20" i="18"/>
  <c r="C6" i="17"/>
  <c r="E10" i="59"/>
  <c r="G77" i="14"/>
  <c r="G9" i="59"/>
  <c r="G10" i="59"/>
  <c r="J9" i="18"/>
  <c r="J77" i="14"/>
  <c r="J9" i="59"/>
  <c r="E20" i="59"/>
  <c r="C48" i="18"/>
  <c r="I51"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1" i="18"/>
  <c r="I52" i="18"/>
  <c r="H17" i="18"/>
  <c r="E52" i="18"/>
  <c r="E17" i="18"/>
  <c r="H52" i="18"/>
  <c r="D52" i="18"/>
  <c r="G52" i="18"/>
  <c r="C52" i="18"/>
  <c r="F52" i="18"/>
  <c r="B52" i="18"/>
  <c r="C17" i="18"/>
  <c r="Q14" i="48"/>
  <c r="O24" i="48"/>
  <c r="O30" i="48"/>
  <c r="P24" i="48"/>
  <c r="P30" i="48"/>
  <c r="E78" i="14"/>
  <c r="E90" i="14"/>
  <c r="N78" i="14"/>
  <c r="B51" i="18"/>
  <c r="C8" i="18"/>
  <c r="C10" i="18"/>
  <c r="Q77" i="14"/>
  <c r="P9" i="59"/>
  <c r="O9" i="18"/>
  <c r="G78" i="14"/>
  <c r="C77" i="14"/>
  <c r="C9" i="59"/>
  <c r="F51" i="18"/>
  <c r="G51" i="18"/>
  <c r="I8" i="18"/>
  <c r="H51" i="18"/>
  <c r="C51" i="18"/>
  <c r="E51"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<sst xmlns="http://schemas.openxmlformats.org/spreadsheetml/2006/main" count="2426" uniqueCount="890">
  <si>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</si>
  <si>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</si>
  <si>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</si>
  <si>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</si>
  <si>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</si>
  <si>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</si>
  <si>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</si>
  <si>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</si>
  <si>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</si>
  <si>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</si>
  <si>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</si>
  <si>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</si>
  <si>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</si>
  <si>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</si>
  <si>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</si>
  <si>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</si>
  <si>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</si>
  <si>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</si>
  <si>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</si>
  <si>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</si>
  <si>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</si>
  <si>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</si>
  <si>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</si>
  <si>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</si>
  <si>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</si>
  <si>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</si>
  <si>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</si>
  <si>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</si>
  <si>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</si>
  <si>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</si>
  <si>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</si>
  <si>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</si>
  <si>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</si>
  <si>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</si>
  <si>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</si>
  <si>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</si>
  <si>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</si>
  <si>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</si>
  <si>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</si>
  <si>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</si>
  <si>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</si>
  <si>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</si>
  <si>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</si>
  <si>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</si>
  <si>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</si>
  <si>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</si>
  <si>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</si>
  <si>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</si>
  <si>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</si>
  <si>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</si>
  <si>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</si>
  <si>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</si>
  <si>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</si>
  <si>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</si>
  <si>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</si>
  <si>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</si>
  <si>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</si>
  <si>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</si>
  <si>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</si>
  <si>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</si>
  <si>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</si>
  <si>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</si>
  <si>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</si>
  <si>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</si>
  <si>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</si>
  <si>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</si>
  <si>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</si>
  <si>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</si>
  <si>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</si>
  <si>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</si>
  <si>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</si>
  <si>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</si>
  <si>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</si>
  <si>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</si>
  <si>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</si>
  <si>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</si>
  <si>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</si>
  <si>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</si>
  <si>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</si>
  <si>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</si>
  <si>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</si>
  <si>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</si>
  <si>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</si>
  <si>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</si>
  <si>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</si>
  <si>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</si>
  <si>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</si>
  <si>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</si>
  <si>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</si>
  <si>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</si>
  <si>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</si>
  <si>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</si>
  <si>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</si>
  <si>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</si>
  <si>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</si>
  <si>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</si>
  <si>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</si>
  <si>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</si>
  <si>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</si>
  <si>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</si>
  <si>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</si>
  <si>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</si>
  <si>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</si>
  <si>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</si>
  <si>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</si>
  <si>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</si>
  <si>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</si>
  <si>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</si>
  <si>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</si>
  <si>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</si>
  <si>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</si>
  <si>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</si>
  <si>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</si>
  <si>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</si>
  <si>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</si>
  <si>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</si>
  <si>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</si>
  <si>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</si>
  <si>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</si>
  <si>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</si>
  <si>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</si>
  <si>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</si>
  <si>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</si>
  <si>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</si>
  <si>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</si>
  <si>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</si>
  <si>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</si>
  <si>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</si>
  <si>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</si>
  <si>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</si>
  <si>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</si>
  <si>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</si>
  <si>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</si>
  <si>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</si>
  <si>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</si>
  <si>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</si>
  <si>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</si>
  <si>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</si>
  <si>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</si>
  <si>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</si>
  <si>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</si>
  <si>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</si>
  <si>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</si>
  <si>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</si>
  <si>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</si>
  <si>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</si>
  <si>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</si>
  <si>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</si>
  <si>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</si>
  <si>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</si>
  <si>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</si>
  <si>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</si>
  <si>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</si>
  <si>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</si>
  <si>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</si>
  <si>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</si>
  <si>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</si>
  <si>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</si>
  <si>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</si>
  <si>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</si>
  <si>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</si>
  <si>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</si>
  <si>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</si>
  <si>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</si>
  <si>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</si>
  <si>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</si>
  <si>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</si>
  <si>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</si>
  <si>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</si>
  <si>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</si>
  <si>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</si>
  <si>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</si>
  <si>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</si>
  <si>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</si>
  <si>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</si>
  <si>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</si>
  <si>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</si>
  <si>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</si>
  <si>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</si>
  <si>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</si>
  <si>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</si>
  <si>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</si>
  <si>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</si>
  <si>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</si>
  <si>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</si>
  <si>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</si>
  <si>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</si>
  <si>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</si>
  <si>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</si>
  <si>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</si>
  <si>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</si>
  <si>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</si>
  <si>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</si>
  <si>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</si>
  <si>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</si>
  <si>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</si>
  <si>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</si>
  <si>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</si>
  <si>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</si>
  <si>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</si>
  <si>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</si>
  <si>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</si>
  <si>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</si>
  <si>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</si>
  <si>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</si>
  <si>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</si>
  <si>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</si>
  <si>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</si>
  <si>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</si>
  <si>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</si>
  <si>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</si>
  <si>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</si>
  <si>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</si>
  <si>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</si>
  <si>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</si>
  <si>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</si>
  <si>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</si>
  <si>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</si>
  <si>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</si>
  <si>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</si>
  <si>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</si>
  <si>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</si>
  <si>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</si>
  <si>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</si>
  <si>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</si>
  <si>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</si>
  <si>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</si>
  <si>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</si>
  <si>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</si>
  <si>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</si>
  <si>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</si>
  <si>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</si>
  <si>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</si>
  <si>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</si>
  <si>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</si>
  <si>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</si>
  <si>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</si>
  <si>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</si>
  <si>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</si>
  <si>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</si>
  <si>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</si>
  <si>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</si>
  <si>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</si>
  <si>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</si>
  <si>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</si>
  <si>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</si>
  <si>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</si>
  <si>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</si>
  <si>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</si>
  <si>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</si>
  <si>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</si>
  <si>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</si>
  <si>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</si>
  <si>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</si>
  <si>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</si>
  <si>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</si>
  <si>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</si>
  <si>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</si>
  <si>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</si>
  <si>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</si>
  <si>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</si>
  <si>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</si>
  <si>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</si>
  <si>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</si>
  <si>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</si>
  <si>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</si>
  <si>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</si>
  <si>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</si>
  <si>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</si>
  <si>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</si>
  <si>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</si>
  <si>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</si>
  <si>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</si>
  <si>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</si>
  <si>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</si>
  <si>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</si>
  <si>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</si>
  <si>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</si>
  <si>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</si>
  <si>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</si>
  <si>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</si>
  <si>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</si>
  <si>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</si>
  <si>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</si>
  <si>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</si>
  <si>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</si>
  <si>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</si>
  <si>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</si>
  <si>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</si>
  <si>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</si>
  <si>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</si>
  <si>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</si>
  <si>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</si>
  <si>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</si>
  <si>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</si>
  <si>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</si>
  <si>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</si>
  <si>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</si>
  <si>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</si>
  <si>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</si>
  <si>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</si>
  <si>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</si>
  <si>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</si>
  <si>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</si>
  <si>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</si>
  <si>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</si>
  <si>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</si>
  <si>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</si>
  <si>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</si>
  <si>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</si>
  <si>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</si>
  <si>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</si>
  <si>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</si>
  <si>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</si>
  <si>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</si>
  <si>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</si>
  <si>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</si>
  <si>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</si>
  <si>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</si>
  <si>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</si>
  <si>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</si>
  <si>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</si>
  <si>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</si>
  <si>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</si>
  <si>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</si>
  <si>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</si>
  <si>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</si>
  <si>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</si>
  <si>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</si>
  <si>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</si>
  <si>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</si>
  <si>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</si>
  <si>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</si>
  <si>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</si>
  <si>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</si>
  <si>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</si>
  <si>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</si>
  <si>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</si>
  <si>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</si>
  <si>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</si>
  <si>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</si>
  <si>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</si>
  <si>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</si>
  <si>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</si>
  <si>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</si>
  <si>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</si>
  <si>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</si>
  <si>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</si>
  <si>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</si>
  <si>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</si>
  <si>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</si>
  <si>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</si>
  <si>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</si>
  <si>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</si>
  <si>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</si>
  <si>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</si>
  <si>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</si>
  <si>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</si>
  <si>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</si>
  <si>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</si>
  <si>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</si>
  <si>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</si>
  <si>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</si>
  <si>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</si>
  <si>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</si>
  <si>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</si>
  <si>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</si>
  <si>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</si>
  <si>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</si>
  <si>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</si>
  <si>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</si>
  <si>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</si>
  <si>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</si>
  <si>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</si>
  <si>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</si>
  <si>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</si>
  <si>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</si>
  <si>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</si>
  <si>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</si>
  <si>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</si>
  <si>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</si>
  <si>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</si>
  <si>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</si>
  <si>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</si>
  <si>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</si>
  <si>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</si>
  <si>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</si>
  <si>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</si>
  <si>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</si>
  <si>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</si>
  <si>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</si>
  <si>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</si>
  <si>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</si>
  <si>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</si>
  <si>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</si>
  <si>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</si>
  <si>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</si>
  <si>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</si>
  <si>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</si>
  <si>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</si>
  <si>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</si>
  <si>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</si>
  <si>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</si>
  <si>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</si>
  <si>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</si>
  <si>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</si>
  <si>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</si>
  <si>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</si>
  <si>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</si>
  <si>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</si>
  <si>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</si>
  <si>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</si>
  <si>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</si>
  <si>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</si>
  <si>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</si>
  <si>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</si>
  <si>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</si>
  <si>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</si>
  <si>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</si>
  <si>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</si>
  <si>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</si>
  <si>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</si>
  <si>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</si>
  <si>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</si>
  <si>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</si>
  <si>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</si>
  <si>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</si>
  <si>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</si>
  <si>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</si>
  <si>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</si>
  <si>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</si>
  <si>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</si>
  <si>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</si>
  <si>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</si>
  <si>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</si>
  <si>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</si>
  <si>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</si>
  <si>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</si>
  <si>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</si>
  <si>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</si>
  <si>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</si>
  <si>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</si>
  <si>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</si>
  <si>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</si>
  <si>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</si>
  <si>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</si>
  <si>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</si>
  <si>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</si>
  <si>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</si>
  <si>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</si>
  <si>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</si>
  <si>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</si>
  <si>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</si>
  <si>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</si>
  <si>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</si>
  <si>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</si>
  <si>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</si>
  <si>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</si>
  <si>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</si>
  <si>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</si>
  <si>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</si>
  <si>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</si>
  <si>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</si>
  <si>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</si>
  <si>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</si>
  <si>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</si>
  <si>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</si>
  <si>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</si>
  <si>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</si>
  <si>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</si>
  <si>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</si>
  <si>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</si>
  <si>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</si>
  <si>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</si>
  <si>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</si>
  <si>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</si>
  <si>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</si>
  <si>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</si>
  <si>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</si>
  <si>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</si>
  <si>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</si>
  <si>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</si>
  <si>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</si>
  <si>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</si>
  <si>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</si>
  <si>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</si>
  <si>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</si>
  <si>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</si>
  <si>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</si>
  <si>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</si>
  <si>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</si>
  <si>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</si>
  <si>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</si>
  <si>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</si>
  <si>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</si>
  <si>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</si>
  <si>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</si>
  <si>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</si>
  <si>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</si>
  <si>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</si>
  <si>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</si>
  <si>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</si>
  <si>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</si>
  <si>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</si>
  <si>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</si>
  <si>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</si>
  <si>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</si>
  <si>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</si>
  <si>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</si>
  <si>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</si>
  <si>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</si>
  <si>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</si>
  <si>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</si>
  <si>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</si>
  <si>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</si>
  <si>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</si>
  <si>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</si>
  <si>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</si>
  <si>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</si>
  <si>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</si>
  <si>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</si>
  <si>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</si>
  <si>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</si>
  <si>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</si>
  <si>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</si>
  <si>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</si>
  <si>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</si>
  <si>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</si>
  <si>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</si>
  <si>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</si>
  <si>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</si>
  <si>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</si>
  <si>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</si>
  <si>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</si>
  <si>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</si>
  <si>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</si>
  <si>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</si>
  <si>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</si>
  <si>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</si>
  <si>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</si>
  <si>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</si>
  <si>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</si>
  <si>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</si>
  <si>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</si>
  <si>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</si>
  <si>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</si>
  <si>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</si>
  <si>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</si>
  <si>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</si>
  <si>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</si>
  <si>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</si>
  <si>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</si>
  <si>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</si>
  <si>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</si>
  <si>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</si>
  <si>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</si>
  <si>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</si>
  <si>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</si>
  <si>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</si>
  <si>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</si>
  <si>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</si>
  <si>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</si>
  <si>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</si>
  <si>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</si>
  <si>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</si>
  <si>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</si>
  <si>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</si>
  <si>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</si>
  <si>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</si>
  <si>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</si>
  <si>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</si>
  <si>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</si>
  <si>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</si>
  <si>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</si>
  <si>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</si>
  <si>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</si>
  <si>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</si>
  <si>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</si>
  <si>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</si>
  <si>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</si>
  <si>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</si>
  <si>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</si>
  <si>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</si>
  <si>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</si>
  <si>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</si>
  <si>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</si>
  <si>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</si>
  <si>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</si>
  <si>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</si>
  <si>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</si>
  <si>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</si>
  <si>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</si>
  <si>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</si>
  <si>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</si>
  <si>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</si>
  <si>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</si>
  <si>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</si>
  <si>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</si>
  <si>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</si>
  <si>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</si>
  <si>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</si>
  <si>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</si>
  <si>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</si>
  <si>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</si>
  <si>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</si>
  <si>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</si>
  <si>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</si>
  <si>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</si>
  <si>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</si>
  <si>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</si>
  <si>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</si>
  <si>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</si>
  <si>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</si>
  <si>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</si>
  <si>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</si>
  <si>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</si>
  <si>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</si>
  <si>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</si>
  <si>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</si>
  <si>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</si>
  <si>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</si>
  <si>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</si>
  <si>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</si>
  <si>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</si>
  <si>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</si>
  <si>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</si>
  <si>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</si>
  <si>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</si>
  <si>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</si>
  <si>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</si>
  <si>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</si>
  <si>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</si>
  <si>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</si>
  <si>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</si>
  <si>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</si>
  <si>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</si>
  <si>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</si>
  <si>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</si>
  <si>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</si>
  <si>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</si>
  <si>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</si>
  <si>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</si>
  <si>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</si>
  <si>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</si>
  <si>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</si>
  <si>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</si>
  <si>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</si>
  <si>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</si>
  <si>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</si>
  <si>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</si>
  <si>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</si>
  <si>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</si>
  <si>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</si>
  <si>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</si>
  <si>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</si>
  <si>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</si>
  <si>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</si>
  <si>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</si>
  <si>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</si>
  <si>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</si>
  <si>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</si>
  <si>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</si>
  <si>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</si>
  <si>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</si>
  <si>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</si>
  <si>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</si>
  <si>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</si>
  <si>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</si>
  <si>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</si>
  <si>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</si>
  <si>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</si>
  <si>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</si>
  <si>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</si>
  <si>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</si>
  <si>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</si>
  <si>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</si>
  <si>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</si>
  <si>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</si>
  <si>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</si>
  <si>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</si>
  <si>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</si>
  <si>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</si>
  <si>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</si>
  <si>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</si>
  <si>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</si>
  <si>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</si>
  <si>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</si>
  <si>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</si>
  <si>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</si>
  <si>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</si>
  <si>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</si>
  <si>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</si>
  <si>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</si>
  <si>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</si>
  <si>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</si>
  <si>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</si>
  <si>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</si>
  <si>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</si>
  <si>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</si>
  <si>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</si>
  <si>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</si>
  <si>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</si>
  <si>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</si>
  <si>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</si>
  <si>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</si>
  <si>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</si>
  <si>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</si>
  <si>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</si>
  <si>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</si>
  <si>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</si>
  <si>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</si>
  <si>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</si>
  <si>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</si>
  <si>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</si>
  <si>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</si>
  <si>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</si>
  <si>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</si>
  <si>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</si>
  <si>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</si>
  <si>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</si>
  <si>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</si>
  <si>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</si>
  <si>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</si>
  <si>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</si>
  <si>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</si>
  <si>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</si>
  <si>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</si>
  <si>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</si>
  <si>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</si>
  <si>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</si>
  <si>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</si>
  <si>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</si>
  <si>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</si>
  <si>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</si>
  <si>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</si>
  <si>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</si>
  <si>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</si>
  <si>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</si>
  <si>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</si>
  <si>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</si>
  <si>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</si>
  <si>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</si>
  <si>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</si>
  <si>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</si>
  <si>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</si>
  <si>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</si>
  <si>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</si>
  <si>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</si>
  <si>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</si>
  <si>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</si>
  <si>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</si>
  <si>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</si>
  <si>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</si>
  <si>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</si>
  <si>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</si>
  <si>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</si>
  <si>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</si>
  <si>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</si>
  <si>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</si>
  <si>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</si>
  <si>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</si>
  <si>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</si>
  <si>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</si>
  <si>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</si>
  <si>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</si>
  <si>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</si>
  <si>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</si>
  <si>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</si>
  <si>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</si>
  <si>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</si>
  <si>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</si>
  <si>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</si>
  <si>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</si>
  <si>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</si>
  <si>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</si>
  <si>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</si>
  <si>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</si>
  <si>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</si>
  <si>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</si>
  <si>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</si>
  <si>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</si>
  <si>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</si>
  <si>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</si>
  <si>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</si>
  <si>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</si>
  <si>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</si>
  <si>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</si>
  <si>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</si>
  <si>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</si>
  <si>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</si>
  <si>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</si>
  <si>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</si>
  <si>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</si>
  <si>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</si>
  <si>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</si>
  <si>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</si>
  <si>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</si>
  <si>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</si>
  <si>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</si>
  <si>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</si>
  <si>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</si>
  <si>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</si>
  <si>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</si>
  <si>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</si>
  <si>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</si>
  <si>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</si>
  <si>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</si>
  <si>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</si>
  <si>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</si>
  <si>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</si>
  <si>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</si>
  <si>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</si>
  <si>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</si>
  <si>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</si>
  <si>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</si>
  <si>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</si>
  <si>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</si>
  <si>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</si>
  <si>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</si>
  <si>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</si>
  <si>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</si>
  <si>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</si>
  <si>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</si>
  <si>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</si>
  <si>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</si>
  <si>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</si>
  <si>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</si>
  <si>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</si>
  <si>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</si>
  <si>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</si>
  <si>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</si>
  <si>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</si>
  <si>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</si>
  <si>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</si>
  <si>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</si>
  <si>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</si>
  <si>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</si>
  <si>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</si>
  <si>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</si>
  <si>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</si>
  <si>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</si>
  <si>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</si>
  <si>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</si>
  <si>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</si>
  <si>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</si>
  <si>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</si>
  <si>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</si>
  <si>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</si>
  <si>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</si>
  <si>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</si>
  <si>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</si>
  <si>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</si>
  <si>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</si>
  <si>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</si>
  <si>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</si>
  <si>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</si>
  <si>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</si>
  <si>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</si>
  <si>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</si>
  <si>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</si>
  <si>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</si>
  <si>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</si>
  <si>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</si>
  <si>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</si>
  <si>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</si>
  <si>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</si>
  <si>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</si>
  <si>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</si>
  <si>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</si>
  <si>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</si>
  <si>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</si>
  <si>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</si>
  <si>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</si>
  <si>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</si>
  <si>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</si>
  <si>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</si>
  <si>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</si>
  <si>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</si>
  <si>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</si>
  <si>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</si>
  <si>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</si>
  <si>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</si>
  <si>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44084</t>
  </si>
  <si>
    <t>AALTER</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</si>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</sst>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AA1D3F7-3DC7-42EC-A7A0-F61FC84179A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244566.80646514418</c:v>
                </c:pt>
                <c:pt idx="1">
                  <c:v>80329.83111317092</c:v>
                </c:pt>
                <c:pt idx="2">
                  <c:v>2678.5309999999999</c:v>
                </c:pt>
                <c:pt idx="3">
                  <c:v>64148.011213704638</c:v>
                </c:pt>
                <c:pt idx="4">
                  <c:v>334130.24602703447</c:v>
                </c:pt>
                <c:pt idx="5">
                  <c:v>579186.06665299716</c:v>
                </c:pt>
                <c:pt idx="6">
                  <c:v>1231.451512649089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244566.80646514418</c:v>
                </c:pt>
                <c:pt idx="1">
                  <c:v>80329.83111317092</c:v>
                </c:pt>
                <c:pt idx="2">
                  <c:v>2678.5309999999999</c:v>
                </c:pt>
                <c:pt idx="3">
                  <c:v>64148.011213704638</c:v>
                </c:pt>
                <c:pt idx="4">
                  <c:v>334130.24602703447</c:v>
                </c:pt>
                <c:pt idx="5">
                  <c:v>579186.06665299716</c:v>
                </c:pt>
                <c:pt idx="6">
                  <c:v>1231.451512649089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51577.538040479405</c:v>
                </c:pt>
                <c:pt idx="2">
                  <c:v>15946.821716451746</c:v>
                </c:pt>
                <c:pt idx="3">
                  <c:v>515.26823612458747</c:v>
                </c:pt>
                <c:pt idx="4">
                  <c:v>11650.895945872098</c:v>
                </c:pt>
                <c:pt idx="5">
                  <c:v>62453.44288803776</c:v>
                </c:pt>
                <c:pt idx="6">
                  <c:v>148545.95333073524</c:v>
                </c:pt>
                <c:pt idx="7">
                  <c:v>318.40117319618003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51577.538040479405</c:v>
                </c:pt>
                <c:pt idx="2">
                  <c:v>15946.821716451746</c:v>
                </c:pt>
                <c:pt idx="3">
                  <c:v>515.26823612458747</c:v>
                </c:pt>
                <c:pt idx="4">
                  <c:v>11650.895945872098</c:v>
                </c:pt>
                <c:pt idx="5">
                  <c:v>62453.44288803776</c:v>
                </c:pt>
                <c:pt idx="6">
                  <c:v>148545.95333073524</c:v>
                </c:pt>
                <c:pt idx="7">
                  <c:v>318.40117319618003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44084</v>
      </c>
      <c r="B6" s="380"/>
      <c r="C6" s="381"/>
    </row>
    <row r="7" spans="1:7" s="378" customFormat="1" ht="15.75" customHeight="1">
      <c r="A7" s="382" t="str">
        <f>txtMunicipality</f>
        <v>AALTER</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0.19236971165336056</v>
      </c>
      <c r="C17" s="488">
        <f ca="1">'EF ele_warmte'!B22</f>
        <v>3.9524120375647183E-2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0.19236971165336056</v>
      </c>
      <c r="C29" s="489">
        <f ca="1">'EF ele_warmte'!B22</f>
        <v>3.9524120375647183E-2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11707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7304.0199999999995</v>
      </c>
      <c r="C14" s="322"/>
      <c r="D14" s="322"/>
      <c r="E14" s="322"/>
      <c r="F14" s="322"/>
    </row>
    <row r="15" spans="1:6">
      <c r="A15" s="1248" t="s">
        <v>177</v>
      </c>
      <c r="B15" s="1249">
        <v>645</v>
      </c>
      <c r="C15" s="322"/>
      <c r="D15" s="322"/>
      <c r="E15" s="322"/>
      <c r="F15" s="322"/>
    </row>
    <row r="16" spans="1:6">
      <c r="A16" s="1248" t="s">
        <v>6</v>
      </c>
      <c r="B16" s="1249">
        <v>4855</v>
      </c>
      <c r="C16" s="322"/>
      <c r="D16" s="322"/>
      <c r="E16" s="322"/>
      <c r="F16" s="322"/>
    </row>
    <row r="17" spans="1:6">
      <c r="A17" s="1248" t="s">
        <v>7</v>
      </c>
      <c r="B17" s="1249">
        <v>1958</v>
      </c>
      <c r="C17" s="322"/>
      <c r="D17" s="322"/>
      <c r="E17" s="322"/>
      <c r="F17" s="322"/>
    </row>
    <row r="18" spans="1:6">
      <c r="A18" s="1248" t="s">
        <v>8</v>
      </c>
      <c r="B18" s="1249">
        <v>4436</v>
      </c>
      <c r="C18" s="322"/>
      <c r="D18" s="322"/>
      <c r="E18" s="322"/>
      <c r="F18" s="322"/>
    </row>
    <row r="19" spans="1:6">
      <c r="A19" s="1248" t="s">
        <v>9</v>
      </c>
      <c r="B19" s="1249">
        <v>4458</v>
      </c>
      <c r="C19" s="322"/>
      <c r="D19" s="322"/>
      <c r="E19" s="322"/>
      <c r="F19" s="322"/>
    </row>
    <row r="20" spans="1:6">
      <c r="A20" s="1248" t="s">
        <v>10</v>
      </c>
      <c r="B20" s="1249">
        <v>2754</v>
      </c>
      <c r="C20" s="322"/>
      <c r="D20" s="322"/>
      <c r="E20" s="322"/>
      <c r="F20" s="322"/>
    </row>
    <row r="21" spans="1:6">
      <c r="A21" s="1248" t="s">
        <v>11</v>
      </c>
      <c r="B21" s="1249">
        <v>38154</v>
      </c>
      <c r="C21" s="322"/>
      <c r="D21" s="322"/>
      <c r="E21" s="322"/>
      <c r="F21" s="322"/>
    </row>
    <row r="22" spans="1:6">
      <c r="A22" s="1248" t="s">
        <v>12</v>
      </c>
      <c r="B22" s="1249">
        <v>111017</v>
      </c>
      <c r="C22" s="322"/>
      <c r="D22" s="322"/>
      <c r="E22" s="322"/>
      <c r="F22" s="322"/>
    </row>
    <row r="23" spans="1:6">
      <c r="A23" s="1248" t="s">
        <v>13</v>
      </c>
      <c r="B23" s="1249">
        <v>1350</v>
      </c>
      <c r="C23" s="322"/>
      <c r="D23" s="322"/>
      <c r="E23" s="322"/>
      <c r="F23" s="322"/>
    </row>
    <row r="24" spans="1:6">
      <c r="A24" s="1248" t="s">
        <v>14</v>
      </c>
      <c r="B24" s="1249">
        <v>53</v>
      </c>
      <c r="C24" s="322"/>
      <c r="D24" s="322"/>
      <c r="E24" s="322"/>
      <c r="F24" s="322"/>
    </row>
    <row r="25" spans="1:6">
      <c r="A25" s="1248" t="s">
        <v>15</v>
      </c>
      <c r="B25" s="1249">
        <v>7344</v>
      </c>
      <c r="C25" s="322"/>
      <c r="D25" s="322"/>
      <c r="E25" s="322"/>
      <c r="F25" s="322"/>
    </row>
    <row r="26" spans="1:6">
      <c r="A26" s="1248" t="s">
        <v>16</v>
      </c>
      <c r="B26" s="1249">
        <v>821</v>
      </c>
      <c r="C26" s="322"/>
      <c r="D26" s="322"/>
      <c r="E26" s="322"/>
      <c r="F26" s="322"/>
    </row>
    <row r="27" spans="1:6">
      <c r="A27" s="1248" t="s">
        <v>17</v>
      </c>
      <c r="B27" s="1249">
        <v>14</v>
      </c>
      <c r="C27" s="322"/>
      <c r="D27" s="322"/>
      <c r="E27" s="322"/>
      <c r="F27" s="322"/>
    </row>
    <row r="28" spans="1:6">
      <c r="A28" s="1248" t="s">
        <v>18</v>
      </c>
      <c r="B28" s="1250">
        <v>870542</v>
      </c>
      <c r="C28" s="322"/>
      <c r="D28" s="322"/>
      <c r="E28" s="322"/>
      <c r="F28" s="322"/>
    </row>
    <row r="29" spans="1:6">
      <c r="A29" s="1248" t="s">
        <v>884</v>
      </c>
      <c r="B29" s="1250">
        <v>382</v>
      </c>
      <c r="C29" s="322"/>
      <c r="D29" s="322"/>
      <c r="E29" s="322"/>
      <c r="F29" s="322"/>
    </row>
    <row r="30" spans="1:6">
      <c r="A30" s="1243" t="s">
        <v>885</v>
      </c>
      <c r="B30" s="1251">
        <v>157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29691.497252000001</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94939.976330999998</v>
      </c>
    </row>
    <row r="39" spans="1:6">
      <c r="A39" s="1248" t="s">
        <v>29</v>
      </c>
      <c r="B39" s="1248" t="s">
        <v>30</v>
      </c>
      <c r="C39" s="1249">
        <v>5194</v>
      </c>
      <c r="D39" s="1249">
        <v>74822847.263999999</v>
      </c>
      <c r="E39" s="1249">
        <v>10903</v>
      </c>
      <c r="F39" s="1249">
        <v>51131465.162</v>
      </c>
    </row>
    <row r="40" spans="1:6">
      <c r="A40" s="1248" t="s">
        <v>29</v>
      </c>
      <c r="B40" s="1248" t="s">
        <v>28</v>
      </c>
      <c r="C40" s="1249">
        <v>0</v>
      </c>
      <c r="D40" s="1249">
        <v>0</v>
      </c>
      <c r="E40" s="1249">
        <v>0</v>
      </c>
      <c r="F40" s="1249">
        <v>0</v>
      </c>
    </row>
    <row r="41" spans="1:6">
      <c r="A41" s="1248" t="s">
        <v>31</v>
      </c>
      <c r="B41" s="1248" t="s">
        <v>32</v>
      </c>
      <c r="C41" s="1249">
        <v>134</v>
      </c>
      <c r="D41" s="1249">
        <v>3129294.1677699997</v>
      </c>
      <c r="E41" s="1249">
        <v>382</v>
      </c>
      <c r="F41" s="1249">
        <v>3576903.9095000001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70838.443723000004</v>
      </c>
      <c r="E44" s="1249">
        <v>42</v>
      </c>
      <c r="F44" s="1249">
        <v>1860021.08495</v>
      </c>
    </row>
    <row r="45" spans="1:6">
      <c r="A45" s="1248" t="s">
        <v>31</v>
      </c>
      <c r="B45" s="1248" t="s">
        <v>36</v>
      </c>
      <c r="C45" s="1249">
        <v>3</v>
      </c>
      <c r="D45" s="1249">
        <v>1685049.9325999999</v>
      </c>
      <c r="E45" s="1249">
        <v>4</v>
      </c>
      <c r="F45" s="1249">
        <v>943275.92660999997</v>
      </c>
    </row>
    <row r="46" spans="1:6">
      <c r="A46" s="1248" t="s">
        <v>31</v>
      </c>
      <c r="B46" s="1248" t="s">
        <v>37</v>
      </c>
      <c r="C46" s="1249">
        <v>0</v>
      </c>
      <c r="D46" s="1249">
        <v>0</v>
      </c>
      <c r="E46" s="1249">
        <v>0</v>
      </c>
      <c r="F46" s="1249">
        <v>0</v>
      </c>
    </row>
    <row r="47" spans="1:6">
      <c r="A47" s="1248" t="s">
        <v>31</v>
      </c>
      <c r="B47" s="1248" t="s">
        <v>38</v>
      </c>
      <c r="C47" s="1249">
        <v>4</v>
      </c>
      <c r="D47" s="1249">
        <v>9161481.6883000005</v>
      </c>
      <c r="E47" s="1249">
        <v>9</v>
      </c>
      <c r="F47" s="1249">
        <v>11578497.6116</v>
      </c>
    </row>
    <row r="48" spans="1:6">
      <c r="A48" s="1248" t="s">
        <v>31</v>
      </c>
      <c r="B48" s="1248" t="s">
        <v>28</v>
      </c>
      <c r="C48" s="1249">
        <v>50</v>
      </c>
      <c r="D48" s="1249">
        <v>193777163.36289999</v>
      </c>
      <c r="E48" s="1249">
        <v>73</v>
      </c>
      <c r="F48" s="1249">
        <v>5439107.1462099999</v>
      </c>
    </row>
    <row r="49" spans="1:6">
      <c r="A49" s="1248" t="s">
        <v>31</v>
      </c>
      <c r="B49" s="1248" t="s">
        <v>39</v>
      </c>
      <c r="C49" s="1249">
        <v>0</v>
      </c>
      <c r="D49" s="1249">
        <v>0</v>
      </c>
      <c r="E49" s="1249">
        <v>4</v>
      </c>
      <c r="F49" s="1249">
        <v>36662.324288000003</v>
      </c>
    </row>
    <row r="50" spans="1:6">
      <c r="A50" s="1248" t="s">
        <v>31</v>
      </c>
      <c r="B50" s="1248" t="s">
        <v>40</v>
      </c>
      <c r="C50" s="1249">
        <v>15</v>
      </c>
      <c r="D50" s="1249">
        <v>5139738.67662</v>
      </c>
      <c r="E50" s="1249">
        <v>30</v>
      </c>
      <c r="F50" s="1249">
        <v>66027677.065700002</v>
      </c>
    </row>
    <row r="51" spans="1:6">
      <c r="A51" s="1248" t="s">
        <v>41</v>
      </c>
      <c r="B51" s="1248" t="s">
        <v>42</v>
      </c>
      <c r="C51" s="1249">
        <v>13</v>
      </c>
      <c r="D51" s="1249">
        <v>189812.13531000001</v>
      </c>
      <c r="E51" s="1249">
        <v>355</v>
      </c>
      <c r="F51" s="1249">
        <v>8213361.1319999993</v>
      </c>
    </row>
    <row r="52" spans="1:6">
      <c r="A52" s="1248" t="s">
        <v>41</v>
      </c>
      <c r="B52" s="1248" t="s">
        <v>28</v>
      </c>
      <c r="C52" s="1249">
        <v>17</v>
      </c>
      <c r="D52" s="1249">
        <v>8395640.9776930008</v>
      </c>
      <c r="E52" s="1249">
        <v>13</v>
      </c>
      <c r="F52" s="1249">
        <v>306443.98145000002</v>
      </c>
    </row>
    <row r="53" spans="1:6">
      <c r="A53" s="1248" t="s">
        <v>43</v>
      </c>
      <c r="B53" s="1248" t="s">
        <v>44</v>
      </c>
      <c r="C53" s="1249">
        <v>145</v>
      </c>
      <c r="D53" s="1249">
        <v>2037168.6842999998</v>
      </c>
      <c r="E53" s="1249">
        <v>409</v>
      </c>
      <c r="F53" s="1249">
        <v>1881049.4819899998</v>
      </c>
    </row>
    <row r="54" spans="1:6">
      <c r="A54" s="1248" t="s">
        <v>45</v>
      </c>
      <c r="B54" s="1248" t="s">
        <v>46</v>
      </c>
      <c r="C54" s="1249">
        <v>0</v>
      </c>
      <c r="D54" s="1249">
        <v>0</v>
      </c>
      <c r="E54" s="1249">
        <v>6</v>
      </c>
      <c r="F54" s="1249">
        <v>2678531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74</v>
      </c>
      <c r="D57" s="1249">
        <v>3304237.8044999996</v>
      </c>
      <c r="E57" s="1249">
        <v>165</v>
      </c>
      <c r="F57" s="1249">
        <v>3467220.4704</v>
      </c>
    </row>
    <row r="58" spans="1:6">
      <c r="A58" s="1248" t="s">
        <v>48</v>
      </c>
      <c r="B58" s="1248" t="s">
        <v>50</v>
      </c>
      <c r="C58" s="1249">
        <v>28</v>
      </c>
      <c r="D58" s="1249">
        <v>1583959.2623399999</v>
      </c>
      <c r="E58" s="1249">
        <v>74</v>
      </c>
      <c r="F58" s="1249">
        <v>1247511.70918</v>
      </c>
    </row>
    <row r="59" spans="1:6">
      <c r="A59" s="1248" t="s">
        <v>48</v>
      </c>
      <c r="B59" s="1248" t="s">
        <v>51</v>
      </c>
      <c r="C59" s="1249">
        <v>102</v>
      </c>
      <c r="D59" s="1249">
        <v>3608924.1771</v>
      </c>
      <c r="E59" s="1249">
        <v>337</v>
      </c>
      <c r="F59" s="1249">
        <v>11758723.0846</v>
      </c>
    </row>
    <row r="60" spans="1:6">
      <c r="A60" s="1248" t="s">
        <v>48</v>
      </c>
      <c r="B60" s="1248" t="s">
        <v>52</v>
      </c>
      <c r="C60" s="1249">
        <v>105</v>
      </c>
      <c r="D60" s="1249">
        <v>5889556.3403699994</v>
      </c>
      <c r="E60" s="1249">
        <v>127</v>
      </c>
      <c r="F60" s="1249">
        <v>3539323.3023899999</v>
      </c>
    </row>
    <row r="61" spans="1:6">
      <c r="A61" s="1248" t="s">
        <v>48</v>
      </c>
      <c r="B61" s="1248" t="s">
        <v>53</v>
      </c>
      <c r="C61" s="1249">
        <v>137</v>
      </c>
      <c r="D61" s="1249">
        <v>3232626.0177200004</v>
      </c>
      <c r="E61" s="1249">
        <v>579</v>
      </c>
      <c r="F61" s="1249">
        <v>6524218.6412599999</v>
      </c>
    </row>
    <row r="62" spans="1:6">
      <c r="A62" s="1248" t="s">
        <v>48</v>
      </c>
      <c r="B62" s="1248" t="s">
        <v>54</v>
      </c>
      <c r="C62" s="1249">
        <v>5</v>
      </c>
      <c r="D62" s="1249">
        <v>661213.11609000002</v>
      </c>
      <c r="E62" s="1249">
        <v>16</v>
      </c>
      <c r="F62" s="1249">
        <v>152531.94162200001</v>
      </c>
    </row>
    <row r="63" spans="1:6">
      <c r="A63" s="1248" t="s">
        <v>48</v>
      </c>
      <c r="B63" s="1248" t="s">
        <v>28</v>
      </c>
      <c r="C63" s="1249">
        <v>166</v>
      </c>
      <c r="D63" s="1249">
        <v>22227266.413599998</v>
      </c>
      <c r="E63" s="1249">
        <v>235</v>
      </c>
      <c r="F63" s="1249">
        <v>6859936.93004</v>
      </c>
    </row>
    <row r="64" spans="1:6">
      <c r="A64" s="1248" t="s">
        <v>55</v>
      </c>
      <c r="B64" s="1248" t="s">
        <v>56</v>
      </c>
      <c r="C64" s="1249">
        <v>0</v>
      </c>
      <c r="D64" s="1249">
        <v>0</v>
      </c>
      <c r="E64" s="1249">
        <v>0</v>
      </c>
      <c r="F64" s="1249">
        <v>0</v>
      </c>
    </row>
    <row r="65" spans="1:6">
      <c r="A65" s="1248" t="s">
        <v>55</v>
      </c>
      <c r="B65" s="1248" t="s">
        <v>28</v>
      </c>
      <c r="C65" s="1249">
        <v>3</v>
      </c>
      <c r="D65" s="1249">
        <v>42767.572493</v>
      </c>
      <c r="E65" s="1249">
        <v>4</v>
      </c>
      <c r="F65" s="1249">
        <v>24725</v>
      </c>
    </row>
    <row r="66" spans="1:6">
      <c r="A66" s="1248" t="s">
        <v>55</v>
      </c>
      <c r="B66" s="1248" t="s">
        <v>57</v>
      </c>
      <c r="C66" s="1249">
        <v>0</v>
      </c>
      <c r="D66" s="1249">
        <v>0</v>
      </c>
      <c r="E66" s="1249">
        <v>20</v>
      </c>
      <c r="F66" s="1249">
        <v>438780.35181000002</v>
      </c>
    </row>
    <row r="67" spans="1:6">
      <c r="A67" s="1248" t="s">
        <v>55</v>
      </c>
      <c r="B67" s="1248" t="s">
        <v>58</v>
      </c>
      <c r="C67" s="1249">
        <v>0</v>
      </c>
      <c r="D67" s="1249">
        <v>0</v>
      </c>
      <c r="E67" s="1249">
        <v>0</v>
      </c>
      <c r="F67" s="1249">
        <v>0</v>
      </c>
    </row>
    <row r="68" spans="1:6">
      <c r="A68" s="1243" t="s">
        <v>55</v>
      </c>
      <c r="B68" s="1243" t="s">
        <v>59</v>
      </c>
      <c r="C68" s="1251">
        <v>4</v>
      </c>
      <c r="D68" s="1251">
        <v>93549.815614000006</v>
      </c>
      <c r="E68" s="1251">
        <v>19</v>
      </c>
      <c r="F68" s="1251">
        <v>254238.48596199998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148615931</v>
      </c>
      <c r="E73" s="439"/>
      <c r="F73" s="322"/>
    </row>
    <row r="74" spans="1:6">
      <c r="A74" s="1248" t="s">
        <v>63</v>
      </c>
      <c r="B74" s="1248" t="s">
        <v>626</v>
      </c>
      <c r="C74" s="1261" t="s">
        <v>628</v>
      </c>
      <c r="D74" s="1249">
        <v>18330202.573709704</v>
      </c>
      <c r="E74" s="439"/>
      <c r="F74" s="322"/>
    </row>
    <row r="75" spans="1:6">
      <c r="A75" s="1248" t="s">
        <v>64</v>
      </c>
      <c r="B75" s="1248" t="s">
        <v>625</v>
      </c>
      <c r="C75" s="1261" t="s">
        <v>629</v>
      </c>
      <c r="D75" s="1249">
        <v>41557133</v>
      </c>
      <c r="E75" s="439"/>
      <c r="F75" s="322"/>
    </row>
    <row r="76" spans="1:6">
      <c r="A76" s="1248" t="s">
        <v>64</v>
      </c>
      <c r="B76" s="1248" t="s">
        <v>626</v>
      </c>
      <c r="C76" s="1261" t="s">
        <v>630</v>
      </c>
      <c r="D76" s="1249">
        <v>850635.573709702</v>
      </c>
      <c r="E76" s="439"/>
      <c r="F76" s="322"/>
    </row>
    <row r="77" spans="1:6">
      <c r="A77" s="1248" t="s">
        <v>65</v>
      </c>
      <c r="B77" s="1248" t="s">
        <v>625</v>
      </c>
      <c r="C77" s="1261" t="s">
        <v>631</v>
      </c>
      <c r="D77" s="1249">
        <v>348091060</v>
      </c>
      <c r="E77" s="439"/>
      <c r="F77" s="322"/>
    </row>
    <row r="78" spans="1:6">
      <c r="A78" s="1243" t="s">
        <v>65</v>
      </c>
      <c r="B78" s="1243" t="s">
        <v>626</v>
      </c>
      <c r="C78" s="1243" t="s">
        <v>632</v>
      </c>
      <c r="D78" s="1251">
        <v>62397305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333064.85258059588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6345.6916570241447</v>
      </c>
      <c r="C91" s="322"/>
      <c r="D91" s="322"/>
      <c r="E91" s="322"/>
      <c r="F91" s="322"/>
    </row>
    <row r="92" spans="1:6">
      <c r="A92" s="1243" t="s">
        <v>68</v>
      </c>
      <c r="B92" s="1244">
        <v>6164.950455086454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2014</v>
      </c>
      <c r="C97" s="322"/>
      <c r="D97" s="322"/>
      <c r="E97" s="322"/>
      <c r="F97" s="322"/>
    </row>
    <row r="98" spans="1:6">
      <c r="A98" s="1248" t="s">
        <v>71</v>
      </c>
      <c r="B98" s="1249">
        <v>1</v>
      </c>
      <c r="C98" s="322"/>
      <c r="D98" s="322"/>
      <c r="E98" s="322"/>
      <c r="F98" s="322"/>
    </row>
    <row r="99" spans="1:6">
      <c r="A99" s="1248" t="s">
        <v>72</v>
      </c>
      <c r="B99" s="1249">
        <v>320</v>
      </c>
      <c r="C99" s="322"/>
      <c r="D99" s="322"/>
      <c r="E99" s="322"/>
      <c r="F99" s="322"/>
    </row>
    <row r="100" spans="1:6">
      <c r="A100" s="1248" t="s">
        <v>73</v>
      </c>
      <c r="B100" s="1249">
        <v>1503</v>
      </c>
      <c r="C100" s="322"/>
      <c r="D100" s="322"/>
      <c r="E100" s="322"/>
      <c r="F100" s="322"/>
    </row>
    <row r="101" spans="1:6">
      <c r="A101" s="1248" t="s">
        <v>74</v>
      </c>
      <c r="B101" s="1249">
        <v>285</v>
      </c>
      <c r="C101" s="322"/>
      <c r="D101" s="322"/>
      <c r="E101" s="322"/>
      <c r="F101" s="322"/>
    </row>
    <row r="102" spans="1:6">
      <c r="A102" s="1248" t="s">
        <v>75</v>
      </c>
      <c r="B102" s="1249">
        <v>252</v>
      </c>
      <c r="C102" s="322"/>
      <c r="D102" s="322"/>
      <c r="E102" s="322"/>
      <c r="F102" s="322"/>
    </row>
    <row r="103" spans="1:6">
      <c r="A103" s="1248" t="s">
        <v>76</v>
      </c>
      <c r="B103" s="1249">
        <v>440</v>
      </c>
      <c r="C103" s="322"/>
      <c r="D103" s="322"/>
      <c r="E103" s="322"/>
      <c r="F103" s="322"/>
    </row>
    <row r="104" spans="1:6">
      <c r="A104" s="1248" t="s">
        <v>77</v>
      </c>
      <c r="B104" s="1249">
        <v>5047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74</v>
      </c>
      <c r="C123" s="1249">
        <v>53</v>
      </c>
      <c r="D123" s="322"/>
      <c r="E123" s="322"/>
      <c r="F123" s="322"/>
    </row>
    <row r="124" spans="1:6">
      <c r="A124" s="1248" t="s">
        <v>88</v>
      </c>
      <c r="B124" s="1249">
        <v>2</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367</v>
      </c>
      <c r="C129" s="322"/>
      <c r="D129" s="322"/>
      <c r="E129" s="322"/>
      <c r="F129" s="322"/>
    </row>
    <row r="130" spans="1:6">
      <c r="A130" s="1248" t="s">
        <v>284</v>
      </c>
      <c r="B130" s="1249">
        <v>11</v>
      </c>
      <c r="C130" s="322"/>
      <c r="D130" s="322"/>
      <c r="E130" s="322"/>
      <c r="F130" s="322"/>
    </row>
    <row r="131" spans="1:6">
      <c r="A131" s="1248" t="s">
        <v>285</v>
      </c>
      <c r="B131" s="1249">
        <v>10</v>
      </c>
      <c r="C131" s="322"/>
      <c r="D131" s="322"/>
      <c r="E131" s="322"/>
      <c r="F131" s="322"/>
    </row>
    <row r="132" spans="1:6">
      <c r="A132" s="1243" t="s">
        <v>286</v>
      </c>
      <c r="B132" s="1244">
        <v>35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193728.26340121668</v>
      </c>
      <c r="C3" s="43" t="s">
        <v>163</v>
      </c>
      <c r="D3" s="43"/>
      <c r="E3" s="153"/>
      <c r="F3" s="43"/>
      <c r="G3" s="43"/>
      <c r="H3" s="43"/>
      <c r="I3" s="43"/>
      <c r="J3" s="43"/>
      <c r="K3" s="96"/>
    </row>
    <row r="4" spans="1:11">
      <c r="A4" s="348" t="s">
        <v>164</v>
      </c>
      <c r="B4" s="49">
        <f>IF(ISERROR('SEAP template'!B78+'SEAP template'!C78),0,'SEAP template'!B78+'SEAP template'!C78)</f>
        <v>27838.542112110601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605.8217647058824</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0.19236971165336056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865.4596638655463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21897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3.9524120375647183E-2</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2678.5309999999999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2678.5309999999999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0.19236971165336056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515.26823612458747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51131.465162</v>
      </c>
      <c r="C5" s="17">
        <f>IF(ISERROR('Eigen informatie GS &amp; warmtenet'!B57),0,'Eigen informatie GS &amp; warmtenet'!B57)</f>
        <v>0</v>
      </c>
      <c r="D5" s="30">
        <f>(SUM(HH_hh_gas_kWh,HH_rest_gas_kWh)/1000)*0.902</f>
        <v>67490.208232128003</v>
      </c>
      <c r="E5" s="17">
        <f>B32*B41</f>
        <v>3508.4446715230547</v>
      </c>
      <c r="F5" s="17">
        <f>B36*B45</f>
        <v>95387.666102818795</v>
      </c>
      <c r="G5" s="18"/>
      <c r="H5" s="17"/>
      <c r="I5" s="17"/>
      <c r="J5" s="17">
        <f>B35*B44+C35*C44</f>
        <v>1759.1189372048977</v>
      </c>
      <c r="K5" s="17"/>
      <c r="L5" s="17"/>
      <c r="M5" s="17"/>
      <c r="N5" s="17">
        <f>B34*B43+C34*C43</f>
        <v>16168.085035778611</v>
      </c>
      <c r="O5" s="17">
        <f>B52*B53*B54</f>
        <v>659.72666666666669</v>
      </c>
      <c r="P5" s="17">
        <f>B60*B61*B62/1000-B60*B61*B62/1000/B63</f>
        <v>2116.4</v>
      </c>
    </row>
    <row r="6" spans="1:16">
      <c r="A6" s="16" t="s">
        <v>586</v>
      </c>
      <c r="B6" s="716">
        <f>kWh_PV_kleiner_dan_10kW</f>
        <v>6345.6916570241447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57477.156819024145</v>
      </c>
      <c r="C8" s="21">
        <f>C5</f>
        <v>0</v>
      </c>
      <c r="D8" s="21">
        <f>D5</f>
        <v>67490.208232128003</v>
      </c>
      <c r="E8" s="21">
        <f>E5</f>
        <v>3508.4446715230547</v>
      </c>
      <c r="F8" s="21">
        <f>F5</f>
        <v>95387.666102818795</v>
      </c>
      <c r="G8" s="21"/>
      <c r="H8" s="21"/>
      <c r="I8" s="21"/>
      <c r="J8" s="21">
        <f>J5</f>
        <v>1759.1189372048977</v>
      </c>
      <c r="K8" s="21"/>
      <c r="L8" s="21">
        <f>L5</f>
        <v>0</v>
      </c>
      <c r="M8" s="21">
        <f>M5</f>
        <v>0</v>
      </c>
      <c r="N8" s="21">
        <f>N5</f>
        <v>16168.085035778611</v>
      </c>
      <c r="O8" s="21">
        <f>O5</f>
        <v>659.72666666666669</v>
      </c>
      <c r="P8" s="21">
        <f>P5</f>
        <v>2116.4</v>
      </c>
    </row>
    <row r="9" spans="1:16">
      <c r="B9" s="19"/>
      <c r="C9" s="19"/>
      <c r="D9" s="253"/>
      <c r="E9" s="19"/>
      <c r="F9" s="19"/>
      <c r="G9" s="19"/>
      <c r="H9" s="19"/>
      <c r="I9" s="19"/>
      <c r="J9" s="19"/>
      <c r="K9" s="19"/>
      <c r="L9" s="19"/>
      <c r="M9" s="19"/>
      <c r="N9" s="19"/>
      <c r="O9" s="19"/>
      <c r="P9" s="19"/>
    </row>
    <row r="10" spans="1:16">
      <c r="A10" s="24" t="s">
        <v>207</v>
      </c>
      <c r="B10" s="25">
        <f ca="1">'EF ele_warmte'!B12</f>
        <v>0.19236971165336056</v>
      </c>
      <c r="C10" s="25">
        <f ca="1">'EF ele_warmte'!B22</f>
        <v>3.9524120375647183E-2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11056.864083930661</v>
      </c>
      <c r="C12" s="23">
        <f ca="1">C10*C8</f>
        <v>0</v>
      </c>
      <c r="D12" s="23">
        <f>D8*D10</f>
        <v>13633.022062889857</v>
      </c>
      <c r="E12" s="23">
        <f>E10*E8</f>
        <v>796.41694043573341</v>
      </c>
      <c r="F12" s="23">
        <f>F10*F8</f>
        <v>25468.50684945262</v>
      </c>
      <c r="G12" s="23"/>
      <c r="H12" s="23"/>
      <c r="I12" s="23"/>
      <c r="J12" s="23">
        <f>J10*J8</f>
        <v>622.72810377053372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11707</v>
      </c>
      <c r="C26" s="36"/>
      <c r="D26" s="224"/>
    </row>
    <row r="27" spans="1:5" s="15" customFormat="1">
      <c r="A27" s="226" t="s">
        <v>655</v>
      </c>
      <c r="B27" s="37">
        <f>SUM(HH_hh_gas_aantal,HH_rest_gas_aantal)</f>
        <v>5194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4934.3</v>
      </c>
      <c r="C31" s="34" t="s">
        <v>104</v>
      </c>
      <c r="D31" s="170"/>
    </row>
    <row r="32" spans="1:5">
      <c r="A32" s="167" t="s">
        <v>72</v>
      </c>
      <c r="B32" s="33">
        <f>IF((B21*($B$26-($B$27-0.05*$B$27)-$B$60))&lt;0,0,B21*($B$26-($B$27-0.05*$B$27)-$B$60))</f>
        <v>42.990793521376673</v>
      </c>
      <c r="C32" s="34" t="s">
        <v>104</v>
      </c>
      <c r="D32" s="170"/>
    </row>
    <row r="33" spans="1:6">
      <c r="A33" s="167" t="s">
        <v>73</v>
      </c>
      <c r="B33" s="33">
        <f>IF((B22*($B$26-($B$27-0.05*$B$27)-$B$60))&lt;0,0,B22*($B$26-($B$27-0.05*$B$27)-$B$60))</f>
        <v>1497.0956036933599</v>
      </c>
      <c r="C33" s="34" t="s">
        <v>104</v>
      </c>
      <c r="D33" s="170"/>
    </row>
    <row r="34" spans="1:6">
      <c r="A34" s="167" t="s">
        <v>74</v>
      </c>
      <c r="B34" s="33">
        <f>IF((B24*($B$26-($B$27-0.05*$B$27)-$B$60))&lt;0,0,B24*($B$26-($B$27-0.05*$B$27)-$B$60))</f>
        <v>297.29250896554925</v>
      </c>
      <c r="C34" s="33">
        <f>B26*C24</f>
        <v>2395.982019047176</v>
      </c>
      <c r="D34" s="229"/>
    </row>
    <row r="35" spans="1:6">
      <c r="A35" s="167" t="s">
        <v>76</v>
      </c>
      <c r="B35" s="33">
        <f>IF((B19*($B$26-($B$27-0.05*$B$27)-$B$60))&lt;0,0,B19*($B$26-($B$27-0.05*$B$27)-$B$60))</f>
        <v>145.18290807607914</v>
      </c>
      <c r="C35" s="33">
        <f>B35/2</f>
        <v>72.591454038039572</v>
      </c>
      <c r="D35" s="229"/>
    </row>
    <row r="36" spans="1:6">
      <c r="A36" s="167" t="s">
        <v>77</v>
      </c>
      <c r="B36" s="33">
        <f>IF((B18*($B$26-($B$27-0.05*$B$27)-$B$60))&lt;0,0,B18*($B$26-($B$27-0.05*$B$27)-$B$60))</f>
        <v>4679.1381857436363</v>
      </c>
      <c r="C36" s="34" t="s">
        <v>104</v>
      </c>
      <c r="D36" s="170"/>
    </row>
    <row r="37" spans="1:6">
      <c r="A37" s="167" t="s">
        <v>78</v>
      </c>
      <c r="B37" s="33">
        <f>B60</f>
        <v>111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422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111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33549.466079491998</v>
      </c>
      <c r="C5" s="17">
        <f>IF(ISERROR('Eigen informatie GS &amp; warmtenet'!B58),0,'Eigen informatie GS &amp; warmtenet'!B58)</f>
        <v>0</v>
      </c>
      <c r="D5" s="30">
        <f>SUM(D6:D12)</f>
        <v>36538.020384811447</v>
      </c>
      <c r="E5" s="17">
        <f>SUM(E6:E12)</f>
        <v>568.91671111416281</v>
      </c>
      <c r="F5" s="17">
        <f>SUM(F6:F12)</f>
        <v>7435.5516751636987</v>
      </c>
      <c r="G5" s="18"/>
      <c r="H5" s="17"/>
      <c r="I5" s="17"/>
      <c r="J5" s="17">
        <f>SUM(J6:J12)</f>
        <v>5.7021123467371718E-2</v>
      </c>
      <c r="K5" s="17"/>
      <c r="L5" s="17"/>
      <c r="M5" s="17"/>
      <c r="N5" s="17">
        <f>SUM(N6:N12)</f>
        <v>2032.8487652756592</v>
      </c>
      <c r="O5" s="17">
        <f>B38*B39*B40</f>
        <v>17.196666666666669</v>
      </c>
      <c r="P5" s="17">
        <f>B46*B47*B48/1000-B46*B47*B48/1000/B49</f>
        <v>190.66666666666669</v>
      </c>
      <c r="R5" s="32"/>
    </row>
    <row r="6" spans="1:18">
      <c r="A6" s="32" t="s">
        <v>53</v>
      </c>
      <c r="B6" s="37">
        <f>B26</f>
        <v>6524.2186412600004</v>
      </c>
      <c r="C6" s="33"/>
      <c r="D6" s="37">
        <f>IF(ISERROR(TER_kantoor_gas_kWh/1000),0,TER_kantoor_gas_kWh/1000)*0.902</f>
        <v>2915.82866798344</v>
      </c>
      <c r="E6" s="33">
        <f>$C$26*'E Balans VL '!I12/100/3.6*1000000</f>
        <v>3.7143458845481475E-18</v>
      </c>
      <c r="F6" s="33">
        <f>$C$26*('E Balans VL '!L12+'E Balans VL '!N12)/100/3.6*1000000</f>
        <v>881.96685956697286</v>
      </c>
      <c r="G6" s="34"/>
      <c r="H6" s="33"/>
      <c r="I6" s="33"/>
      <c r="J6" s="33">
        <f>$C$26*('E Balans VL '!D12+'E Balans VL '!E12)/100/3.6*1000000</f>
        <v>0</v>
      </c>
      <c r="K6" s="33"/>
      <c r="L6" s="33"/>
      <c r="M6" s="33"/>
      <c r="N6" s="33">
        <f>$C$26*'E Balans VL '!Y12/100/3.6*1000000</f>
        <v>8.1996171686410264</v>
      </c>
      <c r="O6" s="33"/>
      <c r="P6" s="33"/>
      <c r="R6" s="32"/>
    </row>
    <row r="7" spans="1:18">
      <c r="A7" s="32" t="s">
        <v>52</v>
      </c>
      <c r="B7" s="37">
        <f t="shared" ref="B7:B12" si="0">B27</f>
        <v>3539.3233023899998</v>
      </c>
      <c r="C7" s="33"/>
      <c r="D7" s="37">
        <f>IF(ISERROR(TER_horeca_gas_kWh/1000),0,TER_horeca_gas_kWh/1000)*0.902</f>
        <v>5312.3798190137404</v>
      </c>
      <c r="E7" s="33">
        <f>$C$27*'E Balans VL '!I9/100/3.6*1000000</f>
        <v>45.204360415961958</v>
      </c>
      <c r="F7" s="33">
        <f>$C$27*('E Balans VL '!L9+'E Balans VL '!N9)/100/3.6*1000000</f>
        <v>399.75066422171597</v>
      </c>
      <c r="G7" s="34"/>
      <c r="H7" s="33"/>
      <c r="I7" s="33"/>
      <c r="J7" s="33">
        <f>$C$27*('E Balans VL '!D9+'E Balans VL '!E9)/100/3.6*1000000</f>
        <v>0</v>
      </c>
      <c r="K7" s="33"/>
      <c r="L7" s="33"/>
      <c r="M7" s="33"/>
      <c r="N7" s="33">
        <f>$C$27*'E Balans VL '!Y9/100/3.6*1000000</f>
        <v>0.84343576654261754</v>
      </c>
      <c r="O7" s="33"/>
      <c r="P7" s="33"/>
      <c r="R7" s="32"/>
    </row>
    <row r="8" spans="1:18">
      <c r="A8" s="6" t="s">
        <v>51</v>
      </c>
      <c r="B8" s="37">
        <f t="shared" si="0"/>
        <v>11758.7230846</v>
      </c>
      <c r="C8" s="33"/>
      <c r="D8" s="37">
        <f>IF(ISERROR(TER_handel_gas_kWh/1000),0,TER_handel_gas_kWh/1000)*0.902</f>
        <v>3255.2496077442001</v>
      </c>
      <c r="E8" s="33">
        <f>$C$28*'E Balans VL '!I13/100/3.6*1000000</f>
        <v>384.0208101957536</v>
      </c>
      <c r="F8" s="33">
        <f>$C$28*('E Balans VL '!L13+'E Balans VL '!N13)/100/3.6*1000000</f>
        <v>2035.9273605837154</v>
      </c>
      <c r="G8" s="34"/>
      <c r="H8" s="33"/>
      <c r="I8" s="33"/>
      <c r="J8" s="33">
        <f>$C$28*('E Balans VL '!D13+'E Balans VL '!E13)/100/3.6*1000000</f>
        <v>0</v>
      </c>
      <c r="K8" s="33"/>
      <c r="L8" s="33"/>
      <c r="M8" s="33"/>
      <c r="N8" s="33">
        <f>$C$28*'E Balans VL '!Y13/100/3.6*1000000</f>
        <v>13.839690885773424</v>
      </c>
      <c r="O8" s="33"/>
      <c r="P8" s="33"/>
      <c r="R8" s="32"/>
    </row>
    <row r="9" spans="1:18">
      <c r="A9" s="32" t="s">
        <v>50</v>
      </c>
      <c r="B9" s="37">
        <f t="shared" si="0"/>
        <v>1247.51170918</v>
      </c>
      <c r="C9" s="33"/>
      <c r="D9" s="37">
        <f>IF(ISERROR(TER_gezond_gas_kWh/1000),0,TER_gezond_gas_kWh/1000)*0.902</f>
        <v>1428.73125463068</v>
      </c>
      <c r="E9" s="33">
        <f>$C$29*'E Balans VL '!I10/100/3.6*1000000</f>
        <v>6.9664188444549704E-2</v>
      </c>
      <c r="F9" s="33">
        <f>$C$29*('E Balans VL '!L10+'E Balans VL '!N10)/100/3.6*1000000</f>
        <v>165.29066054708684</v>
      </c>
      <c r="G9" s="34"/>
      <c r="H9" s="33"/>
      <c r="I9" s="33"/>
      <c r="J9" s="33">
        <f>$C$29*('E Balans VL '!D10+'E Balans VL '!E10)/100/3.6*1000000</f>
        <v>0</v>
      </c>
      <c r="K9" s="33"/>
      <c r="L9" s="33"/>
      <c r="M9" s="33"/>
      <c r="N9" s="33">
        <f>$C$29*'E Balans VL '!Y10/100/3.6*1000000</f>
        <v>13.222785625654035</v>
      </c>
      <c r="O9" s="33"/>
      <c r="P9" s="33"/>
      <c r="R9" s="32"/>
    </row>
    <row r="10" spans="1:18">
      <c r="A10" s="32" t="s">
        <v>49</v>
      </c>
      <c r="B10" s="37">
        <f t="shared" si="0"/>
        <v>3467.2204704000001</v>
      </c>
      <c r="C10" s="33"/>
      <c r="D10" s="37">
        <f>IF(ISERROR(TER_ander_gas_kWh/1000),0,TER_ander_gas_kWh/1000)*0.902</f>
        <v>2980.4224996589996</v>
      </c>
      <c r="E10" s="33">
        <f>$C$30*'E Balans VL '!I14/100/3.6*1000000</f>
        <v>44.773692182186537</v>
      </c>
      <c r="F10" s="33">
        <f>$C$30*('E Balans VL '!L14+'E Balans VL '!N14)/100/3.6*1000000</f>
        <v>2288.612817319512</v>
      </c>
      <c r="G10" s="34"/>
      <c r="H10" s="33"/>
      <c r="I10" s="33"/>
      <c r="J10" s="33">
        <f>$C$30*('E Balans VL '!D14+'E Balans VL '!E14)/100/3.6*1000000</f>
        <v>4.2002651977813547E-2</v>
      </c>
      <c r="K10" s="33"/>
      <c r="L10" s="33"/>
      <c r="M10" s="33"/>
      <c r="N10" s="33">
        <f>$C$30*'E Balans VL '!Y14/100/3.6*1000000</f>
        <v>1462.1127553421038</v>
      </c>
      <c r="O10" s="33"/>
      <c r="P10" s="33"/>
      <c r="R10" s="32"/>
    </row>
    <row r="11" spans="1:18">
      <c r="A11" s="32" t="s">
        <v>54</v>
      </c>
      <c r="B11" s="37">
        <f t="shared" si="0"/>
        <v>152.53194162200001</v>
      </c>
      <c r="C11" s="33"/>
      <c r="D11" s="37">
        <f>IF(ISERROR(TER_onderwijs_gas_kWh/1000),0,TER_onderwijs_gas_kWh/1000)*0.902</f>
        <v>596.41423071318002</v>
      </c>
      <c r="E11" s="33">
        <f>$C$31*'E Balans VL '!I11/100/3.6*1000000</f>
        <v>2.0527015392747443</v>
      </c>
      <c r="F11" s="33">
        <f>$C$31*('E Balans VL '!L11+'E Balans VL '!N11)/100/3.6*1000000</f>
        <v>23.837276086651698</v>
      </c>
      <c r="G11" s="34"/>
      <c r="H11" s="33"/>
      <c r="I11" s="33"/>
      <c r="J11" s="33">
        <f>$C$31*('E Balans VL '!D11+'E Balans VL '!E11)/100/3.6*1000000</f>
        <v>0</v>
      </c>
      <c r="K11" s="33"/>
      <c r="L11" s="33"/>
      <c r="M11" s="33"/>
      <c r="N11" s="33">
        <f>$C$31*'E Balans VL '!Y11/100/3.6*1000000</f>
        <v>0.35220348098399812</v>
      </c>
      <c r="O11" s="33"/>
      <c r="P11" s="33"/>
      <c r="R11" s="32"/>
    </row>
    <row r="12" spans="1:18">
      <c r="A12" s="32" t="s">
        <v>249</v>
      </c>
      <c r="B12" s="37">
        <f t="shared" si="0"/>
        <v>6859.9369300400003</v>
      </c>
      <c r="C12" s="33"/>
      <c r="D12" s="37">
        <f>IF(ISERROR(TER_rest_gas_kWh/1000),0,TER_rest_gas_kWh/1000)*0.902</f>
        <v>20048.994305067201</v>
      </c>
      <c r="E12" s="33">
        <f>$C$32*'E Balans VL '!I8/100/3.6*1000000</f>
        <v>92.795482592541404</v>
      </c>
      <c r="F12" s="33">
        <f>$C$32*('E Balans VL '!L8+'E Balans VL '!N8)/100/3.6*1000000</f>
        <v>1640.1660368380446</v>
      </c>
      <c r="G12" s="34"/>
      <c r="H12" s="33"/>
      <c r="I12" s="33"/>
      <c r="J12" s="33">
        <f>$C$32*('E Balans VL '!D8+'E Balans VL '!E8)/100/3.6*1000000</f>
        <v>1.5018471489558167E-2</v>
      </c>
      <c r="K12" s="33"/>
      <c r="L12" s="33"/>
      <c r="M12" s="33"/>
      <c r="N12" s="33">
        <f>$C$32*'E Balans VL '!Y8/100/3.6*1000000</f>
        <v>534.27827700596026</v>
      </c>
      <c r="O12" s="33"/>
      <c r="P12" s="33"/>
      <c r="R12" s="32"/>
    </row>
    <row r="13" spans="1:18">
      <c r="A13" s="16" t="s">
        <v>477</v>
      </c>
      <c r="B13" s="242">
        <f ca="1">'lokale energieproductie'!N41+'lokale energieproductie'!N34</f>
        <v>6.7499999999999991</v>
      </c>
      <c r="C13" s="242">
        <f ca="1">'lokale energieproductie'!O41+'lokale energieproductie'!O34</f>
        <v>9.6428571428571423</v>
      </c>
      <c r="D13" s="300">
        <f ca="1">('lokale energieproductie'!P34+'lokale energieproductie'!P41)*(-1)</f>
        <v>-19.285714285714285</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33556.216079491998</v>
      </c>
      <c r="C16" s="21">
        <f t="shared" ca="1" si="1"/>
        <v>9.6428571428571423</v>
      </c>
      <c r="D16" s="21">
        <f t="shared" ca="1" si="1"/>
        <v>36518.73467052573</v>
      </c>
      <c r="E16" s="21">
        <f t="shared" si="1"/>
        <v>568.91671111416281</v>
      </c>
      <c r="F16" s="21">
        <f t="shared" ca="1" si="1"/>
        <v>7435.5516751636987</v>
      </c>
      <c r="G16" s="21">
        <f t="shared" si="1"/>
        <v>0</v>
      </c>
      <c r="H16" s="21">
        <f t="shared" si="1"/>
        <v>0</v>
      </c>
      <c r="I16" s="21">
        <f t="shared" si="1"/>
        <v>0</v>
      </c>
      <c r="J16" s="21">
        <f t="shared" si="1"/>
        <v>5.7021123467371718E-2</v>
      </c>
      <c r="K16" s="21">
        <f t="shared" si="1"/>
        <v>0</v>
      </c>
      <c r="L16" s="21">
        <f t="shared" ca="1" si="1"/>
        <v>0</v>
      </c>
      <c r="M16" s="21">
        <f t="shared" si="1"/>
        <v>0</v>
      </c>
      <c r="N16" s="21">
        <f t="shared" ca="1" si="1"/>
        <v>2032.8487652756592</v>
      </c>
      <c r="O16" s="21">
        <f>O5</f>
        <v>17.196666666666669</v>
      </c>
      <c r="P16" s="21">
        <f>P5</f>
        <v>190.66666666666669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0.19236971165336056</v>
      </c>
      <c r="C18" s="25">
        <f ca="1">'EF ele_warmte'!B22</f>
        <v>3.9524120375647183E-2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6455.1996113897367</v>
      </c>
      <c r="C20" s="23">
        <f t="shared" ref="C20:P20" ca="1" si="2">C16*C18</f>
        <v>0.38112544647945495</v>
      </c>
      <c r="D20" s="23">
        <f t="shared" ca="1" si="2"/>
        <v>7376.7844034461978</v>
      </c>
      <c r="E20" s="23">
        <f t="shared" si="2"/>
        <v>129.14409342291495</v>
      </c>
      <c r="F20" s="23">
        <f t="shared" ca="1" si="2"/>
        <v>1985.2922972687077</v>
      </c>
      <c r="G20" s="23">
        <f t="shared" si="2"/>
        <v>0</v>
      </c>
      <c r="H20" s="23">
        <f t="shared" si="2"/>
        <v>0</v>
      </c>
      <c r="I20" s="23">
        <f t="shared" si="2"/>
        <v>0</v>
      </c>
      <c r="J20" s="23">
        <f t="shared" si="2"/>
        <v>2.0185477707449585E-2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6524.2186412600004</v>
      </c>
      <c r="C26" s="39">
        <f>IF(ISERROR(B26*3.6/1000000/'E Balans VL '!Z12*100),0,B26*3.6/1000000/'E Balans VL '!Z12*100)</f>
        <v>0.17505268923214748</v>
      </c>
      <c r="D26" s="232" t="s">
        <v>621</v>
      </c>
      <c r="F26" s="6"/>
    </row>
    <row r="27" spans="1:18">
      <c r="A27" s="227" t="s">
        <v>52</v>
      </c>
      <c r="B27" s="33">
        <f>IF(ISERROR(TER_horeca_ele_kWh/1000),0,TER_horeca_ele_kWh/1000)</f>
        <v>3539.3233023899998</v>
      </c>
      <c r="C27" s="39">
        <f>IF(ISERROR(B27*3.6/1000000/'E Balans VL '!Z9*100),0,B27*3.6/1000000/'E Balans VL '!Z9*100)</f>
        <v>0.28117451354476758</v>
      </c>
      <c r="D27" s="232" t="s">
        <v>621</v>
      </c>
      <c r="F27" s="6"/>
    </row>
    <row r="28" spans="1:18">
      <c r="A28" s="167" t="s">
        <v>51</v>
      </c>
      <c r="B28" s="33">
        <f>IF(ISERROR(TER_handel_ele_kWh/1000),0,TER_handel_ele_kWh/1000)</f>
        <v>11758.7230846</v>
      </c>
      <c r="C28" s="39">
        <f>IF(ISERROR(B28*3.6/1000000/'E Balans VL '!Z13*100),0,B28*3.6/1000000/'E Balans VL '!Z13*100)</f>
        <v>0.34394125965076128</v>
      </c>
      <c r="D28" s="232" t="s">
        <v>621</v>
      </c>
      <c r="F28" s="6"/>
    </row>
    <row r="29" spans="1:18">
      <c r="A29" s="227" t="s">
        <v>50</v>
      </c>
      <c r="B29" s="33">
        <f>IF(ISERROR(TER_gezond_ele_kWh/1000),0,TER_gezond_ele_kWh/1000)</f>
        <v>1247.51170918</v>
      </c>
      <c r="C29" s="39">
        <f>IF(ISERROR(B29*3.6/1000000/'E Balans VL '!Z10*100),0,B29*3.6/1000000/'E Balans VL '!Z10*100)</f>
        <v>0.13240578609424461</v>
      </c>
      <c r="D29" s="232" t="s">
        <v>621</v>
      </c>
      <c r="F29" s="6"/>
    </row>
    <row r="30" spans="1:18">
      <c r="A30" s="227" t="s">
        <v>49</v>
      </c>
      <c r="B30" s="33">
        <f>IF(ISERROR(TER_ander_ele_kWh/1000),0,TER_ander_ele_kWh/1000)</f>
        <v>3467.2204704000001</v>
      </c>
      <c r="C30" s="39">
        <f>IF(ISERROR(B30*3.6/1000000/'E Balans VL '!Z14*100),0,B30*3.6/1000000/'E Balans VL '!Z14*100)</f>
        <v>0.16127298114348207</v>
      </c>
      <c r="D30" s="232" t="s">
        <v>621</v>
      </c>
      <c r="F30" s="6"/>
    </row>
    <row r="31" spans="1:18">
      <c r="A31" s="227" t="s">
        <v>54</v>
      </c>
      <c r="B31" s="33">
        <f>IF(ISERROR(TER_onderwijs_ele_kWh/1000),0,TER_onderwijs_ele_kWh/1000)</f>
        <v>152.53194162200001</v>
      </c>
      <c r="C31" s="39">
        <f>IF(ISERROR(B31*3.6/1000000/'E Balans VL '!Z11*100),0,B31*3.6/1000000/'E Balans VL '!Z11*100)</f>
        <v>3.8175583655115024E-2</v>
      </c>
      <c r="D31" s="232" t="s">
        <v>621</v>
      </c>
    </row>
    <row r="32" spans="1:18">
      <c r="A32" s="227" t="s">
        <v>249</v>
      </c>
      <c r="B32" s="33">
        <f>IF(ISERROR(TER_rest_ele_kWh/1000),0,TER_rest_ele_kWh/1000)</f>
        <v>6859.9369300400003</v>
      </c>
      <c r="C32" s="39">
        <f>IF(ISERROR(B32*3.6/1000000/'E Balans VL '!Z8*100),0,B32*3.6/1000000/'E Balans VL '!Z8*100)</f>
        <v>5.7664779610078286E-2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89462.145068858008</v>
      </c>
      <c r="C5" s="17">
        <f>IF(ISERROR('Eigen informatie GS &amp; warmtenet'!B59),0,'Eigen informatie GS &amp; warmtenet'!B59)</f>
        <v>0</v>
      </c>
      <c r="D5" s="30">
        <f>SUM(D6:D15)</f>
        <v>192093.13677726552</v>
      </c>
      <c r="E5" s="17">
        <f>SUM(E6:E15)</f>
        <v>3023.1841168427495</v>
      </c>
      <c r="F5" s="17">
        <f>SUM(F6:F15)</f>
        <v>20465.053122439956</v>
      </c>
      <c r="G5" s="18"/>
      <c r="H5" s="17"/>
      <c r="I5" s="17"/>
      <c r="J5" s="17">
        <f>SUM(J6:J15)</f>
        <v>820.31138425995937</v>
      </c>
      <c r="K5" s="17"/>
      <c r="L5" s="17"/>
      <c r="M5" s="17"/>
      <c r="N5" s="17">
        <f>SUM(N6:N15)</f>
        <v>28266.415557368324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1860.0210849500002</v>
      </c>
      <c r="C8" s="33"/>
      <c r="D8" s="37">
        <f>IF( ISERROR(IND_metaal_Gas_kWH/1000),0,IND_metaal_Gas_kWH/1000)*0.902</f>
        <v>63.896276238146001</v>
      </c>
      <c r="E8" s="33">
        <f>C30*'E Balans VL '!I18/100/3.6*1000000</f>
        <v>66.929185581722365</v>
      </c>
      <c r="F8" s="33">
        <f>C30*'E Balans VL '!L18/100/3.6*1000000+C30*'E Balans VL '!N18/100/3.6*1000000</f>
        <v>812.21091240126475</v>
      </c>
      <c r="G8" s="34"/>
      <c r="H8" s="33"/>
      <c r="I8" s="33"/>
      <c r="J8" s="40">
        <f>C30*'E Balans VL '!D18/100/3.6*1000000+C30*'E Balans VL '!E18/100/3.6*1000000</f>
        <v>0</v>
      </c>
      <c r="K8" s="33"/>
      <c r="L8" s="33"/>
      <c r="M8" s="33"/>
      <c r="N8" s="33">
        <f>C30*'E Balans VL '!Y18/100/3.6*1000000</f>
        <v>93.222992759431904</v>
      </c>
      <c r="O8" s="33"/>
      <c r="P8" s="33"/>
      <c r="R8" s="32"/>
    </row>
    <row r="9" spans="1:18">
      <c r="A9" s="6" t="s">
        <v>32</v>
      </c>
      <c r="B9" s="37">
        <f t="shared" si="0"/>
        <v>3576.9039095000003</v>
      </c>
      <c r="C9" s="33"/>
      <c r="D9" s="37">
        <f>IF( ISERROR(IND_andere_gas_kWh/1000),0,IND_andere_gas_kWh/1000)*0.902</f>
        <v>2822.6233393285397</v>
      </c>
      <c r="E9" s="33">
        <f>C31*'E Balans VL '!I19/100/3.6*1000000</f>
        <v>912.74494798669048</v>
      </c>
      <c r="F9" s="33">
        <f>C31*'E Balans VL '!L19/100/3.6*1000000+C31*'E Balans VL '!N19/100/3.6*1000000</f>
        <v>3079.4454155296503</v>
      </c>
      <c r="G9" s="34"/>
      <c r="H9" s="33"/>
      <c r="I9" s="33"/>
      <c r="J9" s="40">
        <f>C31*'E Balans VL '!D19/100/3.6*1000000+C31*'E Balans VL '!E19/100/3.6*1000000</f>
        <v>0</v>
      </c>
      <c r="K9" s="33"/>
      <c r="L9" s="33"/>
      <c r="M9" s="33"/>
      <c r="N9" s="33">
        <f>C31*'E Balans VL '!Y19/100/3.6*1000000</f>
        <v>282.17586254476805</v>
      </c>
      <c r="O9" s="33"/>
      <c r="P9" s="33"/>
      <c r="R9" s="32"/>
    </row>
    <row r="10" spans="1:18">
      <c r="A10" s="6" t="s">
        <v>40</v>
      </c>
      <c r="B10" s="37">
        <f t="shared" si="0"/>
        <v>66027.677065700002</v>
      </c>
      <c r="C10" s="33"/>
      <c r="D10" s="37">
        <f>IF( ISERROR(IND_voed_gas_kWh/1000),0,IND_voed_gas_kWh/1000)*0.902</f>
        <v>4636.0442863112403</v>
      </c>
      <c r="E10" s="33">
        <f>C32*'E Balans VL '!I20/100/3.6*1000000</f>
        <v>1678.5142144404206</v>
      </c>
      <c r="F10" s="33">
        <f>C32*'E Balans VL '!L20/100/3.6*1000000+C32*'E Balans VL '!N20/100/3.6*1000000</f>
        <v>14941.072159057385</v>
      </c>
      <c r="G10" s="34"/>
      <c r="H10" s="33"/>
      <c r="I10" s="33"/>
      <c r="J10" s="40">
        <f>C32*'E Balans VL '!D20/100/3.6*1000000+C32*'E Balans VL '!E20/100/3.6*1000000</f>
        <v>0</v>
      </c>
      <c r="K10" s="33"/>
      <c r="L10" s="33"/>
      <c r="M10" s="33"/>
      <c r="N10" s="33">
        <f>C32*'E Balans VL '!Y20/100/3.6*1000000</f>
        <v>24762.168650221804</v>
      </c>
      <c r="O10" s="33"/>
      <c r="P10" s="33"/>
      <c r="R10" s="32"/>
    </row>
    <row r="11" spans="1:18">
      <c r="A11" s="6" t="s">
        <v>39</v>
      </c>
      <c r="B11" s="37">
        <f t="shared" si="0"/>
        <v>36.662324288000001</v>
      </c>
      <c r="C11" s="33"/>
      <c r="D11" s="37">
        <f>IF( ISERROR(IND_textiel_gas_kWh/1000),0,IND_textiel_gas_kWh/1000)*0.902</f>
        <v>0</v>
      </c>
      <c r="E11" s="33">
        <f>C33*'E Balans VL '!I21/100/3.6*1000000</f>
        <v>0.10064793950730196</v>
      </c>
      <c r="F11" s="33">
        <f>C33*'E Balans VL '!L21/100/3.6*1000000+C33*'E Balans VL '!N21/100/3.6*1000000</f>
        <v>1.9436836421566523</v>
      </c>
      <c r="G11" s="34"/>
      <c r="H11" s="33"/>
      <c r="I11" s="33"/>
      <c r="J11" s="40">
        <f>C33*'E Balans VL '!D21/100/3.6*1000000+C33*'E Balans VL '!E21/100/3.6*1000000</f>
        <v>0</v>
      </c>
      <c r="K11" s="33"/>
      <c r="L11" s="33"/>
      <c r="M11" s="33"/>
      <c r="N11" s="33">
        <f>C33*'E Balans VL '!Y21/100/3.6*1000000</f>
        <v>7.3685204841905383E-2</v>
      </c>
      <c r="O11" s="33"/>
      <c r="P11" s="33"/>
      <c r="R11" s="32"/>
    </row>
    <row r="12" spans="1:18">
      <c r="A12" s="6" t="s">
        <v>36</v>
      </c>
      <c r="B12" s="37">
        <f t="shared" si="0"/>
        <v>943.27592660999994</v>
      </c>
      <c r="C12" s="33"/>
      <c r="D12" s="37">
        <f>IF( ISERROR(IND_min_gas_kWh/1000),0,IND_min_gas_kWh/1000)*0.902</f>
        <v>1519.9150392051999</v>
      </c>
      <c r="E12" s="33">
        <f>C34*'E Balans VL '!I22/100/3.6*1000000</f>
        <v>20.042249381380383</v>
      </c>
      <c r="F12" s="33">
        <f>C34*'E Balans VL '!L22/100/3.6*1000000+C34*'E Balans VL '!N22/100/3.6*1000000</f>
        <v>153.90350611688976</v>
      </c>
      <c r="G12" s="34"/>
      <c r="H12" s="33"/>
      <c r="I12" s="33"/>
      <c r="J12" s="40">
        <f>C34*'E Balans VL '!D22/100/3.6*1000000+C34*'E Balans VL '!E22/100/3.6*1000000</f>
        <v>1.0990044814930318</v>
      </c>
      <c r="K12" s="33"/>
      <c r="L12" s="33"/>
      <c r="M12" s="33"/>
      <c r="N12" s="33">
        <f>C34*'E Balans VL '!Y22/100/3.6*1000000</f>
        <v>0</v>
      </c>
      <c r="O12" s="33"/>
      <c r="P12" s="33"/>
      <c r="R12" s="32"/>
    </row>
    <row r="13" spans="1:18">
      <c r="A13" s="6" t="s">
        <v>38</v>
      </c>
      <c r="B13" s="37">
        <f t="shared" si="0"/>
        <v>11578.4976116</v>
      </c>
      <c r="C13" s="33"/>
      <c r="D13" s="37">
        <f>IF( ISERROR(IND_papier_gas_kWh/1000),0,IND_papier_gas_kWh/1000)*0.902</f>
        <v>8263.6564828465998</v>
      </c>
      <c r="E13" s="33">
        <f>C35*'E Balans VL '!I23/100/3.6*1000000</f>
        <v>49.656807865290155</v>
      </c>
      <c r="F13" s="33">
        <f>C35*'E Balans VL '!L23/100/3.6*1000000+C35*'E Balans VL '!N23/100/3.6*1000000</f>
        <v>291.00358234831992</v>
      </c>
      <c r="G13" s="34"/>
      <c r="H13" s="33"/>
      <c r="I13" s="33"/>
      <c r="J13" s="40">
        <f>C35*'E Balans VL '!D23/100/3.6*1000000+C35*'E Balans VL '!E23/100/3.6*1000000</f>
        <v>775.11690964957768</v>
      </c>
      <c r="K13" s="33"/>
      <c r="L13" s="33"/>
      <c r="M13" s="33"/>
      <c r="N13" s="33">
        <f>C35*'E Balans VL '!Y23/100/3.6*1000000</f>
        <v>2823.5746989388554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5439.1071462099999</v>
      </c>
      <c r="C15" s="33"/>
      <c r="D15" s="37">
        <f>IF( ISERROR(IND_rest_gas_kWh/1000),0,IND_rest_gas_kWh/1000)*0.902</f>
        <v>174787.0013533358</v>
      </c>
      <c r="E15" s="33">
        <f>C37*'E Balans VL '!I15/100/3.6*1000000</f>
        <v>295.19606364773779</v>
      </c>
      <c r="F15" s="33">
        <f>C37*'E Balans VL '!L15/100/3.6*1000000+C37*'E Balans VL '!N15/100/3.6*1000000</f>
        <v>1185.4738633442887</v>
      </c>
      <c r="G15" s="34"/>
      <c r="H15" s="33"/>
      <c r="I15" s="33"/>
      <c r="J15" s="40">
        <f>C37*'E Balans VL '!D15/100/3.6*1000000+C37*'E Balans VL '!E15/100/3.6*1000000</f>
        <v>44.095470128888635</v>
      </c>
      <c r="K15" s="33"/>
      <c r="L15" s="33"/>
      <c r="M15" s="33"/>
      <c r="N15" s="33">
        <f>C37*'E Balans VL '!Y15/100/3.6*1000000</f>
        <v>305.19966769862464</v>
      </c>
      <c r="O15" s="33"/>
      <c r="P15" s="33"/>
      <c r="R15" s="32"/>
    </row>
    <row r="16" spans="1:18">
      <c r="A16" s="16" t="s">
        <v>477</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89462.145068858008</v>
      </c>
      <c r="C18" s="21">
        <f>C5+C16</f>
        <v>0</v>
      </c>
      <c r="D18" s="21">
        <f>MAX((D5+D16),0)</f>
        <v>192093.13677726552</v>
      </c>
      <c r="E18" s="21">
        <f>MAX((E5+E16),0)</f>
        <v>3023.1841168427495</v>
      </c>
      <c r="F18" s="21">
        <f>MAX((F5+F16),0)</f>
        <v>20465.053122439956</v>
      </c>
      <c r="G18" s="21"/>
      <c r="H18" s="21"/>
      <c r="I18" s="21"/>
      <c r="J18" s="21">
        <f>MAX((J5+J16),0)</f>
        <v>820.31138425995937</v>
      </c>
      <c r="K18" s="21"/>
      <c r="L18" s="21">
        <f>MAX((L5+L16),0)</f>
        <v>0</v>
      </c>
      <c r="M18" s="21"/>
      <c r="N18" s="21">
        <f>MAX((N5+N16),0)</f>
        <v>28266.415557368324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0.19236971165336056</v>
      </c>
      <c r="C20" s="25">
        <f ca="1">'EF ele_warmte'!B22</f>
        <v>3.9524120375647183E-2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17209.807050787327</v>
      </c>
      <c r="C22" s="23">
        <f ca="1">C18*C20</f>
        <v>0</v>
      </c>
      <c r="D22" s="23">
        <f>D18*D20</f>
        <v>38802.813629007636</v>
      </c>
      <c r="E22" s="23">
        <f>E18*E20</f>
        <v>686.26279452330414</v>
      </c>
      <c r="F22" s="23">
        <f>F18*F20</f>
        <v>5464.1691836914688</v>
      </c>
      <c r="G22" s="23"/>
      <c r="H22" s="23"/>
      <c r="I22" s="23"/>
      <c r="J22" s="23">
        <f>J18*J20</f>
        <v>290.3902300280256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1860.0210849500002</v>
      </c>
      <c r="C30" s="39">
        <f>IF(ISERROR(B30*3.6/1000000/'E Balans VL '!Z18*100),0,B30*3.6/1000000/'E Balans VL '!Z18*100)</f>
        <v>0.39409859009984477</v>
      </c>
      <c r="D30" s="232" t="s">
        <v>621</v>
      </c>
    </row>
    <row r="31" spans="1:18">
      <c r="A31" s="6" t="s">
        <v>32</v>
      </c>
      <c r="B31" s="37">
        <f>IF( ISERROR(IND_ander_ele_kWh/1000),0,IND_ander_ele_kWh/1000)</f>
        <v>3576.9039095000003</v>
      </c>
      <c r="C31" s="39">
        <f>IF(ISERROR(B31*3.6/1000000/'E Balans VL '!Z19*100),0,B31*3.6/1000000/'E Balans VL '!Z19*100)</f>
        <v>0.15056000750185783</v>
      </c>
      <c r="D31" s="232" t="s">
        <v>621</v>
      </c>
    </row>
    <row r="32" spans="1:18">
      <c r="A32" s="167" t="s">
        <v>40</v>
      </c>
      <c r="B32" s="37">
        <f>IF( ISERROR(IND_voed_ele_kWh/1000),0,IND_voed_ele_kWh/1000)</f>
        <v>66027.677065700002</v>
      </c>
      <c r="C32" s="39">
        <f>IF(ISERROR(B32*3.6/1000000/'E Balans VL '!Z20*100),0,B32*3.6/1000000/'E Balans VL '!Z20*100)</f>
        <v>11.030670505611448</v>
      </c>
      <c r="D32" s="232" t="s">
        <v>621</v>
      </c>
    </row>
    <row r="33" spans="1:5">
      <c r="A33" s="167" t="s">
        <v>39</v>
      </c>
      <c r="B33" s="37">
        <f>IF( ISERROR(IND_textiel_ele_kWh/1000),0,IND_textiel_ele_kWh/1000)</f>
        <v>36.662324288000001</v>
      </c>
      <c r="C33" s="39">
        <f>IF(ISERROR(B33*3.6/1000000/'E Balans VL '!Z21*100),0,B33*3.6/1000000/'E Balans VL '!Z21*100)</f>
        <v>2.1404562045578908E-3</v>
      </c>
      <c r="D33" s="232" t="s">
        <v>621</v>
      </c>
    </row>
    <row r="34" spans="1:5">
      <c r="A34" s="167" t="s">
        <v>36</v>
      </c>
      <c r="B34" s="37">
        <f>IF( ISERROR(IND_min_ele_kWh/1000),0,IND_min_ele_kWh/1000)</f>
        <v>943.27592660999994</v>
      </c>
      <c r="C34" s="39">
        <f>IF(ISERROR(B34*3.6/1000000/'E Balans VL '!Z22*100),0,B34*3.6/1000000/'E Balans VL '!Z22*100)</f>
        <v>0.11956531076986524</v>
      </c>
      <c r="D34" s="232" t="s">
        <v>621</v>
      </c>
    </row>
    <row r="35" spans="1:5">
      <c r="A35" s="167" t="s">
        <v>38</v>
      </c>
      <c r="B35" s="37">
        <f>IF( ISERROR(IND_papier_ele_kWh/1000),0,IND_papier_ele_kWh/1000)</f>
        <v>11578.4976116</v>
      </c>
      <c r="C35" s="39">
        <f>IF(ISERROR(B35*3.6/1000000/'E Balans VL '!Z22*100),0,B35*3.6/1000000/'E Balans VL '!Z22*100)</f>
        <v>1.4676370149234972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5439.1071462099999</v>
      </c>
      <c r="C37" s="39">
        <f>IF(ISERROR(B37*3.6/1000000/'E Balans VL '!Z15*100),0,B37*3.6/1000000/'E Balans VL '!Z15*100)</f>
        <v>4.3912018110171654E-2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8519.8051134500001</v>
      </c>
      <c r="C5" s="17">
        <f>'Eigen informatie GS &amp; warmtenet'!B60</f>
        <v>0</v>
      </c>
      <c r="D5" s="30">
        <f>IF(ISERROR(SUM(LB_lb_gas_kWh,LB_rest_gas_kWh)/1000),0,SUM(LB_lb_gas_kWh,LB_rest_gas_kWh)/1000)*0.902</f>
        <v>7744.0787079287074</v>
      </c>
      <c r="E5" s="17">
        <f>B17*'E Balans VL '!I25/3.6*1000000/100</f>
        <v>168.78466639240446</v>
      </c>
      <c r="F5" s="17">
        <f>B17*('E Balans VL '!L25/3.6*1000000+'E Balans VL '!N25/3.6*1000000)/100</f>
        <v>31069.326308244988</v>
      </c>
      <c r="G5" s="18"/>
      <c r="H5" s="17"/>
      <c r="I5" s="17"/>
      <c r="J5" s="17">
        <f>('E Balans VL '!D25+'E Balans VL '!E25)/3.6*1000000*landbouw!B17/100</f>
        <v>2022.944989117108</v>
      </c>
      <c r="K5" s="17"/>
      <c r="L5" s="17">
        <f>L6*(-1)</f>
        <v>0</v>
      </c>
      <c r="M5" s="17"/>
      <c r="N5" s="17">
        <f>N6*(-1)</f>
        <v>36510.428571428572</v>
      </c>
      <c r="O5" s="17"/>
      <c r="P5" s="17"/>
      <c r="R5" s="32"/>
    </row>
    <row r="6" spans="1:18">
      <c r="A6" s="16" t="s">
        <v>477</v>
      </c>
      <c r="B6" s="17" t="s">
        <v>204</v>
      </c>
      <c r="C6" s="17">
        <f>'lokale energieproductie'!O42+'lokale energieproductie'!O35</f>
        <v>21887.357142857141</v>
      </c>
      <c r="D6" s="300">
        <f>('lokale energieproductie'!P35+'lokale energieproductie'!P42)*(-1)</f>
        <v>-7264.2857142857138</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-36510.428571428572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8519.8051134500001</v>
      </c>
      <c r="C8" s="21">
        <f>C5+C6</f>
        <v>21887.357142857141</v>
      </c>
      <c r="D8" s="21">
        <f>MAX((D5+D6),0)</f>
        <v>479.79299364299368</v>
      </c>
      <c r="E8" s="21">
        <f>MAX((E5+E6),0)</f>
        <v>168.78466639240446</v>
      </c>
      <c r="F8" s="21">
        <f>MAX((F5+F6),0)</f>
        <v>31069.326308244988</v>
      </c>
      <c r="G8" s="21"/>
      <c r="H8" s="21"/>
      <c r="I8" s="21"/>
      <c r="J8" s="21">
        <f>MAX((J5+J6),0)</f>
        <v>2022.944989117108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0.19236971165336056</v>
      </c>
      <c r="C10" s="31">
        <f ca="1">'EF ele_warmte'!B22</f>
        <v>3.9524120375647183E-2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1638.9524530172034</v>
      </c>
      <c r="C12" s="23">
        <f ca="1">C8*C10</f>
        <v>865.07853841906683</v>
      </c>
      <c r="D12" s="23">
        <f>D8*D10</f>
        <v>96.918184715884735</v>
      </c>
      <c r="E12" s="23">
        <f>E8*E10</f>
        <v>38.314119271075811</v>
      </c>
      <c r="F12" s="23">
        <f>F8*F10</f>
        <v>8295.5101243014124</v>
      </c>
      <c r="G12" s="23"/>
      <c r="H12" s="23"/>
      <c r="I12" s="23"/>
      <c r="J12" s="23">
        <f>J8*J10</f>
        <v>716.12252614745614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1.2013489549201106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1462.5218334722927</v>
      </c>
      <c r="C26" s="242">
        <f>B26*'GWP N2O_CH4'!B5</f>
        <v>30712.958502918147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911.28461958930234</v>
      </c>
      <c r="C27" s="242">
        <f>B27*'GWP N2O_CH4'!B5</f>
        <v>19136.977011375348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23.010300805252168</v>
      </c>
      <c r="C28" s="242">
        <f>B28*'GWP N2O_CH4'!B4</f>
        <v>7133.1932496281725</v>
      </c>
      <c r="D28" s="50"/>
    </row>
    <row r="29" spans="1:4">
      <c r="A29" s="41" t="s">
        <v>266</v>
      </c>
      <c r="B29" s="242">
        <f>B34*'ha_N2O bodem landbouw'!B4</f>
        <v>48.185208759917607</v>
      </c>
      <c r="C29" s="242">
        <f>B29*'GWP N2O_CH4'!B4</f>
        <v>14937.414715574458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1.0844290431394905E-2</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5.2811492944138377E-4</v>
      </c>
      <c r="C5" s="427" t="s">
        <v>204</v>
      </c>
      <c r="D5" s="412">
        <f>SUM(D6:D11)</f>
        <v>7.5742744368681924E-4</v>
      </c>
      <c r="E5" s="412">
        <f>SUM(E6:E11)</f>
        <v>3.9301245998427433E-3</v>
      </c>
      <c r="F5" s="425" t="s">
        <v>204</v>
      </c>
      <c r="G5" s="412">
        <f>SUM(G6:G11)</f>
        <v>1.7462964743954696</v>
      </c>
      <c r="H5" s="412">
        <f>SUM(H6:H11)</f>
        <v>0.27051221438783501</v>
      </c>
      <c r="I5" s="427" t="s">
        <v>204</v>
      </c>
      <c r="J5" s="427" t="s">
        <v>204</v>
      </c>
      <c r="K5" s="427" t="s">
        <v>204</v>
      </c>
      <c r="L5" s="427" t="s">
        <v>204</v>
      </c>
      <c r="M5" s="412">
        <f>SUM(M6:M11)</f>
        <v>6.3045484194514417E-2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1.2542980577419165E-4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1.9764343804542592E-4</v>
      </c>
      <c r="E6" s="818">
        <f>vkm_GW_PW*SUMIFS(TableVerdeelsleutelVkm[LPG],TableVerdeelsleutelVkm[Voertuigtype],"Lichte voertuigen")*SUMIFS(TableECFTransport[EnergieConsumptieFactor (PJ per km)],TableECFTransport[Index],CONCATENATE($A6,"_LPG_LPG"))</f>
        <v>9.0219576115829119E-4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0.24359461135834901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6.8783935058988208E-2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9.7249736042652364E-3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5.1149927762091487E-6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0.17630799430247679</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3.5818470492085286E-6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5.5466713849165027E-3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4.215687416063157E-5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9.4102801455630975E-5</v>
      </c>
      <c r="E8" s="415">
        <f>vkm_NGW_PW*SUMIFS(TableVerdeelsleutelVkm[LPG],TableVerdeelsleutelVkm[Voertuigtype],"Lichte voertuigen")*SUMIFS(TableECFTransport[EnergieConsumptieFactor (PJ per km)],TableECFTransport[Index],CONCATENATE($A8,"_LPG_LPG"))</f>
        <v>4.0980749522651918E-4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0.10316709960941191</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3.1775208141805643E-2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4.1979595393235722E-3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2.373675248386023E-7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1.0519845432375094E-2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2.0063179539185218E-7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3.309552508034678E-4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3.3776409230656961E-4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4.6568120418576228E-4</v>
      </c>
      <c r="E10" s="415">
        <f>vkm_SW_PW*SUMIFS(TableVerdeelsleutelVkm[LPG],TableVerdeelsleutelVkm[Voertuigtype],"Lichte voertuigen")*SUMIFS(TableECFTransport[EnergieConsumptieFactor (PJ per km)],TableECFTransport[Index],CONCATENATE($A10,"_LPG_LPG"))</f>
        <v>2.6181213434579333E-3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0.64083546688153403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0.16993673893017583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2.5253749474840839E-2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1.7411796898943179E-5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0.5718714568113229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1.2549778020727035E-5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1.7991174940364802E-2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146.69859151149549</v>
      </c>
      <c r="C14" s="21"/>
      <c r="D14" s="21">
        <f t="shared" ref="D14:M14" si="0">((D5)*10^9/3600)+D12</f>
        <v>210.39651213522757</v>
      </c>
      <c r="E14" s="21">
        <f t="shared" si="0"/>
        <v>1091.7012777340954</v>
      </c>
      <c r="F14" s="21"/>
      <c r="G14" s="21">
        <f t="shared" si="0"/>
        <v>485082.3539987416</v>
      </c>
      <c r="H14" s="21">
        <f t="shared" si="0"/>
        <v>75142.281774398623</v>
      </c>
      <c r="I14" s="21"/>
      <c r="J14" s="21"/>
      <c r="K14" s="21"/>
      <c r="L14" s="21"/>
      <c r="M14" s="21">
        <f t="shared" si="0"/>
        <v>17512.634498476225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0.19236971165336056</v>
      </c>
      <c r="C16" s="56">
        <f ca="1">'EF ele_warmte'!B22</f>
        <v>3.9524120375647183E-2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28.220365749020516</v>
      </c>
      <c r="C18" s="23"/>
      <c r="D18" s="23">
        <f t="shared" ref="D18:M18" si="1">D14*D16</f>
        <v>42.500095451315971</v>
      </c>
      <c r="E18" s="23">
        <f t="shared" si="1"/>
        <v>247.81619004563964</v>
      </c>
      <c r="F18" s="23"/>
      <c r="G18" s="23">
        <f t="shared" si="1"/>
        <v>129516.98851766401</v>
      </c>
      <c r="H18" s="23">
        <f t="shared" si="1"/>
        <v>18710.428161825257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2.3980488807781985E-5</v>
      </c>
      <c r="C50" s="311">
        <f t="shared" ref="C50:P50" si="2">SUM(C51:C52)</f>
        <v>0</v>
      </c>
      <c r="D50" s="311">
        <f t="shared" si="2"/>
        <v>0</v>
      </c>
      <c r="E50" s="311">
        <f t="shared" si="2"/>
        <v>0</v>
      </c>
      <c r="F50" s="311">
        <f t="shared" si="2"/>
        <v>0</v>
      </c>
      <c r="G50" s="311">
        <f t="shared" si="2"/>
        <v>4.2757719243033277E-3</v>
      </c>
      <c r="H50" s="311">
        <f t="shared" si="2"/>
        <v>0</v>
      </c>
      <c r="I50" s="311">
        <f t="shared" si="2"/>
        <v>0</v>
      </c>
      <c r="J50" s="311">
        <f t="shared" si="2"/>
        <v>0</v>
      </c>
      <c r="K50" s="311">
        <f t="shared" si="2"/>
        <v>0</v>
      </c>
      <c r="L50" s="311">
        <f t="shared" si="2"/>
        <v>0</v>
      </c>
      <c r="M50" s="311">
        <f t="shared" si="2"/>
        <v>1.3347303242561119E-4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2.3980488807781985E-5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4.2757719243033277E-3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1.3347303242561119E-4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6.6612468910505518</v>
      </c>
      <c r="C54" s="21">
        <f t="shared" ref="C54:P54" si="3">(C50)*10^9/3600</f>
        <v>0</v>
      </c>
      <c r="D54" s="21">
        <f t="shared" si="3"/>
        <v>0</v>
      </c>
      <c r="E54" s="21">
        <f t="shared" si="3"/>
        <v>0</v>
      </c>
      <c r="F54" s="21">
        <f t="shared" si="3"/>
        <v>0</v>
      </c>
      <c r="G54" s="21">
        <f t="shared" si="3"/>
        <v>1187.714423417591</v>
      </c>
      <c r="H54" s="21">
        <f t="shared" si="3"/>
        <v>0</v>
      </c>
      <c r="I54" s="21">
        <f t="shared" si="3"/>
        <v>0</v>
      </c>
      <c r="J54" s="21">
        <f t="shared" si="3"/>
        <v>0</v>
      </c>
      <c r="K54" s="21">
        <f t="shared" si="3"/>
        <v>0</v>
      </c>
      <c r="L54" s="21">
        <f t="shared" si="3"/>
        <v>0</v>
      </c>
      <c r="M54" s="21">
        <f t="shared" si="3"/>
        <v>37.075842340447551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0.19236971165336056</v>
      </c>
      <c r="C56" s="56">
        <f ca="1">'EF ele_warmte'!B22</f>
        <v>3.9524120375647183E-2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1.2814221436832391</v>
      </c>
      <c r="C58" s="23">
        <f t="shared" ref="C58:P58" ca="1" si="4">C54*C56</f>
        <v>0</v>
      </c>
      <c r="D58" s="23">
        <f t="shared" si="4"/>
        <v>0</v>
      </c>
      <c r="E58" s="23">
        <f t="shared" si="4"/>
        <v>0</v>
      </c>
      <c r="F58" s="23">
        <f t="shared" si="4"/>
        <v>0</v>
      </c>
      <c r="G58" s="23">
        <f t="shared" si="4"/>
        <v>317.11975105249678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12510.6421121106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N32</f>
        <v>15327.9</v>
      </c>
      <c r="C8" s="534">
        <f>B51</f>
        <v>2999.1176470588234</v>
      </c>
      <c r="D8" s="961"/>
      <c r="E8" s="961">
        <f>E51</f>
        <v>0</v>
      </c>
      <c r="F8" s="962"/>
      <c r="G8" s="535"/>
      <c r="H8" s="961">
        <f>I51</f>
        <v>0</v>
      </c>
      <c r="I8" s="961">
        <f>G51+F51</f>
        <v>0</v>
      </c>
      <c r="J8" s="961">
        <f>H51+D51+C51</f>
        <v>15033.705882352941</v>
      </c>
      <c r="K8" s="961"/>
      <c r="L8" s="961"/>
      <c r="M8" s="961"/>
      <c r="N8" s="536"/>
      <c r="O8" s="537">
        <f>C8*$C$12+D8*$D$12+E8*$E$12+F8*$F$12+G8*$G$12+H8*$H$12+I8*$I$12+J8*$J$12</f>
        <v>605.8217647058824</v>
      </c>
      <c r="P8" s="1205"/>
      <c r="Q8" s="1206"/>
      <c r="S8" s="925"/>
      <c r="T8" s="1180"/>
      <c r="U8" s="1180"/>
    </row>
    <row r="9" spans="1:21" s="523" customFormat="1" ht="17.45" customHeight="1" thickBot="1">
      <c r="A9" s="538" t="s">
        <v>237</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27838.542112110597</v>
      </c>
      <c r="C10" s="547">
        <f t="shared" ref="C10:L10" si="0">SUM(C8:C9)</f>
        <v>2999.1176470588234</v>
      </c>
      <c r="D10" s="547">
        <f t="shared" si="0"/>
        <v>0</v>
      </c>
      <c r="E10" s="547">
        <f t="shared" si="0"/>
        <v>0</v>
      </c>
      <c r="F10" s="547">
        <f t="shared" si="0"/>
        <v>0</v>
      </c>
      <c r="G10" s="547">
        <f t="shared" si="0"/>
        <v>0</v>
      </c>
      <c r="H10" s="547">
        <f t="shared" si="0"/>
        <v>0</v>
      </c>
      <c r="I10" s="547">
        <f t="shared" si="0"/>
        <v>0</v>
      </c>
      <c r="J10" s="547">
        <f t="shared" si="0"/>
        <v>15033.705882352941</v>
      </c>
      <c r="K10" s="547">
        <f t="shared" si="0"/>
        <v>0</v>
      </c>
      <c r="L10" s="547">
        <f t="shared" si="0"/>
        <v>0</v>
      </c>
      <c r="M10" s="964"/>
      <c r="N10" s="964"/>
      <c r="O10" s="548">
        <f>SUM(O4:O9)</f>
        <v>605.8217647058824</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O32</f>
        <v>21897</v>
      </c>
      <c r="C17" s="559">
        <f>B52</f>
        <v>4284.453781512605</v>
      </c>
      <c r="D17" s="560"/>
      <c r="E17" s="560">
        <f>E52</f>
        <v>0</v>
      </c>
      <c r="F17" s="967"/>
      <c r="G17" s="561"/>
      <c r="H17" s="559">
        <f>I52</f>
        <v>0</v>
      </c>
      <c r="I17" s="560">
        <f>G52+F52</f>
        <v>0</v>
      </c>
      <c r="J17" s="560">
        <f>H52+D52+C52</f>
        <v>21476.722689075632</v>
      </c>
      <c r="K17" s="560"/>
      <c r="L17" s="560"/>
      <c r="M17" s="560"/>
      <c r="N17" s="968"/>
      <c r="O17" s="562">
        <f>C17*$C$22+E17*$E$22+H17*$H$22+I17*$I$22+J17*$J$22+D17*$D$22+F17*$F$22+G17*$G$22+K17*$K$22+L17*$L$22</f>
        <v>865.4596638655463</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21897</v>
      </c>
      <c r="C20" s="546">
        <f>SUM(C17:C19)</f>
        <v>4284.453781512605</v>
      </c>
      <c r="D20" s="546">
        <f t="shared" ref="D20:L20" si="1">SUM(D17:D19)</f>
        <v>0</v>
      </c>
      <c r="E20" s="546">
        <f t="shared" si="1"/>
        <v>0</v>
      </c>
      <c r="F20" s="546">
        <f t="shared" si="1"/>
        <v>0</v>
      </c>
      <c r="G20" s="546">
        <f t="shared" si="1"/>
        <v>0</v>
      </c>
      <c r="H20" s="546">
        <f t="shared" si="1"/>
        <v>0</v>
      </c>
      <c r="I20" s="546">
        <f t="shared" si="1"/>
        <v>0</v>
      </c>
      <c r="J20" s="546">
        <f t="shared" si="1"/>
        <v>21476.722689075632</v>
      </c>
      <c r="K20" s="546">
        <f t="shared" si="1"/>
        <v>0</v>
      </c>
      <c r="L20" s="546">
        <f t="shared" si="1"/>
        <v>0</v>
      </c>
      <c r="M20" s="546"/>
      <c r="N20" s="546"/>
      <c r="O20" s="565">
        <f>SUM(O17:O19)</f>
        <v>865.4596638655463</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44001</v>
      </c>
      <c r="C28" s="724">
        <v>9880</v>
      </c>
      <c r="D28" s="617"/>
      <c r="E28" s="616"/>
      <c r="F28" s="616"/>
      <c r="G28" s="616" t="s">
        <v>887</v>
      </c>
      <c r="H28" s="616" t="s">
        <v>888</v>
      </c>
      <c r="I28" s="616"/>
      <c r="J28" s="723"/>
      <c r="K28" s="723"/>
      <c r="L28" s="616" t="s">
        <v>889</v>
      </c>
      <c r="M28" s="616">
        <v>2830</v>
      </c>
      <c r="N28" s="616">
        <v>12735</v>
      </c>
      <c r="O28" s="616">
        <v>18192.857142857145</v>
      </c>
      <c r="P28" s="616">
        <v>0</v>
      </c>
      <c r="Q28" s="616">
        <v>36385.71428571429</v>
      </c>
      <c r="R28" s="616">
        <v>0</v>
      </c>
      <c r="S28" s="616">
        <v>0</v>
      </c>
      <c r="T28" s="616">
        <v>0</v>
      </c>
      <c r="U28" s="616">
        <v>0</v>
      </c>
      <c r="V28" s="616">
        <v>0</v>
      </c>
      <c r="W28" s="616">
        <v>0</v>
      </c>
      <c r="X28" s="616"/>
      <c r="Y28" s="616">
        <v>11</v>
      </c>
      <c r="Z28" s="616" t="s">
        <v>105</v>
      </c>
      <c r="AA28" s="618" t="s">
        <v>105</v>
      </c>
    </row>
    <row r="29" spans="1:27" s="570" customFormat="1" ht="25.5" hidden="1">
      <c r="A29" s="569"/>
      <c r="B29" s="724">
        <v>44029</v>
      </c>
      <c r="C29" s="724">
        <v>9910</v>
      </c>
      <c r="D29" s="617"/>
      <c r="E29" s="616"/>
      <c r="F29" s="616"/>
      <c r="G29" s="616" t="s">
        <v>887</v>
      </c>
      <c r="H29" s="616" t="s">
        <v>888</v>
      </c>
      <c r="I29" s="616"/>
      <c r="J29" s="723"/>
      <c r="K29" s="723"/>
      <c r="L29" s="616" t="s">
        <v>889</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70" customFormat="1" ht="25.5" hidden="1">
      <c r="A30" s="569"/>
      <c r="B30" s="724">
        <v>44029</v>
      </c>
      <c r="C30" s="724">
        <v>9910</v>
      </c>
      <c r="D30" s="617"/>
      <c r="E30" s="616"/>
      <c r="F30" s="616"/>
      <c r="G30" s="616" t="s">
        <v>887</v>
      </c>
      <c r="H30" s="616" t="s">
        <v>888</v>
      </c>
      <c r="I30" s="616"/>
      <c r="J30" s="723"/>
      <c r="K30" s="723"/>
      <c r="L30" s="616" t="s">
        <v>889</v>
      </c>
      <c r="M30" s="616">
        <v>565</v>
      </c>
      <c r="N30" s="616">
        <v>2542.4999999999995</v>
      </c>
      <c r="O30" s="616">
        <v>3632.1428571428564</v>
      </c>
      <c r="P30" s="616">
        <v>7264.2857142857138</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44001</v>
      </c>
      <c r="C31" s="724">
        <v>9880</v>
      </c>
      <c r="D31" s="617"/>
      <c r="E31" s="616"/>
      <c r="F31" s="616"/>
      <c r="G31" s="616" t="s">
        <v>887</v>
      </c>
      <c r="H31" s="616" t="s">
        <v>888</v>
      </c>
      <c r="I31" s="616"/>
      <c r="J31" s="723"/>
      <c r="K31" s="723"/>
      <c r="L31" s="616" t="s">
        <v>889</v>
      </c>
      <c r="M31" s="616">
        <v>9</v>
      </c>
      <c r="N31" s="616">
        <v>6.7499999999999991</v>
      </c>
      <c r="O31" s="616">
        <v>9.6428571428571423</v>
      </c>
      <c r="P31" s="616">
        <v>19.285714285714285</v>
      </c>
      <c r="Q31" s="616">
        <v>0</v>
      </c>
      <c r="R31" s="616">
        <v>0</v>
      </c>
      <c r="S31" s="616">
        <v>0</v>
      </c>
      <c r="T31" s="616">
        <v>0</v>
      </c>
      <c r="U31" s="616">
        <v>0</v>
      </c>
      <c r="V31" s="616">
        <v>0</v>
      </c>
      <c r="W31" s="616">
        <v>0</v>
      </c>
      <c r="X31" s="616"/>
      <c r="Y31" s="616">
        <v>1100</v>
      </c>
      <c r="Z31" s="616" t="s">
        <v>51</v>
      </c>
      <c r="AA31" s="618" t="s">
        <v>149</v>
      </c>
    </row>
    <row r="32" spans="1:27" s="554" customFormat="1" hidden="1">
      <c r="A32" s="572" t="s">
        <v>269</v>
      </c>
      <c r="B32" s="573"/>
      <c r="C32" s="573"/>
      <c r="D32" s="573"/>
      <c r="E32" s="573"/>
      <c r="F32" s="573"/>
      <c r="G32" s="573"/>
      <c r="H32" s="573"/>
      <c r="I32" s="573"/>
      <c r="J32" s="573"/>
      <c r="K32" s="573"/>
      <c r="L32" s="574"/>
      <c r="M32" s="574">
        <f>SUM(M28:M31)</f>
        <v>3413.7</v>
      </c>
      <c r="N32" s="574">
        <f>SUM(N28:N31)</f>
        <v>15327.9</v>
      </c>
      <c r="O32" s="574">
        <f>SUM(O28:O31)</f>
        <v>21897</v>
      </c>
      <c r="P32" s="574">
        <f>SUM(P28:P31)</f>
        <v>7283.5714285714284</v>
      </c>
      <c r="Q32" s="574">
        <f>SUM(Q28:Q31)</f>
        <v>36510.428571428572</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276</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277</v>
      </c>
      <c r="B34" s="573"/>
      <c r="C34" s="573"/>
      <c r="D34" s="573"/>
      <c r="E34" s="573"/>
      <c r="F34" s="573"/>
      <c r="G34" s="573"/>
      <c r="H34" s="573"/>
      <c r="I34" s="573"/>
      <c r="J34" s="573"/>
      <c r="K34" s="573"/>
      <c r="L34" s="574"/>
      <c r="M34" s="574">
        <f ca="1">SUMIF($AA$28:AD31,"tertiair",M28:M31)</f>
        <v>9</v>
      </c>
      <c r="N34" s="574">
        <f ca="1">SUMIF($AA$28:AE31,"tertiair",N28:N31)</f>
        <v>6.7499999999999991</v>
      </c>
      <c r="O34" s="574">
        <f ca="1">SUMIF($AA$28:AF31,"tertiair",O28:O31)</f>
        <v>9.6428571428571423</v>
      </c>
      <c r="P34" s="574">
        <f ca="1">SUMIF($AA$28:AG31,"tertiair",P28:P31)</f>
        <v>19.285714285714285</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278</v>
      </c>
      <c r="B35" s="578"/>
      <c r="C35" s="578"/>
      <c r="D35" s="578"/>
      <c r="E35" s="578"/>
      <c r="F35" s="578"/>
      <c r="G35" s="578"/>
      <c r="H35" s="578"/>
      <c r="I35" s="578"/>
      <c r="J35" s="578"/>
      <c r="K35" s="578"/>
      <c r="L35" s="579"/>
      <c r="M35" s="579">
        <f>SUMIF($AA$28:$AA$31,"landbouw",M28:M31)</f>
        <v>3404.7</v>
      </c>
      <c r="N35" s="579">
        <f>SUMIF($AA$28:$AA$31,"landbouw",N28:N31)</f>
        <v>15321.15</v>
      </c>
      <c r="O35" s="579">
        <f>SUMIF($AA$28:$AA$31,"landbouw",O28:O31)</f>
        <v>21887.357142857141</v>
      </c>
      <c r="P35" s="579">
        <f>SUMIF($AA$28:$AA$31,"landbouw",P28:P31)</f>
        <v>7264.2857142857138</v>
      </c>
      <c r="Q35" s="579">
        <f>SUMIF($AA$28:$AA$31,"landbouw",Q28:Q31)</f>
        <v>36510.428571428572</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270</v>
      </c>
      <c r="B37" s="613" t="s">
        <v>89</v>
      </c>
      <c r="C37" s="613" t="s">
        <v>90</v>
      </c>
      <c r="D37" s="613"/>
      <c r="E37" s="613"/>
      <c r="F37" s="613"/>
      <c r="G37" s="613" t="s">
        <v>91</v>
      </c>
      <c r="H37" s="613" t="s">
        <v>92</v>
      </c>
      <c r="I37" s="613"/>
      <c r="J37" s="613"/>
      <c r="K37" s="613"/>
      <c r="L37" s="613" t="s">
        <v>93</v>
      </c>
      <c r="M37" s="614" t="s">
        <v>287</v>
      </c>
      <c r="N37" s="614" t="s">
        <v>94</v>
      </c>
      <c r="O37" s="614" t="s">
        <v>95</v>
      </c>
      <c r="P37" s="614" t="s">
        <v>522</v>
      </c>
      <c r="Q37" s="614" t="s">
        <v>96</v>
      </c>
      <c r="R37" s="614" t="s">
        <v>97</v>
      </c>
      <c r="S37" s="614" t="s">
        <v>98</v>
      </c>
      <c r="T37" s="614" t="s">
        <v>99</v>
      </c>
      <c r="U37" s="614" t="s">
        <v>100</v>
      </c>
      <c r="V37" s="614" t="s">
        <v>101</v>
      </c>
      <c r="W37" s="613" t="s">
        <v>102</v>
      </c>
      <c r="X37" s="613" t="s">
        <v>886</v>
      </c>
      <c r="Y37" s="613" t="s">
        <v>288</v>
      </c>
      <c r="Z37" s="613" t="s">
        <v>103</v>
      </c>
      <c r="AA37" s="615" t="s">
        <v>289</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269</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276</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277</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278</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271</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272</v>
      </c>
      <c r="C47" s="596" t="s">
        <v>273</v>
      </c>
      <c r="D47" s="596"/>
      <c r="E47" s="596"/>
      <c r="F47" s="596"/>
      <c r="G47" s="596"/>
      <c r="H47" s="596"/>
      <c r="I47" s="597"/>
      <c r="J47" s="596"/>
      <c r="K47" s="596"/>
      <c r="L47" s="596"/>
      <c r="M47" s="596"/>
      <c r="N47" s="596"/>
      <c r="O47" s="596"/>
      <c r="P47" s="591"/>
    </row>
    <row r="48" spans="1:28">
      <c r="A48" s="593" t="s">
        <v>269</v>
      </c>
      <c r="B48" s="598">
        <f>IF(ISERROR(O32/(O32+N32)),0,O32/(O32+N32))</f>
        <v>0.58823529411764708</v>
      </c>
      <c r="C48" s="599">
        <f>IF(ISERROR(N32/(O32+N32)),0,N32/(N32+O32))</f>
        <v>0.41176470588235292</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522</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274</v>
      </c>
      <c r="B51" s="608">
        <f t="shared" ref="B51:I51" si="2">$C$48*P32</f>
        <v>2999.1176470588234</v>
      </c>
      <c r="C51" s="608">
        <f t="shared" si="2"/>
        <v>15033.705882352941</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275</v>
      </c>
      <c r="B52" s="611">
        <f t="shared" ref="B52:I52" si="3">$B$48*P32</f>
        <v>4284.453781512605</v>
      </c>
      <c r="C52" s="611">
        <f t="shared" si="3"/>
        <v>21476.722689075632</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36234.747079492001</v>
      </c>
      <c r="D10" s="930">
        <f ca="1">tertiair!C16</f>
        <v>9.6428571428571423</v>
      </c>
      <c r="E10" s="930">
        <f ca="1">tertiair!D16</f>
        <v>36518.73467052573</v>
      </c>
      <c r="F10" s="930">
        <f>tertiair!E16</f>
        <v>568.91671111416281</v>
      </c>
      <c r="G10" s="930">
        <f ca="1">tertiair!F16</f>
        <v>7435.5516751636987</v>
      </c>
      <c r="H10" s="930">
        <f>tertiair!G16</f>
        <v>0</v>
      </c>
      <c r="I10" s="930">
        <f>tertiair!H16</f>
        <v>0</v>
      </c>
      <c r="J10" s="930">
        <f>tertiair!I16</f>
        <v>0</v>
      </c>
      <c r="K10" s="930">
        <f>tertiair!J16</f>
        <v>5.7021123467371718E-2</v>
      </c>
      <c r="L10" s="930">
        <f>tertiair!K16</f>
        <v>0</v>
      </c>
      <c r="M10" s="930">
        <f ca="1">tertiair!L16</f>
        <v>0</v>
      </c>
      <c r="N10" s="930">
        <f>tertiair!M16</f>
        <v>0</v>
      </c>
      <c r="O10" s="930">
        <f ca="1">tertiair!N16</f>
        <v>2032.8487652756592</v>
      </c>
      <c r="P10" s="930">
        <f>tertiair!O16</f>
        <v>17.196666666666669</v>
      </c>
      <c r="Q10" s="931">
        <f>tertiair!P16</f>
        <v>190.66666666666669</v>
      </c>
      <c r="R10" s="628">
        <f ca="1">SUM(C10:Q10)</f>
        <v>83008.362113170922</v>
      </c>
      <c r="S10" s="67"/>
    </row>
    <row r="11" spans="1:19" s="437" customFormat="1">
      <c r="A11" s="736" t="s">
        <v>214</v>
      </c>
      <c r="B11" s="741"/>
      <c r="C11" s="930">
        <f>huishoudens!B8</f>
        <v>57477.156819024145</v>
      </c>
      <c r="D11" s="930">
        <f>huishoudens!C8</f>
        <v>0</v>
      </c>
      <c r="E11" s="930">
        <f>huishoudens!D8</f>
        <v>67490.208232128003</v>
      </c>
      <c r="F11" s="930">
        <f>huishoudens!E8</f>
        <v>3508.4446715230547</v>
      </c>
      <c r="G11" s="930">
        <f>huishoudens!F8</f>
        <v>95387.666102818795</v>
      </c>
      <c r="H11" s="930">
        <f>huishoudens!G8</f>
        <v>0</v>
      </c>
      <c r="I11" s="930">
        <f>huishoudens!H8</f>
        <v>0</v>
      </c>
      <c r="J11" s="930">
        <f>huishoudens!I8</f>
        <v>0</v>
      </c>
      <c r="K11" s="930">
        <f>huishoudens!J8</f>
        <v>1759.1189372048977</v>
      </c>
      <c r="L11" s="930">
        <f>huishoudens!K8</f>
        <v>0</v>
      </c>
      <c r="M11" s="930">
        <f>huishoudens!L8</f>
        <v>0</v>
      </c>
      <c r="N11" s="930">
        <f>huishoudens!M8</f>
        <v>0</v>
      </c>
      <c r="O11" s="930">
        <f>huishoudens!N8</f>
        <v>16168.085035778611</v>
      </c>
      <c r="P11" s="930">
        <f>huishoudens!O8</f>
        <v>659.72666666666669</v>
      </c>
      <c r="Q11" s="931">
        <f>huishoudens!P8</f>
        <v>2116.4</v>
      </c>
      <c r="R11" s="628">
        <f>SUM(C11:Q11)</f>
        <v>244566.80646514418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89462.145068858008</v>
      </c>
      <c r="D13" s="930">
        <f>industrie!C18</f>
        <v>0</v>
      </c>
      <c r="E13" s="930">
        <f>industrie!D18</f>
        <v>192093.13677726552</v>
      </c>
      <c r="F13" s="930">
        <f>industrie!E18</f>
        <v>3023.1841168427495</v>
      </c>
      <c r="G13" s="930">
        <f>industrie!F18</f>
        <v>20465.053122439956</v>
      </c>
      <c r="H13" s="930">
        <f>industrie!G18</f>
        <v>0</v>
      </c>
      <c r="I13" s="930">
        <f>industrie!H18</f>
        <v>0</v>
      </c>
      <c r="J13" s="930">
        <f>industrie!I18</f>
        <v>0</v>
      </c>
      <c r="K13" s="930">
        <f>industrie!J18</f>
        <v>820.31138425995937</v>
      </c>
      <c r="L13" s="930">
        <f>industrie!K18</f>
        <v>0</v>
      </c>
      <c r="M13" s="930">
        <f>industrie!L18</f>
        <v>0</v>
      </c>
      <c r="N13" s="930">
        <f>industrie!M18</f>
        <v>0</v>
      </c>
      <c r="O13" s="930">
        <f>industrie!N18</f>
        <v>28266.415557368324</v>
      </c>
      <c r="P13" s="930">
        <f>industrie!O18</f>
        <v>0</v>
      </c>
      <c r="Q13" s="931">
        <f>industrie!P18</f>
        <v>0</v>
      </c>
      <c r="R13" s="628">
        <f>SUM(C13:Q13)</f>
        <v>334130.24602703447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183174.04896737414</v>
      </c>
      <c r="D16" s="660">
        <f t="shared" ref="D16:R16" ca="1" si="0">SUM(D9:D15)</f>
        <v>9.6428571428571423</v>
      </c>
      <c r="E16" s="660">
        <f t="shared" ca="1" si="0"/>
        <v>296102.07967991929</v>
      </c>
      <c r="F16" s="660">
        <f t="shared" si="0"/>
        <v>7100.5454994799675</v>
      </c>
      <c r="G16" s="660">
        <f t="shared" ca="1" si="0"/>
        <v>123288.27090042246</v>
      </c>
      <c r="H16" s="660">
        <f t="shared" si="0"/>
        <v>0</v>
      </c>
      <c r="I16" s="660">
        <f t="shared" si="0"/>
        <v>0</v>
      </c>
      <c r="J16" s="660">
        <f t="shared" si="0"/>
        <v>0</v>
      </c>
      <c r="K16" s="660">
        <f t="shared" si="0"/>
        <v>2579.4873425883243</v>
      </c>
      <c r="L16" s="660">
        <f t="shared" si="0"/>
        <v>0</v>
      </c>
      <c r="M16" s="660">
        <f t="shared" ca="1" si="0"/>
        <v>0</v>
      </c>
      <c r="N16" s="660">
        <f t="shared" si="0"/>
        <v>0</v>
      </c>
      <c r="O16" s="660">
        <f t="shared" ca="1" si="0"/>
        <v>46467.349358422594</v>
      </c>
      <c r="P16" s="660">
        <f t="shared" si="0"/>
        <v>676.9233333333334</v>
      </c>
      <c r="Q16" s="660">
        <f t="shared" si="0"/>
        <v>2307.0666666666666</v>
      </c>
      <c r="R16" s="660">
        <f t="shared" ca="1" si="0"/>
        <v>661705.41460534954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6.6612468910505518</v>
      </c>
      <c r="D19" s="930">
        <f>transport!C54</f>
        <v>0</v>
      </c>
      <c r="E19" s="930">
        <f>transport!D54</f>
        <v>0</v>
      </c>
      <c r="F19" s="930">
        <f>transport!E54</f>
        <v>0</v>
      </c>
      <c r="G19" s="930">
        <f>transport!F54</f>
        <v>0</v>
      </c>
      <c r="H19" s="930">
        <f>transport!G54</f>
        <v>1187.714423417591</v>
      </c>
      <c r="I19" s="930">
        <f>transport!H54</f>
        <v>0</v>
      </c>
      <c r="J19" s="930">
        <f>transport!I54</f>
        <v>0</v>
      </c>
      <c r="K19" s="930">
        <f>transport!J54</f>
        <v>0</v>
      </c>
      <c r="L19" s="930">
        <f>transport!K54</f>
        <v>0</v>
      </c>
      <c r="M19" s="930">
        <f>transport!L54</f>
        <v>0</v>
      </c>
      <c r="N19" s="930">
        <f>transport!M54</f>
        <v>37.075842340447551</v>
      </c>
      <c r="O19" s="930">
        <f>transport!N54</f>
        <v>0</v>
      </c>
      <c r="P19" s="930">
        <f>transport!O54</f>
        <v>0</v>
      </c>
      <c r="Q19" s="931">
        <f>transport!P54</f>
        <v>0</v>
      </c>
      <c r="R19" s="628">
        <f>SUM(C19:Q19)</f>
        <v>1231.451512649089</v>
      </c>
      <c r="S19" s="67"/>
    </row>
    <row r="20" spans="1:19" s="437" customFormat="1">
      <c r="A20" s="736" t="s">
        <v>296</v>
      </c>
      <c r="B20" s="741"/>
      <c r="C20" s="930">
        <f>transport!B14</f>
        <v>146.69859151149549</v>
      </c>
      <c r="D20" s="930">
        <f>transport!C14</f>
        <v>0</v>
      </c>
      <c r="E20" s="930">
        <f>transport!D14</f>
        <v>210.39651213522757</v>
      </c>
      <c r="F20" s="930">
        <f>transport!E14</f>
        <v>1091.7012777340954</v>
      </c>
      <c r="G20" s="930">
        <f>transport!F14</f>
        <v>0</v>
      </c>
      <c r="H20" s="930">
        <f>transport!G14</f>
        <v>485082.3539987416</v>
      </c>
      <c r="I20" s="930">
        <f>transport!H14</f>
        <v>75142.281774398623</v>
      </c>
      <c r="J20" s="930">
        <f>transport!I14</f>
        <v>0</v>
      </c>
      <c r="K20" s="930">
        <f>transport!J14</f>
        <v>0</v>
      </c>
      <c r="L20" s="930">
        <f>transport!K14</f>
        <v>0</v>
      </c>
      <c r="M20" s="930">
        <f>transport!L14</f>
        <v>0</v>
      </c>
      <c r="N20" s="930">
        <f>transport!M14</f>
        <v>17512.634498476225</v>
      </c>
      <c r="O20" s="930">
        <f>transport!N14</f>
        <v>0</v>
      </c>
      <c r="P20" s="930">
        <f>transport!O14</f>
        <v>0</v>
      </c>
      <c r="Q20" s="931">
        <f>transport!P14</f>
        <v>0</v>
      </c>
      <c r="R20" s="628">
        <f>SUM(C20:Q20)</f>
        <v>579186.06665299716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153.35983840254605</v>
      </c>
      <c r="D22" s="739">
        <f t="shared" ref="D22:R22" si="1">SUM(D18:D21)</f>
        <v>0</v>
      </c>
      <c r="E22" s="739">
        <f t="shared" si="1"/>
        <v>210.39651213522757</v>
      </c>
      <c r="F22" s="739">
        <f t="shared" si="1"/>
        <v>1091.7012777340954</v>
      </c>
      <c r="G22" s="739">
        <f t="shared" si="1"/>
        <v>0</v>
      </c>
      <c r="H22" s="739">
        <f t="shared" si="1"/>
        <v>486270.06842215918</v>
      </c>
      <c r="I22" s="739">
        <f t="shared" si="1"/>
        <v>75142.281774398623</v>
      </c>
      <c r="J22" s="739">
        <f t="shared" si="1"/>
        <v>0</v>
      </c>
      <c r="K22" s="739">
        <f t="shared" si="1"/>
        <v>0</v>
      </c>
      <c r="L22" s="739">
        <f t="shared" si="1"/>
        <v>0</v>
      </c>
      <c r="M22" s="739">
        <f t="shared" si="1"/>
        <v>0</v>
      </c>
      <c r="N22" s="739">
        <f t="shared" si="1"/>
        <v>17549.710340816673</v>
      </c>
      <c r="O22" s="739">
        <f t="shared" si="1"/>
        <v>0</v>
      </c>
      <c r="P22" s="739">
        <f t="shared" si="1"/>
        <v>0</v>
      </c>
      <c r="Q22" s="739">
        <f t="shared" si="1"/>
        <v>0</v>
      </c>
      <c r="R22" s="739">
        <f t="shared" si="1"/>
        <v>580417.51816564624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8519.8051134500001</v>
      </c>
      <c r="D24" s="930">
        <f>+landbouw!C8</f>
        <v>21887.357142857141</v>
      </c>
      <c r="E24" s="930">
        <f>+landbouw!D8</f>
        <v>479.79299364299368</v>
      </c>
      <c r="F24" s="930">
        <f>+landbouw!E8</f>
        <v>168.78466639240446</v>
      </c>
      <c r="G24" s="930">
        <f>+landbouw!F8</f>
        <v>31069.326308244988</v>
      </c>
      <c r="H24" s="930">
        <f>+landbouw!G8</f>
        <v>0</v>
      </c>
      <c r="I24" s="930">
        <f>+landbouw!H8</f>
        <v>0</v>
      </c>
      <c r="J24" s="930">
        <f>+landbouw!I8</f>
        <v>0</v>
      </c>
      <c r="K24" s="930">
        <f>+landbouw!J8</f>
        <v>2022.944989117108</v>
      </c>
      <c r="L24" s="930">
        <f>+landbouw!K8</f>
        <v>0</v>
      </c>
      <c r="M24" s="930">
        <f>+landbouw!L8</f>
        <v>0</v>
      </c>
      <c r="N24" s="930">
        <f>+landbouw!M8</f>
        <v>0</v>
      </c>
      <c r="O24" s="930">
        <f>+landbouw!N8</f>
        <v>0</v>
      </c>
      <c r="P24" s="930">
        <f>+landbouw!O8</f>
        <v>0</v>
      </c>
      <c r="Q24" s="931">
        <f>+landbouw!P8</f>
        <v>0</v>
      </c>
      <c r="R24" s="628">
        <f>SUM(C24:Q24)</f>
        <v>64148.011213704638</v>
      </c>
      <c r="S24" s="67"/>
    </row>
    <row r="25" spans="1:19" s="437" customFormat="1" ht="15" thickBot="1">
      <c r="A25" s="758" t="s">
        <v>788</v>
      </c>
      <c r="B25" s="933"/>
      <c r="C25" s="934">
        <f>IF(Onbekend_ele_kWh="---",0,Onbekend_ele_kWh)/1000+IF(REST_rest_ele_kWh="---",0,REST_rest_ele_kWh)/1000</f>
        <v>1881.0494819899998</v>
      </c>
      <c r="D25" s="934"/>
      <c r="E25" s="934">
        <f>IF(onbekend_gas_kWh="---",0,onbekend_gas_kWh)/1000+IF(REST_rest_gas_kWh="---",0,REST_rest_gas_kWh)/1000</f>
        <v>2037.1686842999998</v>
      </c>
      <c r="F25" s="934"/>
      <c r="G25" s="934"/>
      <c r="H25" s="934"/>
      <c r="I25" s="934"/>
      <c r="J25" s="934"/>
      <c r="K25" s="934"/>
      <c r="L25" s="934"/>
      <c r="M25" s="934"/>
      <c r="N25" s="934"/>
      <c r="O25" s="934"/>
      <c r="P25" s="934"/>
      <c r="Q25" s="935"/>
      <c r="R25" s="628">
        <f>SUM(C25:Q25)</f>
        <v>3918.2181662899993</v>
      </c>
      <c r="S25" s="67"/>
    </row>
    <row r="26" spans="1:19" s="437" customFormat="1" ht="15.75" thickBot="1">
      <c r="A26" s="633" t="s">
        <v>789</v>
      </c>
      <c r="B26" s="744"/>
      <c r="C26" s="739">
        <f>SUM(C24:C25)</f>
        <v>10400.85459544</v>
      </c>
      <c r="D26" s="739">
        <f t="shared" ref="D26:R26" si="2">SUM(D24:D25)</f>
        <v>21887.357142857141</v>
      </c>
      <c r="E26" s="739">
        <f t="shared" si="2"/>
        <v>2516.9616779429934</v>
      </c>
      <c r="F26" s="739">
        <f t="shared" si="2"/>
        <v>168.78466639240446</v>
      </c>
      <c r="G26" s="739">
        <f t="shared" si="2"/>
        <v>31069.326308244988</v>
      </c>
      <c r="H26" s="739">
        <f t="shared" si="2"/>
        <v>0</v>
      </c>
      <c r="I26" s="739">
        <f t="shared" si="2"/>
        <v>0</v>
      </c>
      <c r="J26" s="739">
        <f t="shared" si="2"/>
        <v>0</v>
      </c>
      <c r="K26" s="739">
        <f t="shared" si="2"/>
        <v>2022.944989117108</v>
      </c>
      <c r="L26" s="739">
        <f t="shared" si="2"/>
        <v>0</v>
      </c>
      <c r="M26" s="739">
        <f t="shared" si="2"/>
        <v>0</v>
      </c>
      <c r="N26" s="739">
        <f t="shared" si="2"/>
        <v>0</v>
      </c>
      <c r="O26" s="739">
        <f t="shared" si="2"/>
        <v>0</v>
      </c>
      <c r="P26" s="739">
        <f t="shared" si="2"/>
        <v>0</v>
      </c>
      <c r="Q26" s="739">
        <f t="shared" si="2"/>
        <v>0</v>
      </c>
      <c r="R26" s="739">
        <f t="shared" si="2"/>
        <v>68066.229379994635</v>
      </c>
      <c r="S26" s="67"/>
    </row>
    <row r="27" spans="1:19" s="437" customFormat="1" ht="17.25" thickTop="1" thickBot="1">
      <c r="A27" s="634" t="s">
        <v>109</v>
      </c>
      <c r="B27" s="732"/>
      <c r="C27" s="635">
        <f ca="1">C22+C16+C26</f>
        <v>193728.26340121668</v>
      </c>
      <c r="D27" s="635">
        <f t="shared" ref="D27:R27" ca="1" si="3">D22+D16+D26</f>
        <v>21897</v>
      </c>
      <c r="E27" s="635">
        <f t="shared" ca="1" si="3"/>
        <v>298829.43786999752</v>
      </c>
      <c r="F27" s="635">
        <f t="shared" si="3"/>
        <v>8361.0314436064673</v>
      </c>
      <c r="G27" s="635">
        <f t="shared" ca="1" si="3"/>
        <v>154357.59720866746</v>
      </c>
      <c r="H27" s="635">
        <f t="shared" si="3"/>
        <v>486270.06842215918</v>
      </c>
      <c r="I27" s="635">
        <f t="shared" si="3"/>
        <v>75142.281774398623</v>
      </c>
      <c r="J27" s="635">
        <f t="shared" si="3"/>
        <v>0</v>
      </c>
      <c r="K27" s="635">
        <f t="shared" si="3"/>
        <v>4602.4323317054323</v>
      </c>
      <c r="L27" s="635">
        <f t="shared" si="3"/>
        <v>0</v>
      </c>
      <c r="M27" s="635">
        <f t="shared" ca="1" si="3"/>
        <v>0</v>
      </c>
      <c r="N27" s="635">
        <f t="shared" si="3"/>
        <v>17549.710340816673</v>
      </c>
      <c r="O27" s="635">
        <f t="shared" ca="1" si="3"/>
        <v>46467.349358422594</v>
      </c>
      <c r="P27" s="635">
        <f t="shared" si="3"/>
        <v>676.9233333333334</v>
      </c>
      <c r="Q27" s="635">
        <f t="shared" si="3"/>
        <v>2307.0666666666666</v>
      </c>
      <c r="R27" s="635">
        <f t="shared" ca="1" si="3"/>
        <v>1310189.1621509905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6970.4678475143246</v>
      </c>
      <c r="D40" s="930">
        <f ca="1">tertiair!C20</f>
        <v>0.38112544647945495</v>
      </c>
      <c r="E40" s="930">
        <f ca="1">tertiair!D20</f>
        <v>7376.7844034461978</v>
      </c>
      <c r="F40" s="930">
        <f>tertiair!E20</f>
        <v>129.14409342291495</v>
      </c>
      <c r="G40" s="930">
        <f ca="1">tertiair!F20</f>
        <v>1985.2922972687077</v>
      </c>
      <c r="H40" s="930">
        <f>tertiair!G20</f>
        <v>0</v>
      </c>
      <c r="I40" s="930">
        <f>tertiair!H20</f>
        <v>0</v>
      </c>
      <c r="J40" s="930">
        <f>tertiair!I20</f>
        <v>0</v>
      </c>
      <c r="K40" s="930">
        <f>tertiair!J20</f>
        <v>2.0185477707449585E-2</v>
      </c>
      <c r="L40" s="930">
        <f>tertiair!K20</f>
        <v>0</v>
      </c>
      <c r="M40" s="930">
        <f ca="1">tertiair!L20</f>
        <v>0</v>
      </c>
      <c r="N40" s="930">
        <f>tertiair!M20</f>
        <v>0</v>
      </c>
      <c r="O40" s="930">
        <f ca="1">tertiair!N20</f>
        <v>0</v>
      </c>
      <c r="P40" s="930">
        <f>tertiair!O20</f>
        <v>0</v>
      </c>
      <c r="Q40" s="702">
        <f>tertiair!P20</f>
        <v>0</v>
      </c>
      <c r="R40" s="777">
        <f t="shared" ca="1" si="4"/>
        <v>16462.089952576331</v>
      </c>
    </row>
    <row r="41" spans="1:18">
      <c r="A41" s="749" t="s">
        <v>214</v>
      </c>
      <c r="B41" s="756"/>
      <c r="C41" s="930">
        <f ca="1">huishoudens!B12</f>
        <v>11056.864083930661</v>
      </c>
      <c r="D41" s="930">
        <f ca="1">huishoudens!C12</f>
        <v>0</v>
      </c>
      <c r="E41" s="930">
        <f>huishoudens!D12</f>
        <v>13633.022062889857</v>
      </c>
      <c r="F41" s="930">
        <f>huishoudens!E12</f>
        <v>796.41694043573341</v>
      </c>
      <c r="G41" s="930">
        <f>huishoudens!F12</f>
        <v>25468.50684945262</v>
      </c>
      <c r="H41" s="930">
        <f>huishoudens!G12</f>
        <v>0</v>
      </c>
      <c r="I41" s="930">
        <f>huishoudens!H12</f>
        <v>0</v>
      </c>
      <c r="J41" s="930">
        <f>huishoudens!I12</f>
        <v>0</v>
      </c>
      <c r="K41" s="930">
        <f>huishoudens!J12</f>
        <v>622.72810377053372</v>
      </c>
      <c r="L41" s="930">
        <f>huishoudens!K12</f>
        <v>0</v>
      </c>
      <c r="M41" s="930">
        <f>huishoudens!L12</f>
        <v>0</v>
      </c>
      <c r="N41" s="930">
        <f>huishoudens!M12</f>
        <v>0</v>
      </c>
      <c r="O41" s="930">
        <f>huishoudens!N12</f>
        <v>0</v>
      </c>
      <c r="P41" s="930">
        <f>huishoudens!O12</f>
        <v>0</v>
      </c>
      <c r="Q41" s="702">
        <f>huishoudens!P12</f>
        <v>0</v>
      </c>
      <c r="R41" s="777">
        <f t="shared" ca="1" si="4"/>
        <v>51577.538040479405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17209.807050787327</v>
      </c>
      <c r="D43" s="930">
        <f ca="1">industrie!C22</f>
        <v>0</v>
      </c>
      <c r="E43" s="930">
        <f>industrie!D22</f>
        <v>38802.813629007636</v>
      </c>
      <c r="F43" s="930">
        <f>industrie!E22</f>
        <v>686.26279452330414</v>
      </c>
      <c r="G43" s="930">
        <f>industrie!F22</f>
        <v>5464.1691836914688</v>
      </c>
      <c r="H43" s="930">
        <f>industrie!G22</f>
        <v>0</v>
      </c>
      <c r="I43" s="930">
        <f>industrie!H22</f>
        <v>0</v>
      </c>
      <c r="J43" s="930">
        <f>industrie!I22</f>
        <v>0</v>
      </c>
      <c r="K43" s="930">
        <f>industrie!J22</f>
        <v>290.3902300280256</v>
      </c>
      <c r="L43" s="930">
        <f>industrie!K22</f>
        <v>0</v>
      </c>
      <c r="M43" s="930">
        <f>industrie!L22</f>
        <v>0</v>
      </c>
      <c r="N43" s="930">
        <f>industrie!M22</f>
        <v>0</v>
      </c>
      <c r="O43" s="930">
        <f>industrie!N22</f>
        <v>0</v>
      </c>
      <c r="P43" s="930">
        <f>industrie!O22</f>
        <v>0</v>
      </c>
      <c r="Q43" s="702">
        <f>industrie!P22</f>
        <v>0</v>
      </c>
      <c r="R43" s="776">
        <f t="shared" ca="1" si="4"/>
        <v>62453.44288803776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35237.138982232311</v>
      </c>
      <c r="D46" s="660">
        <f t="shared" ref="D46:Q46" ca="1" si="5">SUM(D39:D45)</f>
        <v>0.38112544647945495</v>
      </c>
      <c r="E46" s="660">
        <f t="shared" ca="1" si="5"/>
        <v>59812.620095343693</v>
      </c>
      <c r="F46" s="660">
        <f t="shared" si="5"/>
        <v>1611.8238283819524</v>
      </c>
      <c r="G46" s="660">
        <f t="shared" ca="1" si="5"/>
        <v>32917.968330412798</v>
      </c>
      <c r="H46" s="660">
        <f t="shared" si="5"/>
        <v>0</v>
      </c>
      <c r="I46" s="660">
        <f t="shared" si="5"/>
        <v>0</v>
      </c>
      <c r="J46" s="660">
        <f t="shared" si="5"/>
        <v>0</v>
      </c>
      <c r="K46" s="660">
        <f t="shared" si="5"/>
        <v>913.13851927626672</v>
      </c>
      <c r="L46" s="660">
        <f t="shared" si="5"/>
        <v>0</v>
      </c>
      <c r="M46" s="660">
        <f t="shared" ca="1" si="5"/>
        <v>0</v>
      </c>
      <c r="N46" s="660">
        <f t="shared" si="5"/>
        <v>0</v>
      </c>
      <c r="O46" s="660">
        <f t="shared" ca="1" si="5"/>
        <v>0</v>
      </c>
      <c r="P46" s="660">
        <f t="shared" si="5"/>
        <v>0</v>
      </c>
      <c r="Q46" s="660">
        <f t="shared" si="5"/>
        <v>0</v>
      </c>
      <c r="R46" s="660">
        <f ca="1">SUM(R39:R45)</f>
        <v>130493.0708810935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1.2814221436832391</v>
      </c>
      <c r="D49" s="930">
        <f ca="1">transport!C58</f>
        <v>0</v>
      </c>
      <c r="E49" s="930">
        <f>transport!D58</f>
        <v>0</v>
      </c>
      <c r="F49" s="930">
        <f>transport!E58</f>
        <v>0</v>
      </c>
      <c r="G49" s="930">
        <f>transport!F58</f>
        <v>0</v>
      </c>
      <c r="H49" s="930">
        <f>transport!G58</f>
        <v>317.11975105249678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318.40117319618003</v>
      </c>
    </row>
    <row r="50" spans="1:18">
      <c r="A50" s="752" t="s">
        <v>296</v>
      </c>
      <c r="B50" s="762"/>
      <c r="C50" s="631">
        <f ca="1">transport!B18</f>
        <v>28.220365749020516</v>
      </c>
      <c r="D50" s="631">
        <f>transport!C18</f>
        <v>0</v>
      </c>
      <c r="E50" s="631">
        <f>transport!D18</f>
        <v>42.500095451315971</v>
      </c>
      <c r="F50" s="631">
        <f>transport!E18</f>
        <v>247.81619004563964</v>
      </c>
      <c r="G50" s="631">
        <f>transport!F18</f>
        <v>0</v>
      </c>
      <c r="H50" s="631">
        <f>transport!G18</f>
        <v>129516.98851766401</v>
      </c>
      <c r="I50" s="631">
        <f>transport!H18</f>
        <v>18710.428161825257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148545.95333073524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29.501787892703756</v>
      </c>
      <c r="D52" s="660">
        <f t="shared" ref="D52:Q52" ca="1" si="6">SUM(D48:D51)</f>
        <v>0</v>
      </c>
      <c r="E52" s="660">
        <f t="shared" si="6"/>
        <v>42.500095451315971</v>
      </c>
      <c r="F52" s="660">
        <f t="shared" si="6"/>
        <v>247.81619004563964</v>
      </c>
      <c r="G52" s="660">
        <f t="shared" si="6"/>
        <v>0</v>
      </c>
      <c r="H52" s="660">
        <f t="shared" si="6"/>
        <v>129834.1082687165</v>
      </c>
      <c r="I52" s="660">
        <f t="shared" si="6"/>
        <v>18710.428161825257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148864.35450393142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1638.9524530172034</v>
      </c>
      <c r="D54" s="631">
        <f ca="1">+landbouw!C12</f>
        <v>865.07853841906683</v>
      </c>
      <c r="E54" s="631">
        <f>+landbouw!D12</f>
        <v>96.918184715884735</v>
      </c>
      <c r="F54" s="631">
        <f>+landbouw!E12</f>
        <v>38.314119271075811</v>
      </c>
      <c r="G54" s="631">
        <f>+landbouw!F12</f>
        <v>8295.5101243014124</v>
      </c>
      <c r="H54" s="631">
        <f>+landbouw!G12</f>
        <v>0</v>
      </c>
      <c r="I54" s="631">
        <f>+landbouw!H12</f>
        <v>0</v>
      </c>
      <c r="J54" s="631">
        <f>+landbouw!I12</f>
        <v>0</v>
      </c>
      <c r="K54" s="631">
        <f>+landbouw!J12</f>
        <v>716.12252614745614</v>
      </c>
      <c r="L54" s="631">
        <f>+landbouw!K12</f>
        <v>0</v>
      </c>
      <c r="M54" s="631">
        <f>+landbouw!L12</f>
        <v>0</v>
      </c>
      <c r="N54" s="631">
        <f>+landbouw!M12</f>
        <v>0</v>
      </c>
      <c r="O54" s="631">
        <f>+landbouw!N12</f>
        <v>0</v>
      </c>
      <c r="P54" s="631">
        <f>+landbouw!O12</f>
        <v>0</v>
      </c>
      <c r="Q54" s="632">
        <f>+landbouw!P12</f>
        <v>0</v>
      </c>
      <c r="R54" s="659">
        <f ca="1">SUM(C54:Q54)</f>
        <v>11650.895945872098</v>
      </c>
    </row>
    <row r="55" spans="1:18" ht="15" thickBot="1">
      <c r="A55" s="752" t="s">
        <v>788</v>
      </c>
      <c r="B55" s="762"/>
      <c r="C55" s="631">
        <f ca="1">C25*'EF ele_warmte'!B12</f>
        <v>361.85694645611949</v>
      </c>
      <c r="D55" s="631"/>
      <c r="E55" s="631">
        <f>E25*EF_CO2_aardgas</f>
        <v>411.50807422859998</v>
      </c>
      <c r="F55" s="631"/>
      <c r="G55" s="631"/>
      <c r="H55" s="631"/>
      <c r="I55" s="631"/>
      <c r="J55" s="631"/>
      <c r="K55" s="631"/>
      <c r="L55" s="631"/>
      <c r="M55" s="631"/>
      <c r="N55" s="631"/>
      <c r="O55" s="631"/>
      <c r="P55" s="631"/>
      <c r="Q55" s="632"/>
      <c r="R55" s="659">
        <f ca="1">SUM(C55:Q55)</f>
        <v>773.36502068471941</v>
      </c>
    </row>
    <row r="56" spans="1:18" ht="15.75" thickBot="1">
      <c r="A56" s="750" t="s">
        <v>789</v>
      </c>
      <c r="B56" s="763"/>
      <c r="C56" s="660">
        <f ca="1">SUM(C54:C55)</f>
        <v>2000.8093994733229</v>
      </c>
      <c r="D56" s="660">
        <f t="shared" ref="D56:Q56" ca="1" si="7">SUM(D54:D55)</f>
        <v>865.07853841906683</v>
      </c>
      <c r="E56" s="660">
        <f t="shared" si="7"/>
        <v>508.42625894448474</v>
      </c>
      <c r="F56" s="660">
        <f t="shared" si="7"/>
        <v>38.314119271075811</v>
      </c>
      <c r="G56" s="660">
        <f t="shared" si="7"/>
        <v>8295.5101243014124</v>
      </c>
      <c r="H56" s="660">
        <f t="shared" si="7"/>
        <v>0</v>
      </c>
      <c r="I56" s="660">
        <f t="shared" si="7"/>
        <v>0</v>
      </c>
      <c r="J56" s="660">
        <f t="shared" si="7"/>
        <v>0</v>
      </c>
      <c r="K56" s="660">
        <f t="shared" si="7"/>
        <v>716.12252614745614</v>
      </c>
      <c r="L56" s="660">
        <f t="shared" si="7"/>
        <v>0</v>
      </c>
      <c r="M56" s="660">
        <f t="shared" si="7"/>
        <v>0</v>
      </c>
      <c r="N56" s="660">
        <f t="shared" si="7"/>
        <v>0</v>
      </c>
      <c r="O56" s="660">
        <f t="shared" si="7"/>
        <v>0</v>
      </c>
      <c r="P56" s="660">
        <f t="shared" si="7"/>
        <v>0</v>
      </c>
      <c r="Q56" s="661">
        <f t="shared" si="7"/>
        <v>0</v>
      </c>
      <c r="R56" s="662">
        <f ca="1">SUM(R54:R55)</f>
        <v>12424.260966556818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37267.450169598334</v>
      </c>
      <c r="D61" s="668">
        <f t="shared" ref="D61:Q61" ca="1" si="8">D46+D52+D56</f>
        <v>865.4596638655463</v>
      </c>
      <c r="E61" s="668">
        <f t="shared" ca="1" si="8"/>
        <v>60363.546449739493</v>
      </c>
      <c r="F61" s="668">
        <f t="shared" si="8"/>
        <v>1897.9541376986676</v>
      </c>
      <c r="G61" s="668">
        <f t="shared" ca="1" si="8"/>
        <v>41213.478454714212</v>
      </c>
      <c r="H61" s="668">
        <f t="shared" si="8"/>
        <v>129834.1082687165</v>
      </c>
      <c r="I61" s="668">
        <f t="shared" si="8"/>
        <v>18710.428161825257</v>
      </c>
      <c r="J61" s="668">
        <f t="shared" si="8"/>
        <v>0</v>
      </c>
      <c r="K61" s="668">
        <f t="shared" si="8"/>
        <v>1629.2610454237229</v>
      </c>
      <c r="L61" s="668">
        <f t="shared" si="8"/>
        <v>0</v>
      </c>
      <c r="M61" s="668">
        <f t="shared" ca="1" si="8"/>
        <v>0</v>
      </c>
      <c r="N61" s="668">
        <f t="shared" si="8"/>
        <v>0</v>
      </c>
      <c r="O61" s="668">
        <f t="shared" ca="1" si="8"/>
        <v>0</v>
      </c>
      <c r="P61" s="668">
        <f t="shared" si="8"/>
        <v>0</v>
      </c>
      <c r="Q61" s="668">
        <f t="shared" si="8"/>
        <v>0</v>
      </c>
      <c r="R61" s="668">
        <f ca="1">R46+R52+R56</f>
        <v>291781.68635158177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0.19236971165336056</v>
      </c>
      <c r="D63" s="709">
        <f t="shared" ca="1" si="9"/>
        <v>3.9524120375647183E-2</v>
      </c>
      <c r="E63" s="941">
        <f t="shared" ca="1" si="9"/>
        <v>0.20199999999999999</v>
      </c>
      <c r="F63" s="709">
        <f t="shared" si="9"/>
        <v>0.22699999999999995</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12510.6421121106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12778.650000000001</v>
      </c>
      <c r="C76" s="678">
        <f>'lokale energieproductie'!B8*IFERROR(SUM(D76:H76)/SUM(D76:O76),0)</f>
        <v>2549.25</v>
      </c>
      <c r="D76" s="951">
        <f>'lokale energieproductie'!C8</f>
        <v>2999.1176470588234</v>
      </c>
      <c r="E76" s="952">
        <f>'lokale energieproductie'!D8</f>
        <v>0</v>
      </c>
      <c r="F76" s="952">
        <f>'lokale energieproductie'!E8</f>
        <v>0</v>
      </c>
      <c r="G76" s="952">
        <f>'lokale energieproductie'!F8</f>
        <v>0</v>
      </c>
      <c r="H76" s="952">
        <f>'lokale energieproductie'!G8</f>
        <v>0</v>
      </c>
      <c r="I76" s="952">
        <f>'lokale energieproductie'!I8</f>
        <v>0</v>
      </c>
      <c r="J76" s="952">
        <f>'lokale energieproductie'!J8</f>
        <v>15033.705882352941</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605.8217647058824</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25289.292112110601</v>
      </c>
      <c r="C78" s="683">
        <f>SUM(C72:C77)</f>
        <v>2549.25</v>
      </c>
      <c r="D78" s="684">
        <f t="shared" ref="D78:H78" si="10">SUM(D76:D77)</f>
        <v>2999.1176470588234</v>
      </c>
      <c r="E78" s="684">
        <f t="shared" si="10"/>
        <v>0</v>
      </c>
      <c r="F78" s="684">
        <f t="shared" si="10"/>
        <v>0</v>
      </c>
      <c r="G78" s="684">
        <f t="shared" si="10"/>
        <v>0</v>
      </c>
      <c r="H78" s="684">
        <f t="shared" si="10"/>
        <v>0</v>
      </c>
      <c r="I78" s="684">
        <f>SUM(I76:I77)</f>
        <v>0</v>
      </c>
      <c r="J78" s="684">
        <f>SUM(J76:J77)</f>
        <v>15033.705882352941</v>
      </c>
      <c r="K78" s="684">
        <f t="shared" ref="K78:L78" si="11">SUM(K76:K77)</f>
        <v>0</v>
      </c>
      <c r="L78" s="684">
        <f t="shared" si="11"/>
        <v>0</v>
      </c>
      <c r="M78" s="684">
        <f>SUM(M76:M77)</f>
        <v>0</v>
      </c>
      <c r="N78" s="684">
        <f>SUM(N76:N77)</f>
        <v>0</v>
      </c>
      <c r="O78" s="787">
        <f>SUM(O76:O77)</f>
        <v>0</v>
      </c>
      <c r="P78" s="685">
        <v>0</v>
      </c>
      <c r="Q78" s="685">
        <f>SUM(Q76:Q77)</f>
        <v>605.8217647058824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18255.214285714286</v>
      </c>
      <c r="C87" s="694">
        <f>'lokale energieproductie'!B17*IFERROR(SUM(D87:H87)/SUM(D87:O87),0)</f>
        <v>3641.7857142857138</v>
      </c>
      <c r="D87" s="705">
        <f>'lokale energieproductie'!C17</f>
        <v>4284.453781512605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21476.722689075632</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865.4596638655463</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18255.214285714286</v>
      </c>
      <c r="C90" s="683">
        <f>SUM(C87:C89)</f>
        <v>3641.7857142857138</v>
      </c>
      <c r="D90" s="683">
        <f t="shared" ref="D90:H90" si="12">SUM(D87:D89)</f>
        <v>4284.453781512605</v>
      </c>
      <c r="E90" s="683">
        <f t="shared" si="12"/>
        <v>0</v>
      </c>
      <c r="F90" s="683">
        <f t="shared" si="12"/>
        <v>0</v>
      </c>
      <c r="G90" s="683">
        <f t="shared" si="12"/>
        <v>0</v>
      </c>
      <c r="H90" s="683">
        <f t="shared" si="12"/>
        <v>0</v>
      </c>
      <c r="I90" s="683">
        <f>SUM(I87:I89)</f>
        <v>0</v>
      </c>
      <c r="J90" s="683">
        <f>SUM(J87:J89)</f>
        <v>21476.722689075632</v>
      </c>
      <c r="K90" s="683">
        <f t="shared" ref="K90:L90" si="13">SUM(K87:K89)</f>
        <v>0</v>
      </c>
      <c r="L90" s="683">
        <f t="shared" si="13"/>
        <v>0</v>
      </c>
      <c r="M90" s="683">
        <f>SUM(M87:M89)</f>
        <v>0</v>
      </c>
      <c r="N90" s="683">
        <f>SUM(N87:N89)</f>
        <v>0</v>
      </c>
      <c r="O90" s="683">
        <f>SUM(O87:O89)</f>
        <v>0</v>
      </c>
      <c r="P90" s="683">
        <v>0</v>
      </c>
      <c r="Q90" s="683">
        <f>SUM(Q87:Q89)</f>
        <v>865.4596638655463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57477.156819024145</v>
      </c>
      <c r="C4" s="441">
        <f>huishoudens!C8</f>
        <v>0</v>
      </c>
      <c r="D4" s="441">
        <f>huishoudens!D8</f>
        <v>67490.208232128003</v>
      </c>
      <c r="E4" s="441">
        <f>huishoudens!E8</f>
        <v>3508.4446715230547</v>
      </c>
      <c r="F4" s="441">
        <f>huishoudens!F8</f>
        <v>95387.666102818795</v>
      </c>
      <c r="G4" s="441">
        <f>huishoudens!G8</f>
        <v>0</v>
      </c>
      <c r="H4" s="441">
        <f>huishoudens!H8</f>
        <v>0</v>
      </c>
      <c r="I4" s="441">
        <f>huishoudens!I8</f>
        <v>0</v>
      </c>
      <c r="J4" s="441">
        <f>huishoudens!J8</f>
        <v>1759.1189372048977</v>
      </c>
      <c r="K4" s="441">
        <f>huishoudens!K8</f>
        <v>0</v>
      </c>
      <c r="L4" s="441">
        <f>huishoudens!L8</f>
        <v>0</v>
      </c>
      <c r="M4" s="441">
        <f>huishoudens!M8</f>
        <v>0</v>
      </c>
      <c r="N4" s="441">
        <f>huishoudens!N8</f>
        <v>16168.085035778611</v>
      </c>
      <c r="O4" s="441">
        <f>huishoudens!O8</f>
        <v>659.72666666666669</v>
      </c>
      <c r="P4" s="442">
        <f>huishoudens!P8</f>
        <v>2116.4</v>
      </c>
      <c r="Q4" s="443">
        <f>SUM(B4:P4)</f>
        <v>244566.80646514418</v>
      </c>
    </row>
    <row r="5" spans="1:17">
      <c r="A5" s="440" t="s">
        <v>149</v>
      </c>
      <c r="B5" s="441">
        <f ca="1">tertiair!B16</f>
        <v>33556.216079491998</v>
      </c>
      <c r="C5" s="441">
        <f ca="1">tertiair!C16</f>
        <v>9.6428571428571423</v>
      </c>
      <c r="D5" s="441">
        <f ca="1">tertiair!D16</f>
        <v>36518.73467052573</v>
      </c>
      <c r="E5" s="441">
        <f>tertiair!E16</f>
        <v>568.91671111416281</v>
      </c>
      <c r="F5" s="441">
        <f ca="1">tertiair!F16</f>
        <v>7435.5516751636987</v>
      </c>
      <c r="G5" s="441">
        <f>tertiair!G16</f>
        <v>0</v>
      </c>
      <c r="H5" s="441">
        <f>tertiair!H16</f>
        <v>0</v>
      </c>
      <c r="I5" s="441">
        <f>tertiair!I16</f>
        <v>0</v>
      </c>
      <c r="J5" s="441">
        <f>tertiair!J16</f>
        <v>5.7021123467371718E-2</v>
      </c>
      <c r="K5" s="441">
        <f>tertiair!K16</f>
        <v>0</v>
      </c>
      <c r="L5" s="441">
        <f ca="1">tertiair!L16</f>
        <v>0</v>
      </c>
      <c r="M5" s="441">
        <f>tertiair!M16</f>
        <v>0</v>
      </c>
      <c r="N5" s="441">
        <f ca="1">tertiair!N16</f>
        <v>2032.8487652756592</v>
      </c>
      <c r="O5" s="441">
        <f>tertiair!O16</f>
        <v>17.196666666666669</v>
      </c>
      <c r="P5" s="442">
        <f>tertiair!P16</f>
        <v>190.66666666666669</v>
      </c>
      <c r="Q5" s="440">
        <f t="shared" ref="Q5:Q14" ca="1" si="0">SUM(B5:P5)</f>
        <v>80329.83111317092</v>
      </c>
    </row>
    <row r="6" spans="1:17">
      <c r="A6" s="440" t="s">
        <v>187</v>
      </c>
      <c r="B6" s="441">
        <f>'openbare verlichting'!B8</f>
        <v>2678.5309999999999</v>
      </c>
      <c r="C6" s="441"/>
      <c r="D6" s="441"/>
      <c r="E6" s="441"/>
      <c r="F6" s="441"/>
      <c r="G6" s="441"/>
      <c r="H6" s="441"/>
      <c r="I6" s="441"/>
      <c r="J6" s="441"/>
      <c r="K6" s="441"/>
      <c r="L6" s="441"/>
      <c r="M6" s="441"/>
      <c r="N6" s="441"/>
      <c r="O6" s="441"/>
      <c r="P6" s="442"/>
      <c r="Q6" s="440">
        <f t="shared" si="0"/>
        <v>2678.5309999999999</v>
      </c>
    </row>
    <row r="7" spans="1:17">
      <c r="A7" s="440" t="s">
        <v>105</v>
      </c>
      <c r="B7" s="441">
        <f>landbouw!B8</f>
        <v>8519.8051134500001</v>
      </c>
      <c r="C7" s="441">
        <f>landbouw!C8</f>
        <v>21887.357142857141</v>
      </c>
      <c r="D7" s="441">
        <f>landbouw!D8</f>
        <v>479.79299364299368</v>
      </c>
      <c r="E7" s="441">
        <f>landbouw!E8</f>
        <v>168.78466639240446</v>
      </c>
      <c r="F7" s="441">
        <f>landbouw!F8</f>
        <v>31069.326308244988</v>
      </c>
      <c r="G7" s="441">
        <f>landbouw!G8</f>
        <v>0</v>
      </c>
      <c r="H7" s="441">
        <f>landbouw!H8</f>
        <v>0</v>
      </c>
      <c r="I7" s="441">
        <f>landbouw!I8</f>
        <v>0</v>
      </c>
      <c r="J7" s="441">
        <f>landbouw!J8</f>
        <v>2022.944989117108</v>
      </c>
      <c r="K7" s="441">
        <f>landbouw!K8</f>
        <v>0</v>
      </c>
      <c r="L7" s="441">
        <f>landbouw!L8</f>
        <v>0</v>
      </c>
      <c r="M7" s="441">
        <f>landbouw!M8</f>
        <v>0</v>
      </c>
      <c r="N7" s="441">
        <f>landbouw!N8</f>
        <v>0</v>
      </c>
      <c r="O7" s="441">
        <f>landbouw!O8</f>
        <v>0</v>
      </c>
      <c r="P7" s="442">
        <f>landbouw!P8</f>
        <v>0</v>
      </c>
      <c r="Q7" s="440">
        <f t="shared" si="0"/>
        <v>64148.011213704638</v>
      </c>
    </row>
    <row r="8" spans="1:17">
      <c r="A8" s="440" t="s">
        <v>600</v>
      </c>
      <c r="B8" s="441">
        <f>industrie!B18</f>
        <v>89462.145068858008</v>
      </c>
      <c r="C8" s="441">
        <f>industrie!C18</f>
        <v>0</v>
      </c>
      <c r="D8" s="441">
        <f>industrie!D18</f>
        <v>192093.13677726552</v>
      </c>
      <c r="E8" s="441">
        <f>industrie!E18</f>
        <v>3023.1841168427495</v>
      </c>
      <c r="F8" s="441">
        <f>industrie!F18</f>
        <v>20465.053122439956</v>
      </c>
      <c r="G8" s="441">
        <f>industrie!G18</f>
        <v>0</v>
      </c>
      <c r="H8" s="441">
        <f>industrie!H18</f>
        <v>0</v>
      </c>
      <c r="I8" s="441">
        <f>industrie!I18</f>
        <v>0</v>
      </c>
      <c r="J8" s="441">
        <f>industrie!J18</f>
        <v>820.31138425995937</v>
      </c>
      <c r="K8" s="441">
        <f>industrie!K18</f>
        <v>0</v>
      </c>
      <c r="L8" s="441">
        <f>industrie!L18</f>
        <v>0</v>
      </c>
      <c r="M8" s="441">
        <f>industrie!M18</f>
        <v>0</v>
      </c>
      <c r="N8" s="441">
        <f>industrie!N18</f>
        <v>28266.415557368324</v>
      </c>
      <c r="O8" s="441">
        <f>industrie!O18</f>
        <v>0</v>
      </c>
      <c r="P8" s="442">
        <f>industrie!P18</f>
        <v>0</v>
      </c>
      <c r="Q8" s="440">
        <f t="shared" si="0"/>
        <v>334130.24602703447</v>
      </c>
    </row>
    <row r="9" spans="1:17" s="446" customFormat="1">
      <c r="A9" s="444" t="s">
        <v>549</v>
      </c>
      <c r="B9" s="445">
        <f>transport!B14</f>
        <v>146.69859151149549</v>
      </c>
      <c r="C9" s="445">
        <f>transport!C14</f>
        <v>0</v>
      </c>
      <c r="D9" s="445">
        <f>transport!D14</f>
        <v>210.39651213522757</v>
      </c>
      <c r="E9" s="445">
        <f>transport!E14</f>
        <v>1091.7012777340954</v>
      </c>
      <c r="F9" s="445">
        <f>transport!F14</f>
        <v>0</v>
      </c>
      <c r="G9" s="445">
        <f>transport!G14</f>
        <v>485082.3539987416</v>
      </c>
      <c r="H9" s="445">
        <f>transport!H14</f>
        <v>75142.281774398623</v>
      </c>
      <c r="I9" s="445">
        <f>transport!I14</f>
        <v>0</v>
      </c>
      <c r="J9" s="445">
        <f>transport!J14</f>
        <v>0</v>
      </c>
      <c r="K9" s="445">
        <f>transport!K14</f>
        <v>0</v>
      </c>
      <c r="L9" s="445">
        <f>transport!L14</f>
        <v>0</v>
      </c>
      <c r="M9" s="445">
        <f>transport!M14</f>
        <v>17512.634498476225</v>
      </c>
      <c r="N9" s="445">
        <f>transport!N14</f>
        <v>0</v>
      </c>
      <c r="O9" s="445">
        <f>transport!O14</f>
        <v>0</v>
      </c>
      <c r="P9" s="445">
        <f>transport!P14</f>
        <v>0</v>
      </c>
      <c r="Q9" s="444">
        <f>SUM(B9:P9)</f>
        <v>579186.06665299716</v>
      </c>
    </row>
    <row r="10" spans="1:17">
      <c r="A10" s="440" t="s">
        <v>539</v>
      </c>
      <c r="B10" s="441">
        <f>transport!B54</f>
        <v>6.6612468910505518</v>
      </c>
      <c r="C10" s="441">
        <f>transport!C54</f>
        <v>0</v>
      </c>
      <c r="D10" s="441">
        <f>transport!D54</f>
        <v>0</v>
      </c>
      <c r="E10" s="441">
        <f>transport!E54</f>
        <v>0</v>
      </c>
      <c r="F10" s="441">
        <f>transport!F54</f>
        <v>0</v>
      </c>
      <c r="G10" s="441">
        <f>transport!G54</f>
        <v>1187.714423417591</v>
      </c>
      <c r="H10" s="441">
        <f>transport!H54</f>
        <v>0</v>
      </c>
      <c r="I10" s="441">
        <f>transport!I54</f>
        <v>0</v>
      </c>
      <c r="J10" s="441">
        <f>transport!J54</f>
        <v>0</v>
      </c>
      <c r="K10" s="441">
        <f>transport!K54</f>
        <v>0</v>
      </c>
      <c r="L10" s="441">
        <f>transport!L54</f>
        <v>0</v>
      </c>
      <c r="M10" s="441">
        <f>transport!M54</f>
        <v>37.075842340447551</v>
      </c>
      <c r="N10" s="441">
        <f>transport!N54</f>
        <v>0</v>
      </c>
      <c r="O10" s="441">
        <f>transport!O54</f>
        <v>0</v>
      </c>
      <c r="P10" s="442">
        <f>transport!P54</f>
        <v>0</v>
      </c>
      <c r="Q10" s="440">
        <f t="shared" si="0"/>
        <v>1231.451512649089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1881.0494819899998</v>
      </c>
      <c r="C14" s="448"/>
      <c r="D14" s="448">
        <f>'SEAP template'!E25</f>
        <v>2037.1686842999998</v>
      </c>
      <c r="E14" s="448"/>
      <c r="F14" s="448"/>
      <c r="G14" s="448"/>
      <c r="H14" s="448"/>
      <c r="I14" s="448"/>
      <c r="J14" s="448"/>
      <c r="K14" s="448"/>
      <c r="L14" s="448"/>
      <c r="M14" s="448"/>
      <c r="N14" s="448"/>
      <c r="O14" s="448"/>
      <c r="P14" s="449"/>
      <c r="Q14" s="440">
        <f t="shared" si="0"/>
        <v>3918.2181662899993</v>
      </c>
    </row>
    <row r="15" spans="1:17" s="450" customFormat="1">
      <c r="A15" s="956" t="s">
        <v>543</v>
      </c>
      <c r="B15" s="896">
        <f ca="1">SUM(B4:B14)</f>
        <v>193728.26340121668</v>
      </c>
      <c r="C15" s="896">
        <f t="shared" ref="C15:Q15" ca="1" si="1">SUM(C4:C14)</f>
        <v>21897</v>
      </c>
      <c r="D15" s="896">
        <f t="shared" ca="1" si="1"/>
        <v>298829.43786999746</v>
      </c>
      <c r="E15" s="896">
        <f t="shared" si="1"/>
        <v>8361.0314436064673</v>
      </c>
      <c r="F15" s="896">
        <f t="shared" ca="1" si="1"/>
        <v>154357.59720866743</v>
      </c>
      <c r="G15" s="896">
        <f t="shared" si="1"/>
        <v>486270.06842215918</v>
      </c>
      <c r="H15" s="896">
        <f t="shared" si="1"/>
        <v>75142.281774398623</v>
      </c>
      <c r="I15" s="896">
        <f t="shared" si="1"/>
        <v>0</v>
      </c>
      <c r="J15" s="896">
        <f t="shared" si="1"/>
        <v>4602.4323317054323</v>
      </c>
      <c r="K15" s="896">
        <f t="shared" si="1"/>
        <v>0</v>
      </c>
      <c r="L15" s="896">
        <f t="shared" ca="1" si="1"/>
        <v>0</v>
      </c>
      <c r="M15" s="896">
        <f t="shared" si="1"/>
        <v>17549.710340816673</v>
      </c>
      <c r="N15" s="896">
        <f t="shared" ca="1" si="1"/>
        <v>46467.349358422594</v>
      </c>
      <c r="O15" s="896">
        <f t="shared" si="1"/>
        <v>676.9233333333334</v>
      </c>
      <c r="P15" s="896">
        <f t="shared" si="1"/>
        <v>2307.0666666666666</v>
      </c>
      <c r="Q15" s="896">
        <f t="shared" ca="1" si="1"/>
        <v>1310189.1621509907</v>
      </c>
    </row>
    <row r="17" spans="1:17">
      <c r="A17" s="451" t="s">
        <v>544</v>
      </c>
      <c r="B17" s="714">
        <f ca="1">huishoudens!B10</f>
        <v>0.19236971165336056</v>
      </c>
      <c r="C17" s="714">
        <f ca="1">huishoudens!C10</f>
        <v>3.9524120375647183E-2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11056.864083930661</v>
      </c>
      <c r="C22" s="441">
        <f t="shared" ref="C22:C32" ca="1" si="3">C4*$C$17</f>
        <v>0</v>
      </c>
      <c r="D22" s="441">
        <f t="shared" ref="D22:D32" si="4">D4*$D$17</f>
        <v>13633.022062889857</v>
      </c>
      <c r="E22" s="441">
        <f t="shared" ref="E22:E32" si="5">E4*$E$17</f>
        <v>796.41694043573341</v>
      </c>
      <c r="F22" s="441">
        <f t="shared" ref="F22:F32" si="6">F4*$F$17</f>
        <v>25468.50684945262</v>
      </c>
      <c r="G22" s="441">
        <f t="shared" ref="G22:G32" si="7">G4*$G$17</f>
        <v>0</v>
      </c>
      <c r="H22" s="441">
        <f t="shared" ref="H22:H32" si="8">H4*$H$17</f>
        <v>0</v>
      </c>
      <c r="I22" s="441">
        <f t="shared" ref="I22:I32" si="9">I4*$I$17</f>
        <v>0</v>
      </c>
      <c r="J22" s="441">
        <f t="shared" ref="J22:J32" si="10">J4*$J$17</f>
        <v>622.72810377053372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51577.538040479405</v>
      </c>
    </row>
    <row r="23" spans="1:17">
      <c r="A23" s="440" t="s">
        <v>149</v>
      </c>
      <c r="B23" s="441">
        <f t="shared" ca="1" si="2"/>
        <v>6455.1996113897367</v>
      </c>
      <c r="C23" s="441">
        <f t="shared" ca="1" si="3"/>
        <v>0.38112544647945495</v>
      </c>
      <c r="D23" s="441">
        <f t="shared" ca="1" si="4"/>
        <v>7376.7844034461978</v>
      </c>
      <c r="E23" s="441">
        <f t="shared" si="5"/>
        <v>129.14409342291495</v>
      </c>
      <c r="F23" s="441">
        <f t="shared" ca="1" si="6"/>
        <v>1985.2922972687077</v>
      </c>
      <c r="G23" s="441">
        <f t="shared" si="7"/>
        <v>0</v>
      </c>
      <c r="H23" s="441">
        <f t="shared" si="8"/>
        <v>0</v>
      </c>
      <c r="I23" s="441">
        <f t="shared" si="9"/>
        <v>0</v>
      </c>
      <c r="J23" s="441">
        <f t="shared" si="10"/>
        <v>2.0185477707449585E-2</v>
      </c>
      <c r="K23" s="441">
        <f t="shared" si="11"/>
        <v>0</v>
      </c>
      <c r="L23" s="441">
        <f t="shared" ca="1" si="12"/>
        <v>0</v>
      </c>
      <c r="M23" s="441">
        <f t="shared" si="13"/>
        <v>0</v>
      </c>
      <c r="N23" s="441">
        <f t="shared" ca="1" si="14"/>
        <v>0</v>
      </c>
      <c r="O23" s="441">
        <f t="shared" si="15"/>
        <v>0</v>
      </c>
      <c r="P23" s="442">
        <f t="shared" si="16"/>
        <v>0</v>
      </c>
      <c r="Q23" s="440">
        <f t="shared" ref="Q23:Q32" ca="1" si="17">SUM(B23:P23)</f>
        <v>15946.821716451746</v>
      </c>
    </row>
    <row r="24" spans="1:17">
      <c r="A24" s="440" t="s">
        <v>187</v>
      </c>
      <c r="B24" s="441">
        <f t="shared" ca="1" si="2"/>
        <v>515.26823612458747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515.26823612458747</v>
      </c>
    </row>
    <row r="25" spans="1:17">
      <c r="A25" s="440" t="s">
        <v>105</v>
      </c>
      <c r="B25" s="441">
        <f t="shared" ca="1" si="2"/>
        <v>1638.9524530172034</v>
      </c>
      <c r="C25" s="441">
        <f t="shared" ca="1" si="3"/>
        <v>865.07853841906683</v>
      </c>
      <c r="D25" s="441">
        <f t="shared" si="4"/>
        <v>96.918184715884735</v>
      </c>
      <c r="E25" s="441">
        <f t="shared" si="5"/>
        <v>38.314119271075811</v>
      </c>
      <c r="F25" s="441">
        <f t="shared" si="6"/>
        <v>8295.5101243014124</v>
      </c>
      <c r="G25" s="441">
        <f t="shared" si="7"/>
        <v>0</v>
      </c>
      <c r="H25" s="441">
        <f t="shared" si="8"/>
        <v>0</v>
      </c>
      <c r="I25" s="441">
        <f t="shared" si="9"/>
        <v>0</v>
      </c>
      <c r="J25" s="441">
        <f t="shared" si="10"/>
        <v>716.12252614745614</v>
      </c>
      <c r="K25" s="441">
        <f t="shared" si="11"/>
        <v>0</v>
      </c>
      <c r="L25" s="441">
        <f t="shared" si="12"/>
        <v>0</v>
      </c>
      <c r="M25" s="441">
        <f t="shared" si="13"/>
        <v>0</v>
      </c>
      <c r="N25" s="441">
        <f t="shared" si="14"/>
        <v>0</v>
      </c>
      <c r="O25" s="441">
        <f t="shared" si="15"/>
        <v>0</v>
      </c>
      <c r="P25" s="442">
        <f t="shared" si="16"/>
        <v>0</v>
      </c>
      <c r="Q25" s="440">
        <f t="shared" ca="1" si="17"/>
        <v>11650.895945872098</v>
      </c>
    </row>
    <row r="26" spans="1:17">
      <c r="A26" s="440" t="s">
        <v>600</v>
      </c>
      <c r="B26" s="441">
        <f t="shared" ca="1" si="2"/>
        <v>17209.807050787327</v>
      </c>
      <c r="C26" s="441">
        <f t="shared" ca="1" si="3"/>
        <v>0</v>
      </c>
      <c r="D26" s="441">
        <f t="shared" si="4"/>
        <v>38802.813629007636</v>
      </c>
      <c r="E26" s="441">
        <f t="shared" si="5"/>
        <v>686.26279452330414</v>
      </c>
      <c r="F26" s="441">
        <f t="shared" si="6"/>
        <v>5464.1691836914688</v>
      </c>
      <c r="G26" s="441">
        <f t="shared" si="7"/>
        <v>0</v>
      </c>
      <c r="H26" s="441">
        <f t="shared" si="8"/>
        <v>0</v>
      </c>
      <c r="I26" s="441">
        <f t="shared" si="9"/>
        <v>0</v>
      </c>
      <c r="J26" s="441">
        <f t="shared" si="10"/>
        <v>290.3902300280256</v>
      </c>
      <c r="K26" s="441">
        <f t="shared" si="11"/>
        <v>0</v>
      </c>
      <c r="L26" s="441">
        <f t="shared" si="12"/>
        <v>0</v>
      </c>
      <c r="M26" s="441">
        <f t="shared" si="13"/>
        <v>0</v>
      </c>
      <c r="N26" s="441">
        <f t="shared" si="14"/>
        <v>0</v>
      </c>
      <c r="O26" s="441">
        <f t="shared" si="15"/>
        <v>0</v>
      </c>
      <c r="P26" s="442">
        <f t="shared" si="16"/>
        <v>0</v>
      </c>
      <c r="Q26" s="440">
        <f t="shared" ca="1" si="17"/>
        <v>62453.44288803776</v>
      </c>
    </row>
    <row r="27" spans="1:17" s="446" customFormat="1">
      <c r="A27" s="444" t="s">
        <v>549</v>
      </c>
      <c r="B27" s="708">
        <f t="shared" ca="1" si="2"/>
        <v>28.220365749020516</v>
      </c>
      <c r="C27" s="445">
        <f t="shared" ca="1" si="3"/>
        <v>0</v>
      </c>
      <c r="D27" s="445">
        <f t="shared" si="4"/>
        <v>42.500095451315971</v>
      </c>
      <c r="E27" s="445">
        <f t="shared" si="5"/>
        <v>247.81619004563964</v>
      </c>
      <c r="F27" s="445">
        <f t="shared" si="6"/>
        <v>0</v>
      </c>
      <c r="G27" s="445">
        <f t="shared" si="7"/>
        <v>129516.98851766401</v>
      </c>
      <c r="H27" s="445">
        <f t="shared" si="8"/>
        <v>18710.428161825257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148545.95333073524</v>
      </c>
    </row>
    <row r="28" spans="1:17">
      <c r="A28" s="440" t="s">
        <v>539</v>
      </c>
      <c r="B28" s="441">
        <f t="shared" ca="1" si="2"/>
        <v>1.2814221436832391</v>
      </c>
      <c r="C28" s="441">
        <f t="shared" ca="1" si="3"/>
        <v>0</v>
      </c>
      <c r="D28" s="441">
        <f t="shared" si="4"/>
        <v>0</v>
      </c>
      <c r="E28" s="441">
        <f t="shared" si="5"/>
        <v>0</v>
      </c>
      <c r="F28" s="441">
        <f t="shared" si="6"/>
        <v>0</v>
      </c>
      <c r="G28" s="441">
        <f t="shared" si="7"/>
        <v>317.11975105249678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318.40117319618003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361.85694645611949</v>
      </c>
      <c r="C32" s="441">
        <f t="shared" ca="1" si="3"/>
        <v>0</v>
      </c>
      <c r="D32" s="441">
        <f t="shared" si="4"/>
        <v>411.50807422859998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773.36502068471941</v>
      </c>
    </row>
    <row r="33" spans="1:17" s="450" customFormat="1">
      <c r="A33" s="956" t="s">
        <v>543</v>
      </c>
      <c r="B33" s="896">
        <f ca="1">SUM(B22:B32)</f>
        <v>37267.450169598342</v>
      </c>
      <c r="C33" s="896">
        <f t="shared" ref="C33:Q33" ca="1" si="18">SUM(C22:C32)</f>
        <v>865.4596638655463</v>
      </c>
      <c r="D33" s="896">
        <f t="shared" ca="1" si="18"/>
        <v>60363.546449739493</v>
      </c>
      <c r="E33" s="896">
        <f t="shared" si="18"/>
        <v>1897.9541376986679</v>
      </c>
      <c r="F33" s="896">
        <f t="shared" ca="1" si="18"/>
        <v>41213.478454714212</v>
      </c>
      <c r="G33" s="896">
        <f t="shared" si="18"/>
        <v>129834.1082687165</v>
      </c>
      <c r="H33" s="896">
        <f t="shared" si="18"/>
        <v>18710.428161825257</v>
      </c>
      <c r="I33" s="896">
        <f t="shared" si="18"/>
        <v>0</v>
      </c>
      <c r="J33" s="896">
        <f t="shared" si="18"/>
        <v>1629.2610454237229</v>
      </c>
      <c r="K33" s="896">
        <f t="shared" si="18"/>
        <v>0</v>
      </c>
      <c r="L33" s="896">
        <f t="shared" ca="1" si="18"/>
        <v>0</v>
      </c>
      <c r="M33" s="896">
        <f t="shared" si="18"/>
        <v>0</v>
      </c>
      <c r="N33" s="896">
        <f t="shared" ca="1" si="18"/>
        <v>0</v>
      </c>
      <c r="O33" s="896">
        <f t="shared" si="18"/>
        <v>0</v>
      </c>
      <c r="P33" s="896">
        <f t="shared" si="18"/>
        <v>0</v>
      </c>
      <c r="Q33" s="896">
        <f t="shared" ca="1" si="18"/>
        <v>291781.68635158177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12510.6421121106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12778.650000000001</v>
      </c>
      <c r="C8" s="973">
        <f>'SEAP template'!C76</f>
        <v>2549.25</v>
      </c>
      <c r="D8" s="973">
        <f>'SEAP template'!D76</f>
        <v>2999.1176470588234</v>
      </c>
      <c r="E8" s="973">
        <f>'SEAP template'!E76</f>
        <v>0</v>
      </c>
      <c r="F8" s="973">
        <f>'SEAP template'!F76</f>
        <v>0</v>
      </c>
      <c r="G8" s="973">
        <f>'SEAP template'!G76</f>
        <v>0</v>
      </c>
      <c r="H8" s="973">
        <f>'SEAP template'!H76</f>
        <v>0</v>
      </c>
      <c r="I8" s="973">
        <f>'SEAP template'!I76</f>
        <v>0</v>
      </c>
      <c r="J8" s="973">
        <f>'SEAP template'!J76</f>
        <v>15033.705882352941</v>
      </c>
      <c r="K8" s="973">
        <f>'SEAP template'!K76</f>
        <v>0</v>
      </c>
      <c r="L8" s="973">
        <f>'SEAP template'!L76</f>
        <v>0</v>
      </c>
      <c r="M8" s="973">
        <f>'SEAP template'!M76</f>
        <v>0</v>
      </c>
      <c r="N8" s="973">
        <f>'SEAP template'!N76</f>
        <v>0</v>
      </c>
      <c r="O8" s="973">
        <f>'SEAP template'!O76</f>
        <v>0</v>
      </c>
      <c r="P8" s="974">
        <f>'SEAP template'!Q76</f>
        <v>605.8217647058824</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25289.292112110601</v>
      </c>
      <c r="C10" s="977">
        <f>SUM(C4:C9)</f>
        <v>2549.25</v>
      </c>
      <c r="D10" s="977">
        <f t="shared" ref="D10:H10" si="0">SUM(D8:D9)</f>
        <v>2999.1176470588234</v>
      </c>
      <c r="E10" s="977">
        <f t="shared" si="0"/>
        <v>0</v>
      </c>
      <c r="F10" s="977">
        <f t="shared" si="0"/>
        <v>0</v>
      </c>
      <c r="G10" s="977">
        <f t="shared" si="0"/>
        <v>0</v>
      </c>
      <c r="H10" s="977">
        <f t="shared" si="0"/>
        <v>0</v>
      </c>
      <c r="I10" s="977">
        <f>SUM(I8:I9)</f>
        <v>0</v>
      </c>
      <c r="J10" s="977">
        <f>SUM(J8:J9)</f>
        <v>15033.705882352941</v>
      </c>
      <c r="K10" s="977">
        <f t="shared" ref="K10:L10" si="1">SUM(K8:K9)</f>
        <v>0</v>
      </c>
      <c r="L10" s="977">
        <f t="shared" si="1"/>
        <v>0</v>
      </c>
      <c r="M10" s="977">
        <f>SUM(M8:M9)</f>
        <v>0</v>
      </c>
      <c r="N10" s="977">
        <f>SUM(N8:N9)</f>
        <v>0</v>
      </c>
      <c r="O10" s="977">
        <f>SUM(O8:O9)</f>
        <v>0</v>
      </c>
      <c r="P10" s="977">
        <f>SUM(P8:P9)</f>
        <v>605.8217647058824</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0.19236971165336056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18255.214285714286</v>
      </c>
      <c r="C17" s="979">
        <f>'SEAP template'!C87</f>
        <v>3641.7857142857138</v>
      </c>
      <c r="D17" s="974">
        <f>'SEAP template'!D87</f>
        <v>4284.453781512605</v>
      </c>
      <c r="E17" s="974">
        <f>'SEAP template'!E87</f>
        <v>0</v>
      </c>
      <c r="F17" s="974">
        <f>'SEAP template'!F87</f>
        <v>0</v>
      </c>
      <c r="G17" s="974">
        <f>'SEAP template'!G87</f>
        <v>0</v>
      </c>
      <c r="H17" s="974">
        <f>'SEAP template'!H87</f>
        <v>0</v>
      </c>
      <c r="I17" s="974">
        <f>'SEAP template'!I87</f>
        <v>0</v>
      </c>
      <c r="J17" s="974">
        <f>'SEAP template'!J87</f>
        <v>21476.722689075632</v>
      </c>
      <c r="K17" s="974">
        <f>'SEAP template'!K87</f>
        <v>0</v>
      </c>
      <c r="L17" s="974">
        <f>'SEAP template'!L87</f>
        <v>0</v>
      </c>
      <c r="M17" s="974">
        <f>'SEAP template'!M87</f>
        <v>0</v>
      </c>
      <c r="N17" s="974">
        <f>'SEAP template'!N87</f>
        <v>0</v>
      </c>
      <c r="O17" s="974">
        <f>'SEAP template'!O87</f>
        <v>0</v>
      </c>
      <c r="P17" s="974">
        <f>'SEAP template'!Q87</f>
        <v>865.4596638655463</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18255.214285714286</v>
      </c>
      <c r="C20" s="977">
        <f>SUM(C17:C19)</f>
        <v>3641.7857142857138</v>
      </c>
      <c r="D20" s="977">
        <f t="shared" ref="D20:H20" si="2">SUM(D17:D19)</f>
        <v>4284.453781512605</v>
      </c>
      <c r="E20" s="977">
        <f t="shared" si="2"/>
        <v>0</v>
      </c>
      <c r="F20" s="977">
        <f t="shared" si="2"/>
        <v>0</v>
      </c>
      <c r="G20" s="977">
        <f t="shared" si="2"/>
        <v>0</v>
      </c>
      <c r="H20" s="977">
        <f t="shared" si="2"/>
        <v>0</v>
      </c>
      <c r="I20" s="977">
        <f>SUM(I17:I19)</f>
        <v>0</v>
      </c>
      <c r="J20" s="977">
        <f>SUM(J17:J19)</f>
        <v>21476.722689075632</v>
      </c>
      <c r="K20" s="977">
        <f t="shared" ref="K20:L20" si="3">SUM(K17:K19)</f>
        <v>0</v>
      </c>
      <c r="L20" s="977">
        <f t="shared" si="3"/>
        <v>0</v>
      </c>
      <c r="M20" s="977">
        <f>SUM(M17:M19)</f>
        <v>0</v>
      </c>
      <c r="N20" s="977">
        <f>SUM(N17:N19)</f>
        <v>0</v>
      </c>
      <c r="O20" s="977">
        <f>SUM(O17:O19)</f>
        <v>0</v>
      </c>
      <c r="P20" s="977">
        <f>SUM(P17:P19)</f>
        <v>865.4596638655463</v>
      </c>
    </row>
    <row r="22" spans="1:16">
      <c r="A22" s="451" t="s">
        <v>811</v>
      </c>
      <c r="B22" s="714" t="s">
        <v>805</v>
      </c>
      <c r="C22" s="714">
        <f ca="1">'EF ele_warmte'!B22</f>
        <v>3.9524120375647183E-2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0.19236971165336056</v>
      </c>
      <c r="C17" s="488">
        <f ca="1">'EF ele_warmte'!B22</f>
        <v>3.9524120375647183E-2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2022-07-26T11:22:06Z</dcterms:modified>
</cp:coreProperties>
</file>