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20\"/>
    </mc:Choice>
  </mc:AlternateContent>
  <xr:revisionPtr revIDLastSave="0" documentId="8_{D86FD3A0-EC8E-439F-85ED-DF24F4B08C7E}" xr6:coauthVersionLast="47" xr6:coauthVersionMax="47"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20" sheetId="48" r:id="rId4"/>
    <sheet name="betrouwbaarheid inventaris" sheetId="58" r:id="rId5"/>
    <sheet name="Lokale energieproductie 2020"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5" i="18" l="1"/>
  <c r="X36" i="18"/>
  <c r="X37" i="18"/>
  <c r="X38" i="18"/>
  <c r="X39" i="18"/>
  <c r="X29" i="18"/>
  <c r="X32" i="18"/>
  <c r="E6" i="17" s="1"/>
  <c r="X31" i="18"/>
  <c r="E13" i="15" s="1"/>
  <c r="X30" i="18"/>
  <c r="E16" i="16" s="1"/>
  <c r="AC25" i="5"/>
  <c r="B31" i="13"/>
  <c r="W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O5" i="15" s="1"/>
  <c r="O16" i="15" s="1"/>
  <c r="P10" i="14" s="1"/>
  <c r="D5" i="17"/>
  <c r="D15" i="16"/>
  <c r="D14" i="16"/>
  <c r="D13" i="16"/>
  <c r="D12" i="16"/>
  <c r="D11" i="16"/>
  <c r="D10" i="16"/>
  <c r="D9" i="16"/>
  <c r="D5" i="16" s="1"/>
  <c r="D8" i="16"/>
  <c r="D7" i="16"/>
  <c r="D6" i="16"/>
  <c r="D12" i="15"/>
  <c r="D11" i="15"/>
  <c r="D10" i="15"/>
  <c r="D9" i="15"/>
  <c r="D8" i="15"/>
  <c r="D5" i="15" s="1"/>
  <c r="D7" i="15"/>
  <c r="D6" i="15"/>
  <c r="D5" i="13"/>
  <c r="E78" i="22"/>
  <c r="E42" i="22"/>
  <c r="Y25" i="5"/>
  <c r="X25" i="5"/>
  <c r="V25" i="5"/>
  <c r="T25" i="5"/>
  <c r="U25" i="5"/>
  <c r="S25" i="5"/>
  <c r="R25" i="5"/>
  <c r="H25" i="5"/>
  <c r="I25" i="5"/>
  <c r="J25" i="5"/>
  <c r="K25" i="5"/>
  <c r="L25" i="5"/>
  <c r="M25" i="5"/>
  <c r="N25" i="5"/>
  <c r="O25" i="5"/>
  <c r="P25" i="5"/>
  <c r="Q25" i="5"/>
  <c r="G25" i="5"/>
  <c r="F25" i="5"/>
  <c r="D25" i="5"/>
  <c r="E25" i="5"/>
  <c r="C25" i="5"/>
  <c r="P5" i="59"/>
  <c r="P6" i="59"/>
  <c r="P7" i="59"/>
  <c r="P4" i="59"/>
  <c r="M30" i="18"/>
  <c r="E25" i="14"/>
  <c r="E55" i="14" s="1"/>
  <c r="C25" i="14"/>
  <c r="B14" i="48"/>
  <c r="R25" i="14"/>
  <c r="B5" i="17"/>
  <c r="N18" i="18"/>
  <c r="L88" i="14" s="1"/>
  <c r="M18" i="18"/>
  <c r="K88" i="14" s="1"/>
  <c r="K89" i="14"/>
  <c r="K19" i="59"/>
  <c r="L89" i="14"/>
  <c r="L19" i="59" s="1"/>
  <c r="L87" i="14"/>
  <c r="L17" i="59"/>
  <c r="K87" i="14"/>
  <c r="K17" i="59" s="1"/>
  <c r="K77" i="14"/>
  <c r="K9" i="59"/>
  <c r="L77" i="14"/>
  <c r="L9" i="59" s="1"/>
  <c r="L76" i="14"/>
  <c r="L78" i="14" s="1"/>
  <c r="K76" i="14"/>
  <c r="B75" i="14"/>
  <c r="B7" i="59"/>
  <c r="L8" i="59"/>
  <c r="L10" i="59"/>
  <c r="B26" i="17"/>
  <c r="H14" i="15"/>
  <c r="H16" i="15"/>
  <c r="G14" i="15"/>
  <c r="G16" i="15"/>
  <c r="B6" i="6"/>
  <c r="A31" i="23"/>
  <c r="A32" i="23"/>
  <c r="A33" i="23"/>
  <c r="A6" i="23"/>
  <c r="A5" i="23"/>
  <c r="A2" i="23"/>
  <c r="A3" i="23"/>
  <c r="A4" i="23"/>
  <c r="D10" i="22"/>
  <c r="A7" i="23"/>
  <c r="A8" i="23"/>
  <c r="A9" i="23"/>
  <c r="A10" i="23"/>
  <c r="A11" i="23"/>
  <c r="A12" i="23"/>
  <c r="A13" i="23"/>
  <c r="A14" i="23"/>
  <c r="A15" i="23"/>
  <c r="A16" i="23"/>
  <c r="A17" i="23"/>
  <c r="A18" i="23"/>
  <c r="A19" i="23"/>
  <c r="A20" i="23"/>
  <c r="A21" i="23"/>
  <c r="A22" i="23"/>
  <c r="A23" i="23"/>
  <c r="A24" i="23"/>
  <c r="A25" i="23"/>
  <c r="A26" i="23"/>
  <c r="A27" i="23"/>
  <c r="A28" i="23"/>
  <c r="A29" i="23"/>
  <c r="A30" i="23"/>
  <c r="B51" i="22"/>
  <c r="D6" i="22"/>
  <c r="D8" i="22"/>
  <c r="E7" i="22"/>
  <c r="E11" i="22"/>
  <c r="D9" i="22"/>
  <c r="E9" i="22"/>
  <c r="E8" i="22"/>
  <c r="E10" i="22"/>
  <c r="B11" i="22"/>
  <c r="B10" i="22"/>
  <c r="B9" i="22"/>
  <c r="E6" i="22"/>
  <c r="E5" i="22" s="1"/>
  <c r="B7" i="22"/>
  <c r="B6" i="22"/>
  <c r="D11" i="22"/>
  <c r="B8" i="22"/>
  <c r="B5" i="22" s="1"/>
  <c r="D7" i="22"/>
  <c r="B52" i="22"/>
  <c r="C37" i="22"/>
  <c r="C73" i="22"/>
  <c r="H9" i="22"/>
  <c r="H10" i="22"/>
  <c r="H8" i="22"/>
  <c r="H6" i="22"/>
  <c r="H11" i="22"/>
  <c r="H7" i="22"/>
  <c r="M15" i="19"/>
  <c r="M14" i="15"/>
  <c r="M16" i="15"/>
  <c r="O15" i="19"/>
  <c r="P15" i="19"/>
  <c r="B28" i="17"/>
  <c r="C28" i="17" s="1"/>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29" i="17" s="1"/>
  <c r="C29" i="17" s="1"/>
  <c r="B6" i="16"/>
  <c r="W39" i="18"/>
  <c r="V39" i="18"/>
  <c r="U39" i="18"/>
  <c r="T39" i="18"/>
  <c r="S39" i="18"/>
  <c r="R39" i="18"/>
  <c r="Q39" i="18"/>
  <c r="P39" i="18"/>
  <c r="O39" i="18"/>
  <c r="N39" i="18"/>
  <c r="M39" i="18"/>
  <c r="W38" i="18"/>
  <c r="V38" i="18"/>
  <c r="U38" i="18"/>
  <c r="T38" i="18"/>
  <c r="S38" i="18"/>
  <c r="R38" i="18"/>
  <c r="Q38" i="18"/>
  <c r="P38" i="18"/>
  <c r="D13" i="15" s="1"/>
  <c r="O38" i="18"/>
  <c r="C13" i="15" s="1"/>
  <c r="C16" i="15" s="1"/>
  <c r="N38" i="18"/>
  <c r="M38" i="18"/>
  <c r="W37" i="18"/>
  <c r="V37" i="18"/>
  <c r="U37" i="18"/>
  <c r="T37" i="18"/>
  <c r="S37" i="18"/>
  <c r="R37" i="18"/>
  <c r="Q37" i="18"/>
  <c r="P37" i="18"/>
  <c r="O37" i="18"/>
  <c r="C16" i="16" s="1"/>
  <c r="N37" i="18"/>
  <c r="M37" i="18"/>
  <c r="W36" i="18"/>
  <c r="V36" i="18"/>
  <c r="U36" i="18"/>
  <c r="T36" i="18"/>
  <c r="S36" i="18"/>
  <c r="R36" i="18"/>
  <c r="Q36" i="18"/>
  <c r="P36" i="18"/>
  <c r="O36" i="18"/>
  <c r="B19" i="18" s="1"/>
  <c r="N36" i="18"/>
  <c r="M36" i="18"/>
  <c r="W32" i="18"/>
  <c r="V32" i="18"/>
  <c r="N6" i="17" s="1"/>
  <c r="N5" i="17" s="1"/>
  <c r="U32" i="18"/>
  <c r="T32" i="18"/>
  <c r="S32" i="18"/>
  <c r="F6" i="17" s="1"/>
  <c r="F8" i="17" s="1"/>
  <c r="G24" i="14" s="1"/>
  <c r="G26" i="14" s="1"/>
  <c r="R32" i="18"/>
  <c r="Q32" i="18"/>
  <c r="P32" i="18"/>
  <c r="D6" i="17" s="1"/>
  <c r="D8" i="17" s="1"/>
  <c r="O32" i="18"/>
  <c r="N32" i="18"/>
  <c r="M32" i="18"/>
  <c r="W31" i="18"/>
  <c r="V31" i="18"/>
  <c r="U31" i="18"/>
  <c r="T31" i="18"/>
  <c r="S31" i="18"/>
  <c r="R31" i="18"/>
  <c r="Q31" i="18"/>
  <c r="P31" i="18"/>
  <c r="O31" i="18"/>
  <c r="N31" i="18"/>
  <c r="B13" i="15" s="1"/>
  <c r="M31" i="18"/>
  <c r="W30" i="18"/>
  <c r="V30" i="18"/>
  <c r="U30" i="18"/>
  <c r="T30" i="18"/>
  <c r="S30" i="18"/>
  <c r="F16" i="16"/>
  <c r="R30" i="18"/>
  <c r="Q30" i="18"/>
  <c r="P30" i="18"/>
  <c r="D16" i="16"/>
  <c r="O30" i="18"/>
  <c r="N30" i="18"/>
  <c r="W29" i="18"/>
  <c r="V29" i="18"/>
  <c r="U29" i="18"/>
  <c r="T29" i="18"/>
  <c r="S29" i="18"/>
  <c r="R29" i="18"/>
  <c r="Q29" i="18"/>
  <c r="P29" i="18"/>
  <c r="O29" i="18"/>
  <c r="B17" i="18"/>
  <c r="N29" i="18"/>
  <c r="B8" i="18" s="1"/>
  <c r="M29" i="18"/>
  <c r="K22" i="18"/>
  <c r="J22" i="18"/>
  <c r="I22" i="18"/>
  <c r="H22" i="18"/>
  <c r="G22" i="18"/>
  <c r="F22" i="18"/>
  <c r="E22" i="18"/>
  <c r="D22" i="18"/>
  <c r="C22" i="18"/>
  <c r="L19" i="18"/>
  <c r="O89" i="14" s="1"/>
  <c r="O19" i="59" s="1"/>
  <c r="K19" i="18"/>
  <c r="G19" i="18"/>
  <c r="H89" i="14" s="1"/>
  <c r="H19" i="59" s="1"/>
  <c r="F19" i="18"/>
  <c r="G89" i="14" s="1"/>
  <c r="G19" i="59" s="1"/>
  <c r="L18" i="18"/>
  <c r="O88" i="14"/>
  <c r="O18" i="59" s="1"/>
  <c r="K18" i="18"/>
  <c r="N88" i="14" s="1"/>
  <c r="N18" i="59" s="1"/>
  <c r="J18" i="18"/>
  <c r="J88" i="14" s="1"/>
  <c r="J18" i="59" s="1"/>
  <c r="I18" i="18"/>
  <c r="I88" i="14" s="1"/>
  <c r="I18" i="59" s="1"/>
  <c r="H18" i="18"/>
  <c r="M88" i="14"/>
  <c r="M18" i="59" s="1"/>
  <c r="G18" i="18"/>
  <c r="F18" i="18"/>
  <c r="G88" i="14"/>
  <c r="G18" i="59" s="1"/>
  <c r="G20" i="59" s="1"/>
  <c r="E18" i="18"/>
  <c r="D18" i="18"/>
  <c r="E88" i="14"/>
  <c r="E18" i="59" s="1"/>
  <c r="C18" i="18"/>
  <c r="B18" i="18"/>
  <c r="K12" i="18"/>
  <c r="J12" i="18"/>
  <c r="I12" i="18"/>
  <c r="H12" i="18"/>
  <c r="G12" i="18"/>
  <c r="F12" i="18"/>
  <c r="E12" i="18"/>
  <c r="D12" i="18"/>
  <c r="C12" i="18"/>
  <c r="L9" i="18"/>
  <c r="K9" i="18"/>
  <c r="G9" i="18"/>
  <c r="G10" i="18"/>
  <c r="F9" i="18"/>
  <c r="F10" i="18" s="1"/>
  <c r="B6" i="18"/>
  <c r="B5" i="18"/>
  <c r="B4" i="18"/>
  <c r="A78" i="22"/>
  <c r="A77" i="22"/>
  <c r="A76" i="22"/>
  <c r="A75" i="22"/>
  <c r="A74" i="22"/>
  <c r="B64" i="22"/>
  <c r="N56" i="22"/>
  <c r="M56" i="22"/>
  <c r="L56" i="22"/>
  <c r="K56" i="22"/>
  <c r="J56" i="22"/>
  <c r="I56" i="22"/>
  <c r="H56" i="22"/>
  <c r="G56" i="22"/>
  <c r="F56" i="22"/>
  <c r="E56" i="22"/>
  <c r="D56" i="22"/>
  <c r="B50" i="22"/>
  <c r="B54" i="22" s="1"/>
  <c r="C19" i="14" s="1"/>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7" i="17"/>
  <c r="C26" i="17"/>
  <c r="J5" i="17"/>
  <c r="N10" i="17"/>
  <c r="M10" i="17"/>
  <c r="M12" i="17"/>
  <c r="N54" i="14"/>
  <c r="N56" i="14"/>
  <c r="L10" i="17"/>
  <c r="K10" i="17"/>
  <c r="J10" i="17"/>
  <c r="I10" i="17"/>
  <c r="H10" i="17"/>
  <c r="G10" i="17"/>
  <c r="F10" i="17"/>
  <c r="E10" i="17"/>
  <c r="D10" i="17"/>
  <c r="C6" i="17"/>
  <c r="F5" i="17"/>
  <c r="C5" i="17"/>
  <c r="B8" i="17"/>
  <c r="C24" i="14" s="1"/>
  <c r="B51" i="16"/>
  <c r="P5" i="16"/>
  <c r="B45" i="16"/>
  <c r="B43" i="16"/>
  <c r="O5" i="16" s="1"/>
  <c r="B37" i="16"/>
  <c r="C37" i="16"/>
  <c r="F15" i="16" s="1"/>
  <c r="B36" i="16"/>
  <c r="C36" i="16" s="1"/>
  <c r="J14" i="16" s="1"/>
  <c r="B35" i="16"/>
  <c r="B34" i="16"/>
  <c r="B12" i="16" s="1"/>
  <c r="B33" i="16"/>
  <c r="C33" i="16" s="1"/>
  <c r="B32" i="16"/>
  <c r="C32" i="16"/>
  <c r="J10" i="16" s="1"/>
  <c r="B31" i="16"/>
  <c r="C31" i="16" s="1"/>
  <c r="N9" i="16" s="1"/>
  <c r="B30" i="16"/>
  <c r="C30" i="16"/>
  <c r="B29" i="16"/>
  <c r="C29" i="16" s="1"/>
  <c r="E7" i="16" s="1"/>
  <c r="N20" i="16"/>
  <c r="M20" i="16"/>
  <c r="M22" i="16"/>
  <c r="N43" i="14"/>
  <c r="L20" i="16"/>
  <c r="K20" i="16"/>
  <c r="J20" i="16"/>
  <c r="I20" i="16"/>
  <c r="H20" i="16"/>
  <c r="G20" i="16"/>
  <c r="F20" i="16"/>
  <c r="E20" i="16"/>
  <c r="D20" i="16"/>
  <c r="C5" i="16"/>
  <c r="B40" i="15"/>
  <c r="B32" i="15"/>
  <c r="C32" i="15"/>
  <c r="F12" i="15" s="1"/>
  <c r="B31" i="15"/>
  <c r="C31" i="15" s="1"/>
  <c r="N11" i="15" s="1"/>
  <c r="B30" i="15"/>
  <c r="C30" i="15"/>
  <c r="E10" i="15" s="1"/>
  <c r="B29" i="15"/>
  <c r="B28" i="15"/>
  <c r="C28" i="15"/>
  <c r="B27" i="15"/>
  <c r="C27" i="15" s="1"/>
  <c r="B26" i="15"/>
  <c r="C26" i="15"/>
  <c r="E6" i="15" s="1"/>
  <c r="N18" i="15"/>
  <c r="M18" i="15"/>
  <c r="L18" i="15"/>
  <c r="K18" i="15"/>
  <c r="J18" i="15"/>
  <c r="I18" i="15"/>
  <c r="H18" i="15"/>
  <c r="G18" i="15"/>
  <c r="F18" i="15"/>
  <c r="E18" i="15"/>
  <c r="D18" i="15"/>
  <c r="H10" i="14"/>
  <c r="P5" i="15"/>
  <c r="P16" i="15" s="1"/>
  <c r="C5" i="15"/>
  <c r="B60" i="13"/>
  <c r="B37" i="13"/>
  <c r="B54" i="13"/>
  <c r="O5" i="13"/>
  <c r="O8" i="13" s="1"/>
  <c r="P11" i="14" s="1"/>
  <c r="B27" i="13"/>
  <c r="B26" i="13"/>
  <c r="B36" i="13" s="1"/>
  <c r="F5" i="13" s="1"/>
  <c r="F8" i="13" s="1"/>
  <c r="F12" i="13" s="1"/>
  <c r="N10" i="13"/>
  <c r="N17" i="48"/>
  <c r="M10" i="13"/>
  <c r="L10" i="13"/>
  <c r="K10" i="13"/>
  <c r="K17" i="48"/>
  <c r="K32" i="48"/>
  <c r="J10" i="13"/>
  <c r="J17" i="48"/>
  <c r="I10" i="13"/>
  <c r="I17" i="48"/>
  <c r="I32" i="48"/>
  <c r="H10" i="13"/>
  <c r="H17" i="48"/>
  <c r="H32" i="48"/>
  <c r="G10" i="13"/>
  <c r="G17" i="48"/>
  <c r="G32" i="48"/>
  <c r="F10" i="13"/>
  <c r="F17" i="48"/>
  <c r="E10" i="13"/>
  <c r="E17" i="48"/>
  <c r="E32" i="48"/>
  <c r="D10" i="13"/>
  <c r="D17" i="48"/>
  <c r="M8" i="13"/>
  <c r="N11" i="14"/>
  <c r="L8" i="13"/>
  <c r="M11" i="14"/>
  <c r="D8" i="13"/>
  <c r="C5" i="13"/>
  <c r="C8" i="13"/>
  <c r="B5" i="13"/>
  <c r="B8" i="13" s="1"/>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O76" i="14"/>
  <c r="O8" i="59"/>
  <c r="N76" i="14"/>
  <c r="N8" i="59"/>
  <c r="N10" i="59" s="1"/>
  <c r="H76" i="14"/>
  <c r="H8" i="59"/>
  <c r="G76" i="14"/>
  <c r="G8" i="59"/>
  <c r="G10" i="59" s="1"/>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s="1"/>
  <c r="B34" i="13"/>
  <c r="B32" i="13"/>
  <c r="C34" i="13"/>
  <c r="P5" i="13"/>
  <c r="P8" i="13" s="1"/>
  <c r="J15" i="16"/>
  <c r="J30" i="48"/>
  <c r="J32" i="48"/>
  <c r="F30" i="48"/>
  <c r="F32" i="48"/>
  <c r="N30" i="48"/>
  <c r="N32" i="48"/>
  <c r="K10" i="18"/>
  <c r="N77" i="14"/>
  <c r="L10" i="18"/>
  <c r="O77" i="14"/>
  <c r="H16" i="14"/>
  <c r="B8" i="9"/>
  <c r="B6" i="48" s="1"/>
  <c r="Q6" i="48" s="1"/>
  <c r="L16" i="16"/>
  <c r="L18" i="16" s="1"/>
  <c r="I14" i="15"/>
  <c r="I16" i="15"/>
  <c r="J10" i="14" s="1"/>
  <c r="J16" i="14" s="1"/>
  <c r="B13" i="16"/>
  <c r="C35" i="16"/>
  <c r="E9" i="14"/>
  <c r="D14" i="15"/>
  <c r="P18" i="16"/>
  <c r="P22" i="16"/>
  <c r="Q43" i="14" s="1"/>
  <c r="J8" i="17"/>
  <c r="N16" i="16"/>
  <c r="N13" i="15"/>
  <c r="F13" i="15"/>
  <c r="B67" i="22"/>
  <c r="M11" i="22"/>
  <c r="G10" i="22"/>
  <c r="M9" i="22"/>
  <c r="G8" i="22"/>
  <c r="M7" i="22"/>
  <c r="G6" i="22"/>
  <c r="G11" i="22"/>
  <c r="M8" i="22"/>
  <c r="G7" i="22"/>
  <c r="M10" i="22"/>
  <c r="G9" i="22"/>
  <c r="M6" i="22"/>
  <c r="B12" i="48"/>
  <c r="Q12" i="48"/>
  <c r="O9" i="14"/>
  <c r="B7" i="15"/>
  <c r="B11" i="15"/>
  <c r="B11" i="16"/>
  <c r="J9" i="14"/>
  <c r="B16" i="16"/>
  <c r="K9" i="14"/>
  <c r="H77" i="14"/>
  <c r="J11" i="48"/>
  <c r="J29" i="48"/>
  <c r="M9" i="14"/>
  <c r="L11" i="48"/>
  <c r="O19" i="14"/>
  <c r="O22" i="14"/>
  <c r="N10" i="48"/>
  <c r="N28" i="48"/>
  <c r="J19" i="14"/>
  <c r="J22" i="14"/>
  <c r="I10" i="48"/>
  <c r="I28" i="48"/>
  <c r="J19" i="19"/>
  <c r="K39" i="14"/>
  <c r="N19" i="19"/>
  <c r="O39" i="14"/>
  <c r="C45" i="18"/>
  <c r="J48" i="18" s="1"/>
  <c r="D8" i="18" s="1"/>
  <c r="I48" i="18"/>
  <c r="H8" i="18" s="1"/>
  <c r="C18" i="16"/>
  <c r="C12" i="14"/>
  <c r="R12" i="14"/>
  <c r="I11" i="48"/>
  <c r="I29" i="48"/>
  <c r="N11" i="48"/>
  <c r="N29" i="48"/>
  <c r="L10" i="14"/>
  <c r="L16" i="14" s="1"/>
  <c r="L27" i="14" s="1"/>
  <c r="K5" i="48"/>
  <c r="K23" i="48" s="1"/>
  <c r="K33" i="48" s="1"/>
  <c r="C18" i="14"/>
  <c r="B13" i="48"/>
  <c r="E18" i="14"/>
  <c r="D13" i="48"/>
  <c r="D31" i="48"/>
  <c r="D31" i="20"/>
  <c r="E48" i="14"/>
  <c r="E19" i="14"/>
  <c r="D10" i="48"/>
  <c r="D28" i="48"/>
  <c r="L4" i="48"/>
  <c r="G20" i="18"/>
  <c r="G9" i="14"/>
  <c r="M4" i="48"/>
  <c r="F11" i="48"/>
  <c r="F29" i="48"/>
  <c r="K19" i="19"/>
  <c r="L39" i="14"/>
  <c r="I19" i="19"/>
  <c r="J39" i="14"/>
  <c r="E31" i="20"/>
  <c r="F48" i="14"/>
  <c r="L12" i="13"/>
  <c r="M41" i="14"/>
  <c r="F18" i="14"/>
  <c r="E13" i="48"/>
  <c r="E31" i="48"/>
  <c r="K20" i="15"/>
  <c r="L40" i="14" s="1"/>
  <c r="L46" i="14" s="1"/>
  <c r="L61" i="14" s="1"/>
  <c r="L9" i="14"/>
  <c r="K11" i="48"/>
  <c r="K29" i="48"/>
  <c r="D11" i="48"/>
  <c r="D29" i="48"/>
  <c r="F19" i="19"/>
  <c r="G39" i="14"/>
  <c r="L19" i="19"/>
  <c r="M39" i="14"/>
  <c r="M12" i="13"/>
  <c r="N41" i="14"/>
  <c r="C78" i="22"/>
  <c r="M27" i="20"/>
  <c r="M12" i="22"/>
  <c r="H27" i="20"/>
  <c r="J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s="1"/>
  <c r="M20" i="15"/>
  <c r="N40" i="14" s="1"/>
  <c r="N10" i="14"/>
  <c r="N16" i="14" s="1"/>
  <c r="G20" i="15"/>
  <c r="H40" i="14" s="1"/>
  <c r="H46" i="14"/>
  <c r="H20" i="15"/>
  <c r="I40" i="14"/>
  <c r="I46" i="14" s="1"/>
  <c r="I10" i="14"/>
  <c r="I16" i="14"/>
  <c r="B74" i="14"/>
  <c r="B6" i="59" s="1"/>
  <c r="F8" i="16"/>
  <c r="B7" i="48"/>
  <c r="C26" i="14"/>
  <c r="B73" i="14"/>
  <c r="B5" i="59" s="1"/>
  <c r="F6" i="15"/>
  <c r="F8" i="15"/>
  <c r="N10" i="16"/>
  <c r="B8" i="15"/>
  <c r="J8" i="15"/>
  <c r="I20" i="15"/>
  <c r="J40" i="14"/>
  <c r="B9" i="16"/>
  <c r="B10" i="15"/>
  <c r="B6" i="15"/>
  <c r="J10" i="15"/>
  <c r="F10" i="16"/>
  <c r="B15" i="16"/>
  <c r="F14" i="16"/>
  <c r="J6" i="15"/>
  <c r="F10" i="15"/>
  <c r="B12" i="15"/>
  <c r="B7" i="16"/>
  <c r="E10" i="16"/>
  <c r="N14" i="16"/>
  <c r="N11" i="16"/>
  <c r="N6" i="15"/>
  <c r="N10" i="15"/>
  <c r="B8" i="16"/>
  <c r="J8" i="16"/>
  <c r="B10" i="16"/>
  <c r="B14" i="16"/>
  <c r="E15" i="16"/>
  <c r="J7" i="16"/>
  <c r="F7" i="16"/>
  <c r="N7" i="16"/>
  <c r="N15" i="16"/>
  <c r="C34" i="16"/>
  <c r="Q13" i="14"/>
  <c r="E11" i="48"/>
  <c r="E29" i="48"/>
  <c r="F9" i="14"/>
  <c r="D9" i="14"/>
  <c r="E19" i="19"/>
  <c r="F39" i="14"/>
  <c r="C11" i="48"/>
  <c r="D19" i="19"/>
  <c r="E39" i="14"/>
  <c r="C9" i="14"/>
  <c r="B11" i="48"/>
  <c r="E14" i="22"/>
  <c r="D5" i="22"/>
  <c r="D14" i="22"/>
  <c r="D9" i="48" s="1"/>
  <c r="D27" i="48" s="1"/>
  <c r="B14" i="22"/>
  <c r="P11" i="48"/>
  <c r="P29" i="48"/>
  <c r="H5" i="48"/>
  <c r="O11" i="48"/>
  <c r="P9" i="14"/>
  <c r="M5" i="48"/>
  <c r="G29" i="48"/>
  <c r="C11" i="14"/>
  <c r="B4" i="48"/>
  <c r="E30" i="48"/>
  <c r="I31" i="48"/>
  <c r="I27" i="48"/>
  <c r="I30" i="48"/>
  <c r="K27" i="48"/>
  <c r="O30" i="48"/>
  <c r="K22" i="48"/>
  <c r="G22" i="48"/>
  <c r="M17" i="48"/>
  <c r="K30" i="48"/>
  <c r="G11" i="14"/>
  <c r="I22" i="48"/>
  <c r="G30" i="48"/>
  <c r="H25" i="48"/>
  <c r="L17" i="48"/>
  <c r="L32" i="48"/>
  <c r="H22" i="48"/>
  <c r="K25" i="48"/>
  <c r="K26" i="48"/>
  <c r="D12" i="13"/>
  <c r="E41" i="14" s="1"/>
  <c r="D4" i="48"/>
  <c r="D22" i="48" s="1"/>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B10" i="48"/>
  <c r="P25" i="48"/>
  <c r="E5" i="17"/>
  <c r="C8" i="17"/>
  <c r="G25" i="48"/>
  <c r="I25" i="48"/>
  <c r="D88" i="14"/>
  <c r="H88" i="14"/>
  <c r="H90" i="14" s="1"/>
  <c r="F88" i="14"/>
  <c r="F18" i="59" s="1"/>
  <c r="L20" i="18"/>
  <c r="G77" i="14"/>
  <c r="O90" i="14"/>
  <c r="D11" i="14"/>
  <c r="C4" i="48"/>
  <c r="N46" i="14"/>
  <c r="G51" i="22"/>
  <c r="G50" i="22" s="1"/>
  <c r="G54" i="22"/>
  <c r="H19" i="14"/>
  <c r="M51" i="22"/>
  <c r="M50" i="22" s="1"/>
  <c r="M54" i="22" s="1"/>
  <c r="I5" i="48"/>
  <c r="I23" i="48" s="1"/>
  <c r="I33" i="48" s="1"/>
  <c r="J27" i="14"/>
  <c r="M24" i="48"/>
  <c r="M32" i="48"/>
  <c r="H78" i="14"/>
  <c r="H9" i="59"/>
  <c r="H10" i="59" s="1"/>
  <c r="N78" i="14"/>
  <c r="N9" i="59"/>
  <c r="G78" i="14"/>
  <c r="G9" i="59"/>
  <c r="H18" i="59"/>
  <c r="O78" i="14"/>
  <c r="O9" i="59"/>
  <c r="O10" i="59" s="1"/>
  <c r="L22" i="16"/>
  <c r="M43" i="14" s="1"/>
  <c r="D10" i="14"/>
  <c r="J46" i="14"/>
  <c r="J61" i="14"/>
  <c r="P8" i="48"/>
  <c r="P26" i="48"/>
  <c r="D18" i="16"/>
  <c r="D22" i="16" s="1"/>
  <c r="E43" i="14" s="1"/>
  <c r="G31" i="20"/>
  <c r="H48" i="14"/>
  <c r="G12" i="22"/>
  <c r="K24" i="14"/>
  <c r="K26" i="14"/>
  <c r="E8" i="17"/>
  <c r="O18" i="16"/>
  <c r="O8" i="48" s="1"/>
  <c r="O26" i="48" s="1"/>
  <c r="N5" i="13"/>
  <c r="N8" i="13"/>
  <c r="O11" i="14" s="1"/>
  <c r="N4" i="48"/>
  <c r="N22" i="48" s="1"/>
  <c r="H13" i="48"/>
  <c r="H31" i="48"/>
  <c r="H12" i="22"/>
  <c r="E5" i="13"/>
  <c r="E8" i="13"/>
  <c r="E12" i="13"/>
  <c r="F41" i="14" s="1"/>
  <c r="N8" i="17"/>
  <c r="N12" i="17"/>
  <c r="O54" i="14"/>
  <c r="O56" i="14" s="1"/>
  <c r="B9" i="48"/>
  <c r="E48" i="18"/>
  <c r="E8" i="18" s="1"/>
  <c r="F7" i="48"/>
  <c r="F25" i="48" s="1"/>
  <c r="M29" i="48"/>
  <c r="F12" i="17"/>
  <c r="G54" i="14" s="1"/>
  <c r="G56" i="14" s="1"/>
  <c r="C49" i="18"/>
  <c r="C48" i="18"/>
  <c r="E49" i="18"/>
  <c r="E17" i="18"/>
  <c r="F87" i="14"/>
  <c r="G49" i="18"/>
  <c r="H48" i="18"/>
  <c r="G48" i="18"/>
  <c r="L28" i="48"/>
  <c r="H49" i="18"/>
  <c r="I49" i="18"/>
  <c r="H17" i="18"/>
  <c r="F49" i="18"/>
  <c r="F48" i="18"/>
  <c r="I8" i="18" s="1"/>
  <c r="B48" i="18"/>
  <c r="L31" i="48"/>
  <c r="L24" i="48"/>
  <c r="L22" i="48"/>
  <c r="M23" i="48"/>
  <c r="M22" i="48"/>
  <c r="I18" i="14"/>
  <c r="F20" i="14"/>
  <c r="F22" i="14" s="1"/>
  <c r="L30" i="48"/>
  <c r="B20" i="18"/>
  <c r="L29" i="48"/>
  <c r="M31" i="20"/>
  <c r="N48" i="14"/>
  <c r="N18" i="14"/>
  <c r="M13" i="48"/>
  <c r="M31" i="48"/>
  <c r="H31" i="20"/>
  <c r="I48" i="14"/>
  <c r="G13" i="48"/>
  <c r="G31" i="48"/>
  <c r="H18" i="14"/>
  <c r="M5" i="22"/>
  <c r="M14" i="22" s="1"/>
  <c r="G5" i="22"/>
  <c r="H5" i="22"/>
  <c r="O20" i="15"/>
  <c r="P40" i="14" s="1"/>
  <c r="P20" i="15"/>
  <c r="Q40" i="14" s="1"/>
  <c r="Q10" i="14"/>
  <c r="F4" i="48"/>
  <c r="G41" i="14"/>
  <c r="P5" i="48"/>
  <c r="P23" i="48" s="1"/>
  <c r="F13" i="16"/>
  <c r="E13" i="16"/>
  <c r="N13" i="16"/>
  <c r="J13" i="16"/>
  <c r="N12" i="16"/>
  <c r="J12" i="16"/>
  <c r="F12" i="16"/>
  <c r="E12" i="16"/>
  <c r="Q11" i="48"/>
  <c r="O5" i="48"/>
  <c r="R9" i="14"/>
  <c r="O29" i="48"/>
  <c r="H23" i="48"/>
  <c r="L27" i="48"/>
  <c r="M30" i="48"/>
  <c r="M26" i="48"/>
  <c r="M25" i="48"/>
  <c r="C5" i="48"/>
  <c r="H14" i="22"/>
  <c r="G14" i="22"/>
  <c r="G9" i="48"/>
  <c r="I15" i="48"/>
  <c r="E13" i="14"/>
  <c r="C8" i="18"/>
  <c r="D76" i="14"/>
  <c r="N7" i="48"/>
  <c r="N25" i="48"/>
  <c r="O24" i="14"/>
  <c r="O26" i="14"/>
  <c r="D18" i="22"/>
  <c r="E50" i="14"/>
  <c r="E52" i="14" s="1"/>
  <c r="C20" i="14"/>
  <c r="C22" i="14"/>
  <c r="I17" i="18"/>
  <c r="I87" i="14" s="1"/>
  <c r="M87" i="14"/>
  <c r="M17" i="59" s="1"/>
  <c r="E20" i="14"/>
  <c r="E22" i="14" s="1"/>
  <c r="E18" i="22"/>
  <c r="F50" i="14"/>
  <c r="F52" i="14"/>
  <c r="E9" i="48"/>
  <c r="G58" i="22"/>
  <c r="H49" i="14" s="1"/>
  <c r="G10" i="48"/>
  <c r="R18" i="14"/>
  <c r="Q13" i="48"/>
  <c r="I20" i="14"/>
  <c r="I22" i="14" s="1"/>
  <c r="I27" i="14" s="1"/>
  <c r="M18" i="22"/>
  <c r="N50" i="14" s="1"/>
  <c r="J63" i="14"/>
  <c r="O23" i="48"/>
  <c r="N12" i="13"/>
  <c r="O41" i="14"/>
  <c r="E4" i="48"/>
  <c r="E22" i="48"/>
  <c r="F11" i="14"/>
  <c r="I17" i="59"/>
  <c r="E27" i="48"/>
  <c r="G15" i="48"/>
  <c r="G18" i="22"/>
  <c r="H50" i="14"/>
  <c r="H20" i="14"/>
  <c r="H22" i="14"/>
  <c r="H27" i="14" s="1"/>
  <c r="H18" i="22"/>
  <c r="I50" i="14" s="1"/>
  <c r="G28" i="48"/>
  <c r="H9" i="48"/>
  <c r="G27" i="48"/>
  <c r="G33" i="48"/>
  <c r="H15" i="48"/>
  <c r="I52" i="14"/>
  <c r="I61" i="14" s="1"/>
  <c r="I63" i="14"/>
  <c r="H27" i="48"/>
  <c r="H33" i="48" s="1"/>
  <c r="I76" i="14" l="1"/>
  <c r="H52" i="14"/>
  <c r="H61" i="14" s="1"/>
  <c r="H63" i="14" s="1"/>
  <c r="D8" i="59"/>
  <c r="M9" i="48"/>
  <c r="M27" i="48" s="1"/>
  <c r="N20" i="14"/>
  <c r="R20" i="14" s="1"/>
  <c r="N19" i="14"/>
  <c r="M10" i="48"/>
  <c r="M58" i="22"/>
  <c r="N49" i="14" s="1"/>
  <c r="N52" i="14" s="1"/>
  <c r="N61" i="14" s="1"/>
  <c r="F22" i="48"/>
  <c r="D8" i="48"/>
  <c r="D26" i="48" s="1"/>
  <c r="P13" i="14"/>
  <c r="P16" i="14" s="1"/>
  <c r="P27" i="14" s="1"/>
  <c r="J5" i="13"/>
  <c r="J8" i="13" s="1"/>
  <c r="F76" i="14"/>
  <c r="F24" i="14"/>
  <c r="F26" i="14" s="1"/>
  <c r="E7" i="48"/>
  <c r="E25" i="48" s="1"/>
  <c r="E12" i="17"/>
  <c r="F54" i="14" s="1"/>
  <c r="F56" i="14" s="1"/>
  <c r="D18" i="59"/>
  <c r="C88" i="14"/>
  <c r="C18" i="59" s="1"/>
  <c r="Q88" i="14"/>
  <c r="P18" i="59" s="1"/>
  <c r="M15" i="48"/>
  <c r="L63" i="14"/>
  <c r="C8" i="48"/>
  <c r="D13" i="14"/>
  <c r="D16" i="14" s="1"/>
  <c r="J11" i="16"/>
  <c r="F11" i="16"/>
  <c r="E11" i="16"/>
  <c r="B72" i="14"/>
  <c r="K18" i="59"/>
  <c r="K90" i="14"/>
  <c r="M76" i="14"/>
  <c r="P4" i="48"/>
  <c r="Q11" i="14"/>
  <c r="Q16" i="14" s="1"/>
  <c r="Q27" i="14" s="1"/>
  <c r="P12" i="13"/>
  <c r="Q41" i="14" s="1"/>
  <c r="Q46" i="14" s="1"/>
  <c r="Q61" i="14" s="1"/>
  <c r="N12" i="15"/>
  <c r="E12" i="15"/>
  <c r="F9" i="16"/>
  <c r="F5" i="16" s="1"/>
  <c r="F18" i="16" s="1"/>
  <c r="J9" i="16"/>
  <c r="J5" i="16" s="1"/>
  <c r="J18" i="16" s="1"/>
  <c r="E9" i="16"/>
  <c r="O22" i="16"/>
  <c r="P43" i="14" s="1"/>
  <c r="B88" i="14"/>
  <c r="B18" i="59" s="1"/>
  <c r="R19" i="14"/>
  <c r="R22" i="14" s="1"/>
  <c r="J12" i="15"/>
  <c r="L8" i="48"/>
  <c r="L26" i="48" s="1"/>
  <c r="M13" i="14"/>
  <c r="J7" i="15"/>
  <c r="E7" i="15"/>
  <c r="F7" i="15"/>
  <c r="N7" i="15"/>
  <c r="O20" i="59"/>
  <c r="F17" i="59"/>
  <c r="C7" i="48"/>
  <c r="D24" i="14"/>
  <c r="B5" i="16"/>
  <c r="B18" i="16" s="1"/>
  <c r="D48" i="18"/>
  <c r="J8" i="18" s="1"/>
  <c r="D49" i="18"/>
  <c r="J17" i="18" s="1"/>
  <c r="D12" i="17"/>
  <c r="E54" i="14" s="1"/>
  <c r="E56" i="14" s="1"/>
  <c r="E24" i="14"/>
  <c r="E26" i="14" s="1"/>
  <c r="D7" i="48"/>
  <c r="D25" i="48" s="1"/>
  <c r="D16" i="15"/>
  <c r="G90" i="14"/>
  <c r="O12" i="13"/>
  <c r="P41" i="14" s="1"/>
  <c r="F11" i="15"/>
  <c r="E76" i="14"/>
  <c r="Q76" i="14" s="1"/>
  <c r="J12" i="17"/>
  <c r="K54" i="14" s="1"/>
  <c r="K56" i="14" s="1"/>
  <c r="J7" i="48"/>
  <c r="J25" i="48" s="1"/>
  <c r="N8" i="15"/>
  <c r="E8" i="15"/>
  <c r="O18" i="18"/>
  <c r="L6" i="17"/>
  <c r="L5" i="17" s="1"/>
  <c r="L8" i="17" s="1"/>
  <c r="K8" i="59"/>
  <c r="K10" i="59" s="1"/>
  <c r="K78" i="14"/>
  <c r="L18" i="59"/>
  <c r="L90" i="14"/>
  <c r="K15" i="48"/>
  <c r="F20" i="18"/>
  <c r="E14" i="16"/>
  <c r="O4" i="48"/>
  <c r="E11" i="15"/>
  <c r="N8" i="16"/>
  <c r="N5" i="16" s="1"/>
  <c r="N18" i="16" s="1"/>
  <c r="E8" i="16"/>
  <c r="E5" i="16" s="1"/>
  <c r="E18" i="16" s="1"/>
  <c r="L13" i="15"/>
  <c r="L16" i="15" s="1"/>
  <c r="C54" i="18"/>
  <c r="B9" i="18"/>
  <c r="K20" i="59"/>
  <c r="H20" i="59"/>
  <c r="C29" i="15"/>
  <c r="B9" i="15"/>
  <c r="B5" i="15" s="1"/>
  <c r="B16" i="15" s="1"/>
  <c r="N89" i="14"/>
  <c r="N19" i="59" s="1"/>
  <c r="N20" i="59" s="1"/>
  <c r="K20" i="18"/>
  <c r="L20" i="59"/>
  <c r="J49" i="18"/>
  <c r="D17" i="18" s="1"/>
  <c r="B49" i="18"/>
  <c r="C17" i="18" s="1"/>
  <c r="B33" i="13"/>
  <c r="B54" i="18"/>
  <c r="D14" i="48"/>
  <c r="F22" i="16" l="1"/>
  <c r="G43" i="14" s="1"/>
  <c r="G13" i="14"/>
  <c r="F8" i="48"/>
  <c r="F26" i="48" s="1"/>
  <c r="N63" i="14"/>
  <c r="N22" i="16"/>
  <c r="O43" i="14" s="1"/>
  <c r="N8" i="48"/>
  <c r="N26" i="48" s="1"/>
  <c r="O13" i="14"/>
  <c r="P8" i="59"/>
  <c r="J87" i="14"/>
  <c r="Q63" i="14"/>
  <c r="Q14" i="48"/>
  <c r="D32" i="48"/>
  <c r="E87" i="14"/>
  <c r="D20" i="18"/>
  <c r="E22" i="16"/>
  <c r="F43" i="14" s="1"/>
  <c r="F13" i="14"/>
  <c r="E8" i="48"/>
  <c r="E26" i="48" s="1"/>
  <c r="M24" i="14"/>
  <c r="M26" i="14" s="1"/>
  <c r="L12" i="17"/>
  <c r="M54" i="14" s="1"/>
  <c r="M56" i="14" s="1"/>
  <c r="L7" i="48"/>
  <c r="L25" i="48" s="1"/>
  <c r="J76" i="14"/>
  <c r="B4" i="59"/>
  <c r="F8" i="59"/>
  <c r="M28" i="48"/>
  <c r="M33" i="48" s="1"/>
  <c r="Q10" i="48"/>
  <c r="D58" i="18"/>
  <c r="G58" i="18"/>
  <c r="I19" i="18" s="1"/>
  <c r="I58" i="18"/>
  <c r="H19" i="18" s="1"/>
  <c r="B58" i="18"/>
  <c r="C19" i="18" s="1"/>
  <c r="E58" i="18"/>
  <c r="E19" i="18" s="1"/>
  <c r="H58" i="18"/>
  <c r="J19" i="18" s="1"/>
  <c r="J89" i="14" s="1"/>
  <c r="J19" i="59" s="1"/>
  <c r="J58" i="18"/>
  <c r="D19" i="18" s="1"/>
  <c r="E89" i="14" s="1"/>
  <c r="E19" i="59" s="1"/>
  <c r="C58" i="18"/>
  <c r="F58" i="18"/>
  <c r="C10" i="14"/>
  <c r="B5" i="48"/>
  <c r="N90" i="14"/>
  <c r="P46" i="14"/>
  <c r="P61" i="14" s="1"/>
  <c r="P63" i="14" s="1"/>
  <c r="B8" i="48"/>
  <c r="C13" i="14"/>
  <c r="P22" i="48"/>
  <c r="P33" i="48" s="1"/>
  <c r="P15" i="48"/>
  <c r="Q9" i="48"/>
  <c r="N22" i="14"/>
  <c r="N27" i="14" s="1"/>
  <c r="J9" i="15"/>
  <c r="N9" i="15"/>
  <c r="F9" i="15"/>
  <c r="F5" i="15" s="1"/>
  <c r="F16" i="15" s="1"/>
  <c r="E9" i="15"/>
  <c r="E5" i="15" s="1"/>
  <c r="E16" i="15" s="1"/>
  <c r="D57" i="18"/>
  <c r="H57" i="18"/>
  <c r="E57" i="18"/>
  <c r="E9" i="18" s="1"/>
  <c r="I57" i="18"/>
  <c r="H9" i="18" s="1"/>
  <c r="F57" i="18"/>
  <c r="J57" i="18"/>
  <c r="D9" i="18" s="1"/>
  <c r="B57" i="18"/>
  <c r="C9" i="18" s="1"/>
  <c r="C57" i="18"/>
  <c r="G57" i="18"/>
  <c r="I9" i="18" s="1"/>
  <c r="D26" i="14"/>
  <c r="D27" i="14" s="1"/>
  <c r="B20" i="6" s="1"/>
  <c r="J5" i="15"/>
  <c r="J16" i="15" s="1"/>
  <c r="J4" i="48"/>
  <c r="J12" i="13"/>
  <c r="K41" i="14" s="1"/>
  <c r="K11" i="14"/>
  <c r="R11" i="14" s="1"/>
  <c r="O8" i="18"/>
  <c r="C20" i="18"/>
  <c r="D87" i="14"/>
  <c r="O17" i="18"/>
  <c r="L5" i="48"/>
  <c r="M10" i="14"/>
  <c r="M16" i="14" s="1"/>
  <c r="L20" i="15"/>
  <c r="M40" i="14" s="1"/>
  <c r="M46" i="14" s="1"/>
  <c r="M61" i="14" s="1"/>
  <c r="O22" i="48"/>
  <c r="O33" i="48" s="1"/>
  <c r="O15" i="48"/>
  <c r="E8" i="59"/>
  <c r="E10" i="14"/>
  <c r="E16" i="14" s="1"/>
  <c r="E27" i="14" s="1"/>
  <c r="D20" i="15"/>
  <c r="E40" i="14" s="1"/>
  <c r="E46" i="14" s="1"/>
  <c r="E61" i="14" s="1"/>
  <c r="E63" i="14" s="1"/>
  <c r="D5" i="48"/>
  <c r="C15" i="48"/>
  <c r="Q7" i="48"/>
  <c r="N5" i="15"/>
  <c r="N16" i="15" s="1"/>
  <c r="K13" i="14"/>
  <c r="J8" i="48"/>
  <c r="J26" i="48" s="1"/>
  <c r="J22" i="16"/>
  <c r="K43" i="14" s="1"/>
  <c r="M8" i="59"/>
  <c r="B10" i="18"/>
  <c r="C76" i="14"/>
  <c r="I8" i="59"/>
  <c r="B76" i="14"/>
  <c r="B8" i="59" s="1"/>
  <c r="F10" i="14" l="1"/>
  <c r="F16" i="14" s="1"/>
  <c r="F27" i="14" s="1"/>
  <c r="E20" i="15"/>
  <c r="F40" i="14" s="1"/>
  <c r="F46" i="14" s="1"/>
  <c r="F61" i="14" s="1"/>
  <c r="F63" i="14" s="1"/>
  <c r="E5" i="48"/>
  <c r="G10" i="14"/>
  <c r="G16" i="14" s="1"/>
  <c r="G27" i="14" s="1"/>
  <c r="F20" i="15"/>
  <c r="G40" i="14" s="1"/>
  <c r="G46" i="14" s="1"/>
  <c r="G61" i="14" s="1"/>
  <c r="F5" i="48"/>
  <c r="D90" i="14"/>
  <c r="D17" i="59"/>
  <c r="Q87" i="14"/>
  <c r="C87" i="14"/>
  <c r="M77" i="14"/>
  <c r="H10" i="18"/>
  <c r="R13" i="14"/>
  <c r="I89" i="14"/>
  <c r="I20" i="18"/>
  <c r="O10" i="14"/>
  <c r="O16" i="14" s="1"/>
  <c r="O27" i="14" s="1"/>
  <c r="N5" i="48"/>
  <c r="N20" i="15"/>
  <c r="O40" i="14" s="1"/>
  <c r="O46" i="14" s="1"/>
  <c r="O61" i="14" s="1"/>
  <c r="O63" i="14" s="1"/>
  <c r="D15" i="48"/>
  <c r="D23" i="48"/>
  <c r="D33" i="48" s="1"/>
  <c r="M27" i="14"/>
  <c r="M63" i="14" s="1"/>
  <c r="R24" i="14"/>
  <c r="R26" i="14" s="1"/>
  <c r="D77" i="14"/>
  <c r="C10" i="18"/>
  <c r="F77" i="14"/>
  <c r="E10" i="18"/>
  <c r="Q8" i="48"/>
  <c r="F89" i="14"/>
  <c r="E20" i="18"/>
  <c r="J8" i="59"/>
  <c r="E17" i="59"/>
  <c r="E20" i="59" s="1"/>
  <c r="E90" i="14"/>
  <c r="J20" i="18"/>
  <c r="J20" i="15"/>
  <c r="K40" i="14" s="1"/>
  <c r="K46" i="14" s="1"/>
  <c r="K61" i="14" s="1"/>
  <c r="K10" i="14"/>
  <c r="K16" i="14" s="1"/>
  <c r="K27" i="14" s="1"/>
  <c r="J5" i="48"/>
  <c r="J23" i="48" s="1"/>
  <c r="C8" i="59"/>
  <c r="L23" i="48"/>
  <c r="L33" i="48" s="1"/>
  <c r="L15" i="48"/>
  <c r="J22" i="48"/>
  <c r="J33" i="48" s="1"/>
  <c r="J15" i="48"/>
  <c r="Q4" i="48"/>
  <c r="E77" i="14"/>
  <c r="D10" i="18"/>
  <c r="J9" i="18"/>
  <c r="D89" i="14"/>
  <c r="O19" i="18"/>
  <c r="J90" i="14"/>
  <c r="J17" i="59"/>
  <c r="J20" i="59" s="1"/>
  <c r="B87" i="14"/>
  <c r="R10" i="14"/>
  <c r="R16" i="14" s="1"/>
  <c r="R27" i="14" s="1"/>
  <c r="C16" i="14"/>
  <c r="C27" i="14" s="1"/>
  <c r="B3" i="6" s="1"/>
  <c r="O20" i="18"/>
  <c r="I77" i="14"/>
  <c r="I10" i="18"/>
  <c r="B15" i="48"/>
  <c r="Q5" i="48"/>
  <c r="M89" i="14"/>
  <c r="H20" i="18"/>
  <c r="M19" i="59" l="1"/>
  <c r="M20" i="59" s="1"/>
  <c r="M90" i="14"/>
  <c r="J77" i="14"/>
  <c r="J10" i="18"/>
  <c r="D9" i="59"/>
  <c r="D10" i="59" s="1"/>
  <c r="Q77" i="14"/>
  <c r="D78" i="14"/>
  <c r="C77" i="14"/>
  <c r="M9" i="59"/>
  <c r="M10" i="59" s="1"/>
  <c r="M78" i="14"/>
  <c r="I9" i="59"/>
  <c r="I10" i="59" s="1"/>
  <c r="I78" i="14"/>
  <c r="B77" i="14"/>
  <c r="K63" i="14"/>
  <c r="F19" i="59"/>
  <c r="F20" i="59" s="1"/>
  <c r="F90" i="14"/>
  <c r="F9" i="59"/>
  <c r="F10" i="59" s="1"/>
  <c r="F78" i="14"/>
  <c r="I19" i="59"/>
  <c r="I20" i="59" s="1"/>
  <c r="I90" i="14"/>
  <c r="B89" i="14"/>
  <c r="B19" i="59" s="1"/>
  <c r="C17" i="59"/>
  <c r="E23" i="48"/>
  <c r="E33" i="48" s="1"/>
  <c r="E15" i="48"/>
  <c r="B17" i="59"/>
  <c r="B20" i="59" s="1"/>
  <c r="B90" i="14"/>
  <c r="P17" i="59"/>
  <c r="F23" i="48"/>
  <c r="F33" i="48" s="1"/>
  <c r="F15" i="48"/>
  <c r="E9" i="59"/>
  <c r="E10" i="59" s="1"/>
  <c r="E78" i="14"/>
  <c r="D19" i="59"/>
  <c r="D20" i="59" s="1"/>
  <c r="C89" i="14"/>
  <c r="C19" i="59" s="1"/>
  <c r="Q89" i="14"/>
  <c r="P19" i="59" s="1"/>
  <c r="Q15" i="48"/>
  <c r="O9" i="18"/>
  <c r="O10" i="18" s="1"/>
  <c r="N15" i="48"/>
  <c r="N23" i="48"/>
  <c r="N33" i="48" s="1"/>
  <c r="G63" i="14"/>
  <c r="C9" i="59" l="1"/>
  <c r="C10" i="59" s="1"/>
  <c r="C78" i="14"/>
  <c r="C20" i="59"/>
  <c r="J9" i="59"/>
  <c r="J10" i="59" s="1"/>
  <c r="J78" i="14"/>
  <c r="Q90" i="14"/>
  <c r="B17" i="6" s="1"/>
  <c r="B22" i="6" s="1"/>
  <c r="C90" i="14"/>
  <c r="P9" i="59"/>
  <c r="P10" i="59" s="1"/>
  <c r="Q78" i="14"/>
  <c r="B9" i="6" s="1"/>
  <c r="P20" i="59"/>
  <c r="B9" i="59"/>
  <c r="B10" i="59" s="1"/>
  <c r="B78" i="14"/>
  <c r="B4" i="6" s="1"/>
  <c r="B12" i="6" s="1"/>
  <c r="C55" i="14" l="1"/>
  <c r="R55" i="14" s="1"/>
  <c r="B10" i="9"/>
  <c r="B12" i="9" s="1"/>
  <c r="C12" i="59"/>
  <c r="B16" i="22"/>
  <c r="B18" i="22" s="1"/>
  <c r="C50" i="14" s="1"/>
  <c r="R50" i="14" s="1"/>
  <c r="B10" i="17"/>
  <c r="B12" i="17" s="1"/>
  <c r="C54" i="14" s="1"/>
  <c r="B17" i="49"/>
  <c r="B19" i="49" s="1"/>
  <c r="C42" i="14" s="1"/>
  <c r="R42" i="14" s="1"/>
  <c r="B29" i="20"/>
  <c r="B31" i="20" s="1"/>
  <c r="C48" i="14" s="1"/>
  <c r="B18" i="15"/>
  <c r="B20" i="15" s="1"/>
  <c r="C40" i="14" s="1"/>
  <c r="R40" i="14" s="1"/>
  <c r="B56" i="22"/>
  <c r="B58" i="22" s="1"/>
  <c r="C49" i="14" s="1"/>
  <c r="B20" i="16"/>
  <c r="B22" i="16" s="1"/>
  <c r="C43" i="14" s="1"/>
  <c r="B10" i="13"/>
  <c r="B17" i="19"/>
  <c r="B19" i="19" s="1"/>
  <c r="C39" i="14" s="1"/>
  <c r="C22" i="59"/>
  <c r="C10" i="13"/>
  <c r="C29" i="20"/>
  <c r="C16" i="22"/>
  <c r="C10" i="17"/>
  <c r="C12" i="17" s="1"/>
  <c r="D54" i="14" s="1"/>
  <c r="D56" i="14" s="1"/>
  <c r="C17" i="49"/>
  <c r="C56" i="22"/>
  <c r="C58" i="22" s="1"/>
  <c r="D49" i="14" s="1"/>
  <c r="D52" i="14" s="1"/>
  <c r="C17" i="19"/>
  <c r="C19" i="19" s="1"/>
  <c r="D39" i="14" s="1"/>
  <c r="C18" i="15"/>
  <c r="C20" i="15" s="1"/>
  <c r="D40" i="14" s="1"/>
  <c r="C20" i="16"/>
  <c r="C22" i="16" s="1"/>
  <c r="D43" i="14" s="1"/>
  <c r="B17" i="48" l="1"/>
  <c r="B12" i="13"/>
  <c r="C41" i="14" s="1"/>
  <c r="R41" i="14" s="1"/>
  <c r="R48" i="14"/>
  <c r="C52" i="14"/>
  <c r="R39" i="14"/>
  <c r="C12" i="13"/>
  <c r="D41" i="14" s="1"/>
  <c r="D46" i="14" s="1"/>
  <c r="D61" i="14" s="1"/>
  <c r="D63" i="14" s="1"/>
  <c r="C17" i="48"/>
  <c r="R43" i="14"/>
  <c r="R49" i="14"/>
  <c r="R54" i="14"/>
  <c r="R56" i="14" s="1"/>
  <c r="C56" i="14"/>
  <c r="R52" i="14" l="1"/>
  <c r="C30" i="48"/>
  <c r="C24" i="48"/>
  <c r="C32" i="48"/>
  <c r="C23" i="48"/>
  <c r="C28" i="48"/>
  <c r="C31" i="48"/>
  <c r="C27" i="48"/>
  <c r="C29" i="48"/>
  <c r="C22" i="48"/>
  <c r="C33" i="48" s="1"/>
  <c r="C26" i="48"/>
  <c r="C25" i="48"/>
  <c r="C46" i="14"/>
  <c r="C61" i="14" s="1"/>
  <c r="C63" i="14" s="1"/>
  <c r="R46" i="14"/>
  <c r="R61" i="14" s="1"/>
  <c r="B29" i="48"/>
  <c r="Q29" i="48" s="1"/>
  <c r="B27" i="48"/>
  <c r="Q27" i="48" s="1"/>
  <c r="B22" i="48"/>
  <c r="B32" i="48"/>
  <c r="Q32" i="48" s="1"/>
  <c r="B24" i="48"/>
  <c r="Q24" i="48" s="1"/>
  <c r="B25" i="48"/>
  <c r="Q25" i="48" s="1"/>
  <c r="B31" i="48"/>
  <c r="Q31" i="48" s="1"/>
  <c r="B30" i="48"/>
  <c r="Q30" i="48" s="1"/>
  <c r="B28" i="48"/>
  <c r="B26" i="48"/>
  <c r="Q26" i="48" s="1"/>
  <c r="B23" i="48"/>
  <c r="Q23" i="48" s="1"/>
  <c r="Q28" i="48" l="1"/>
  <c r="Q22" i="48"/>
  <c r="Q33" i="48" s="1"/>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gekoppeld aan warmtenet</t>
        </r>
      </text>
    </comment>
    <comment ref="A19" authorId="0" shapeId="0" xr:uid="{00000000-0006-0000-1E00-000002000000}">
      <text>
        <r>
          <rPr>
            <b/>
            <sz val="9"/>
            <color indexed="81"/>
            <rFont val="Tahoma"/>
            <family val="2"/>
          </rPr>
          <t>meynaere:</t>
        </r>
        <r>
          <rPr>
            <sz val="9"/>
            <color indexed="81"/>
            <rFont val="Tahoma"/>
            <family val="2"/>
          </rPr>
          <t xml:space="preserve">
incl. afvalverbranding gekoppeld aan warmtenet</t>
        </r>
      </text>
    </comment>
  </commentList>
</comments>
</file>

<file path=xl/sharedStrings.xml><?xml version="1.0" encoding="utf-8"?>
<sst xmlns="http://schemas.openxmlformats.org/spreadsheetml/2006/main" count="2341" uniqueCount="830">
  <si>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</si>
  <si>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</si>
  <si>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</si>
  <si>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</si>
  <si>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</si>
  <si>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</si>
  <si>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</si>
  <si>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</si>
  <si>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</si>
  <si>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</si>
  <si>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</si>
  <si>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</si>
  <si>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</si>
  <si>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</si>
  <si>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</si>
  <si>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</si>
  <si>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</si>
  <si>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</si>
  <si>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</si>
  <si>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</si>
  <si>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</si>
  <si>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</si>
  <si>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</si>
  <si>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</si>
  <si>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</si>
  <si>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</si>
  <si>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</si>
  <si>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</si>
  <si>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</si>
  <si>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</si>
  <si>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</si>
  <si>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</si>
  <si>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</si>
  <si>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</si>
  <si>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</si>
  <si>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</si>
  <si>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</si>
  <si>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</si>
  <si>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</si>
  <si>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</si>
  <si>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</si>
  <si>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</si>
  <si>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</si>
  <si>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</si>
  <si>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</si>
  <si>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</si>
  <si>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</si>
  <si>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</si>
  <si>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</si>
  <si>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</si>
  <si>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</si>
  <si>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</si>
  <si>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</si>
  <si>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</si>
  <si>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</si>
  <si>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</si>
  <si>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</si>
  <si>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</si>
  <si>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</si>
  <si>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</si>
  <si>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</si>
  <si>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</si>
  <si>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</si>
  <si>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</si>
  <si>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</si>
  <si>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</si>
  <si>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</si>
  <si>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</si>
  <si>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</si>
  <si>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</si>
  <si>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</si>
  <si>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</si>
  <si>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</si>
  <si>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</si>
  <si>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</si>
  <si>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</si>
  <si>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</si>
  <si>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</si>
  <si>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</si>
  <si>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</si>
  <si>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</si>
  <si>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</si>
  <si>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</si>
  <si>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</si>
  <si>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</si>
  <si>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</si>
  <si>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</si>
  <si>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</si>
  <si>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</si>
  <si>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</si>
  <si>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</si>
  <si>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</si>
  <si>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</si>
  <si>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</si>
  <si>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</si>
  <si>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</si>
  <si>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</si>
  <si>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</si>
  <si>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</si>
  <si>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</si>
  <si>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</si>
  <si>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</si>
  <si>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</si>
  <si>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</si>
  <si>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</si>
  <si>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</si>
  <si>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</si>
  <si>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</si>
  <si>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</si>
  <si>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</si>
  <si>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</si>
  <si>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</si>
  <si>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</si>
  <si>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</si>
  <si>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</si>
  <si>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</si>
  <si>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</si>
  <si>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</si>
  <si>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</si>
  <si>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</si>
  <si>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</si>
  <si>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</si>
  <si>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</si>
  <si>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</si>
  <si>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</si>
  <si>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</si>
  <si>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</si>
  <si>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</si>
  <si>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</si>
  <si>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</si>
  <si>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</si>
  <si>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</si>
  <si>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</si>
  <si>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</si>
  <si>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</si>
  <si>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</si>
  <si>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</si>
  <si>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</si>
  <si>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</si>
  <si>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</si>
  <si>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</si>
  <si>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</si>
  <si>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</si>
  <si>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</si>
  <si>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</si>
  <si>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</si>
  <si>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</si>
  <si>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</si>
  <si>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</si>
  <si>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</si>
  <si>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</si>
  <si>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</si>
  <si>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</si>
  <si>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</si>
  <si>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</si>
  <si>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</si>
  <si>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</si>
  <si>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</si>
  <si>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</si>
  <si>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</si>
  <si>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</si>
  <si>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</si>
  <si>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</si>
  <si>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</si>
  <si>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</si>
  <si>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</si>
  <si>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</si>
  <si>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</si>
  <si>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</si>
  <si>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</si>
  <si>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</si>
  <si>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</si>
  <si>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</si>
  <si>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</si>
  <si>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</si>
  <si>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</si>
  <si>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</si>
  <si>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</si>
  <si>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</si>
  <si>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</si>
  <si>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</si>
  <si>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</si>
  <si>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</si>
  <si>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</si>
  <si>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</si>
  <si>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</si>
  <si>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</si>
  <si>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</si>
  <si>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</si>
  <si>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</si>
  <si>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</si>
  <si>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</si>
  <si>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</si>
  <si>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</si>
  <si>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</si>
  <si>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</si>
  <si>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</si>
  <si>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</si>
  <si>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</si>
  <si>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</si>
  <si>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</si>
  <si>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</si>
  <si>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</si>
  <si>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</si>
  <si>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</si>
  <si>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</si>
  <si>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</si>
  <si>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</si>
  <si>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</si>
  <si>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</si>
  <si>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</si>
  <si>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</si>
  <si>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</si>
  <si>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</si>
  <si>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</si>
  <si>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</si>
  <si>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</si>
  <si>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</si>
  <si>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</si>
  <si>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</si>
  <si>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</si>
  <si>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</si>
  <si>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</si>
  <si>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</si>
  <si>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</si>
  <si>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</si>
  <si>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</si>
  <si>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</si>
  <si>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</si>
  <si>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</si>
  <si>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</si>
  <si>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</si>
  <si>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</si>
  <si>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</si>
  <si>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</si>
  <si>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</si>
  <si>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</si>
  <si>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</si>
  <si>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</si>
  <si>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</si>
  <si>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</si>
  <si>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</si>
  <si>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</si>
  <si>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</si>
  <si>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</si>
  <si>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</si>
  <si>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</si>
  <si>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</si>
  <si>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</si>
  <si>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</si>
  <si>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</si>
  <si>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</si>
  <si>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</si>
  <si>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</si>
  <si>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</si>
  <si>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</si>
  <si>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</si>
  <si>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</si>
  <si>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</si>
  <si>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</si>
  <si>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</si>
  <si>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</si>
  <si>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</si>
  <si>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</si>
  <si>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</si>
  <si>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</si>
  <si>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</si>
  <si>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</si>
  <si>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</si>
  <si>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</si>
  <si>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</si>
  <si>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</si>
  <si>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</si>
  <si>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</si>
  <si>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</si>
  <si>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</si>
  <si>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</si>
  <si>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</si>
  <si>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</si>
  <si>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</si>
  <si>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</si>
  <si>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</si>
  <si>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</si>
  <si>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</si>
  <si>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</si>
  <si>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</si>
  <si>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</si>
  <si>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</si>
  <si>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</si>
  <si>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</si>
  <si>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</si>
  <si>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</si>
  <si>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</si>
  <si>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</si>
  <si>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</si>
  <si>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</si>
  <si>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</si>
  <si>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</si>
  <si>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</si>
  <si>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</si>
  <si>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</si>
  <si>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</si>
  <si>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</si>
  <si>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</si>
  <si>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</si>
  <si>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</si>
  <si>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</si>
  <si>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</si>
  <si>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</si>
  <si>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</si>
  <si>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</si>
  <si>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</si>
  <si>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</si>
  <si>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</si>
  <si>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</si>
  <si>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</si>
  <si>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</si>
  <si>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</si>
  <si>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</si>
  <si>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</si>
  <si>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</si>
  <si>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</si>
  <si>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</si>
  <si>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</si>
  <si>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</si>
  <si>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</si>
  <si>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</si>
  <si>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</si>
  <si>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</si>
  <si>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</si>
  <si>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</si>
  <si>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</si>
  <si>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</si>
  <si>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</si>
  <si>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</si>
  <si>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</si>
  <si>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</si>
  <si>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</si>
  <si>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</si>
  <si>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</si>
  <si>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</si>
  <si>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</si>
  <si>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</si>
  <si>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</si>
  <si>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</si>
  <si>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</si>
  <si>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</si>
  <si>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</si>
  <si>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</si>
  <si>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</si>
  <si>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</si>
  <si>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</si>
  <si>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</si>
  <si>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</si>
  <si>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</si>
  <si>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</si>
  <si>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</si>
  <si>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</si>
  <si>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</si>
  <si>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</si>
  <si>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</si>
  <si>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</si>
  <si>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</si>
  <si>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</si>
  <si>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</si>
  <si>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</si>
  <si>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</si>
  <si>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</si>
  <si>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</si>
  <si>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</si>
  <si>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</si>
  <si>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</si>
  <si>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</si>
  <si>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</si>
  <si>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</si>
  <si>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</si>
  <si>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De Lijn</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</si>
  <si>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</si>
  <si>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</si>
  <si>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</si>
  <si>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</si>
  <si>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</si>
  <si>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</si>
  <si>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</si>
  <si>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</si>
  <si>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</si>
  <si>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</si>
  <si>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</si>
  <si>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</si>
  <si>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</si>
  <si>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</si>
  <si>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</si>
  <si>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</si>
  <si>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</si>
  <si>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</si>
  <si>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</si>
  <si>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</si>
  <si>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</si>
  <si>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</si>
  <si>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</si>
  <si>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</si>
  <si>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</si>
  <si>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</si>
  <si>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</si>
  <si>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</si>
  <si>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</si>
  <si>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</si>
  <si>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</si>
  <si>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</si>
  <si>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</si>
  <si>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</si>
  <si>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</si>
  <si>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</si>
  <si>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</si>
  <si>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</si>
  <si>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</si>
  <si>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</si>
  <si>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</si>
  <si>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</si>
  <si>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</si>
  <si>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</si>
  <si>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</si>
  <si>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</si>
  <si>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</si>
  <si>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</si>
  <si>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</si>
  <si>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</si>
  <si>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</si>
  <si>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</si>
  <si>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</si>
  <si>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</si>
  <si>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</si>
  <si>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</si>
  <si>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</si>
  <si>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</si>
  <si>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</si>
  <si>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</si>
  <si>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</si>
  <si>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</si>
  <si>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</si>
  <si>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</si>
  <si>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</si>
  <si>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</si>
  <si>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</si>
  <si>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</si>
  <si>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</si>
  <si>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</si>
  <si>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</si>
  <si>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</si>
  <si>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</si>
  <si>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</si>
  <si>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</si>
  <si>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</si>
  <si>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</si>
  <si>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</si>
  <si>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</si>
  <si>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</si>
  <si>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</si>
  <si>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</si>
  <si>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</si>
  <si>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</si>
  <si>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</si>
  <si>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</si>
  <si>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</si>
  <si>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</si>
  <si>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</si>
  <si>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</si>
  <si>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</si>
  <si>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</si>
  <si>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</si>
  <si>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</si>
  <si>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</si>
  <si>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</si>
  <si>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</si>
  <si>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</si>
  <si>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</si>
  <si>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</si>
  <si>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</si>
  <si>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</si>
  <si>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</si>
  <si>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</si>
  <si>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</si>
  <si>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</si>
  <si>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</si>
  <si>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</si>
  <si>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</si>
  <si>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</si>
  <si>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TOTAAL eigen vloot (MWh)</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</si>
  <si>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</si>
  <si>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</si>
  <si>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</si>
  <si>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</si>
  <si>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</si>
  <si>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</si>
  <si>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</si>
  <si>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</si>
  <si>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</si>
  <si>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</si>
  <si>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</si>
  <si>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</si>
  <si>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</si>
  <si>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</si>
  <si>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</si>
  <si>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</si>
  <si>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</si>
  <si>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</si>
  <si>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</si>
  <si>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</si>
  <si>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</si>
  <si>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</si>
  <si>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</si>
  <si>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</si>
  <si>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</si>
  <si>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</si>
  <si>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</si>
  <si>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</si>
  <si>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</si>
  <si>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</si>
  <si>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</si>
  <si>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</si>
  <si>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</si>
  <si>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</si>
  <si>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</si>
  <si>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</si>
  <si>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</si>
  <si>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</si>
  <si>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</si>
  <si>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</si>
  <si>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</si>
  <si>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</si>
  <si>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</si>
  <si>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</si>
  <si>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</si>
  <si>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</si>
  <si>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</si>
  <si>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</si>
  <si>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</si>
  <si>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</si>
  <si>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</si>
  <si>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</si>
  <si>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</si>
  <si>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</si>
  <si>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</si>
  <si>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</si>
  <si>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</si>
  <si>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</si>
  <si>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</si>
  <si>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</si>
  <si>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</si>
  <si>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</si>
  <si>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</si>
  <si>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</si>
  <si>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</si>
  <si>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</si>
  <si>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</si>
  <si>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</si>
  <si>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</si>
  <si>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</si>
  <si>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</si>
  <si>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</si>
  <si>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</si>
  <si>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</si>
  <si>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</si>
  <si>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</si>
  <si>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</si>
  <si>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</si>
  <si>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</si>
  <si>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</si>
  <si>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</si>
  <si>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</si>
  <si>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</si>
  <si>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</si>
  <si>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</si>
  <si>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</si>
  <si>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</si>
  <si>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</si>
  <si>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</si>
  <si>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</si>
  <si>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</si>
  <si>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</si>
  <si>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</si>
  <si>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</si>
  <si>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</si>
  <si>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</si>
  <si>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</si>
  <si>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</si>
  <si>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</si>
  <si>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</si>
  <si>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</si>
  <si>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</si>
  <si>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</si>
  <si>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</si>
  <si>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</si>
  <si>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</si>
  <si>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</si>
  <si>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</si>
  <si>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</si>
  <si>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</si>
  <si>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</si>
  <si>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</si>
  <si>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</si>
  <si>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</si>
  <si>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</si>
  <si>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</si>
  <si>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</si>
  <si>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</si>
  <si>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</si>
  <si>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Kaat Jespers</t>
  </si>
  <si>
    <t>Wilfrid Degroot</t>
  </si>
  <si>
    <t>015 / 408 791</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</si>
  <si>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</si>
  <si>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</si>
  <si>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</si>
  <si>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</si>
  <si>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</si>
  <si>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</si>
  <si>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</si>
  <si>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</si>
  <si>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</si>
  <si>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</si>
  <si>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</si>
  <si>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</si>
  <si>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</si>
  <si>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</si>
  <si>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</si>
  <si>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</si>
  <si>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</si>
  <si>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</si>
  <si>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</si>
  <si>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</si>
  <si>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K. Jespers</t>
  </si>
  <si>
    <t>Aantal zonnecollectoren en warmtepompen per gemeente, indienjaar en functie uit EPB</t>
  </si>
  <si>
    <t>Lieven Van Lieshout</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</si>
  <si>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</si>
  <si>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</si>
  <si>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</si>
  <si>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</si>
  <si>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</si>
  <si>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</si>
  <si>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</si>
  <si>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</si>
  <si>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</si>
  <si>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</si>
  <si>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</si>
  <si>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</si>
  <si>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geen informatie beschikbaar</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</si>
  <si>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</si>
  <si>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</si>
  <si>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</si>
  <si>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</si>
  <si>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</si>
  <si>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Verbruik aangeleverd door netbeheerders</t>
  </si>
  <si>
    <t>niet van toepassing</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</si>
  <si>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</si>
  <si>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</si>
  <si>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</si>
  <si>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</si>
  <si>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</si>
  <si>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</si>
  <si>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</si>
  <si>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</si>
  <si>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</si>
  <si>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</si>
  <si>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</si>
  <si>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</si>
  <si>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</si>
  <si>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</si>
  <si>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</si>
  <si>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</si>
  <si>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</si>
  <si>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</si>
  <si>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</si>
  <si>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</si>
  <si>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</si>
  <si>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</si>
  <si>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</si>
  <si>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</si>
  <si>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</si>
  <si>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</si>
  <si>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</si>
  <si>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</si>
  <si>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</si>
  <si>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</si>
  <si>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</si>
  <si>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02 / 553 46 22</t>
  </si>
  <si>
    <t>02 / 553 46 09</t>
  </si>
  <si>
    <t>VITO Inventaris hernieuwbare energie (januari 2019) (gemiddelde 2011 - 2017)</t>
  </si>
  <si>
    <t>VITO Inventaris hernieuwbare energie (januari 2019)</t>
  </si>
  <si>
    <t>COPERT 5 standaardwaardes</t>
  </si>
  <si>
    <t>standaardwaardes in COPERT-tool</t>
  </si>
  <si>
    <t>Rita Van Dievoort</t>
  </si>
  <si>
    <t>Rita.VanDievoort@vlm.be</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</si>
  <si>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</si>
  <si>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</si>
  <si>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</si>
  <si>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</si>
  <si>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</si>
  <si>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</si>
  <si>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</si>
  <si>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</si>
  <si>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</si>
  <si>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</si>
  <si>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</si>
  <si>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</si>
  <si>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t>betrouwbaarheid inventaris</t>
  </si>
  <si>
    <t>betrouwbaarheid productie</t>
  </si>
  <si>
    <t>betrouwbaarheid cijfers inventaris</t>
  </si>
  <si>
    <t>lokale productie van elektriciteit en warmte</t>
  </si>
  <si>
    <t>betrouwbaarheid cijfers lokale energieproductie</t>
  </si>
  <si>
    <t>De Lijn (2021)</t>
  </si>
  <si>
    <t>Fuel Cell H2</t>
  </si>
  <si>
    <t>H2</t>
  </si>
  <si>
    <t>Diesel Hybrid PHEV</t>
  </si>
  <si>
    <t>Petrol Hybrid PHEV</t>
  </si>
  <si>
    <t>Petrol Hybrid CS</t>
  </si>
  <si>
    <t>Data VMM 2021</t>
  </si>
  <si>
    <t>Diesel hybride</t>
  </si>
  <si>
    <t>COPERT 5.4</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</si>
  <si>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</si>
  <si>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</si>
  <si>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</si>
  <si>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</si>
  <si>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</si>
  <si>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</si>
  <si>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</si>
  <si>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</si>
  <si>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</si>
  <si>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VEKA</t>
  </si>
  <si>
    <t>Energiebalans Vlaanderen</t>
  </si>
  <si>
    <t>22 januari 2020</t>
  </si>
  <si>
    <t>kaat.jespers@vlaanderen.be</t>
  </si>
  <si>
    <t>https://www.energiesparen.be/energiestatistieken</t>
  </si>
  <si>
    <t>Energiebalans Vlaanderen niet-ETS</t>
  </si>
  <si>
    <t>E Balans VL '!A1</t>
  </si>
  <si>
    <t>kolen HV</t>
  </si>
  <si>
    <t>aardgas HV</t>
  </si>
  <si>
    <t>but/prop</t>
  </si>
  <si>
    <t>elektriciteit HV</t>
  </si>
  <si>
    <t>biomassa</t>
  </si>
  <si>
    <t>aardgas (excl. 5% afnamepunten aardgas enkel koken)</t>
  </si>
  <si>
    <t>%verdeling bijverwarming</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</si>
  <si>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</si>
  <si>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2020.
</t>
  </si>
  <si>
    <r>
      <t>sheet met resultaten inventaris voor</t>
    </r>
    <r>
      <rPr>
        <b/>
        <sz val="11"/>
        <color rgb="FF009999"/>
        <rFont val="Calibri"/>
        <family val="2"/>
        <scheme val="minor"/>
      </rPr>
      <t xml:space="preserve"> 2020</t>
    </r>
    <r>
      <rPr>
        <sz val="11"/>
        <color theme="1"/>
        <rFont val="Calibri"/>
        <family val="2"/>
        <scheme val="minor"/>
      </rPr>
      <t>, weergegeven in SEAP template</t>
    </r>
  </si>
  <si>
    <t>Energiebalans Vlaanderen voor 2020 voor sector huishoudens, tertiair, industrie (niet-ETS) en landbouw</t>
  </si>
  <si>
    <t>verdeling energiedragers Vlaanderen 2020</t>
  </si>
  <si>
    <t>2020_01</t>
  </si>
  <si>
    <t>versie: 2020_01</t>
  </si>
  <si>
    <t>Bron: CH4 vee-model (VMM, januari 2022)</t>
  </si>
  <si>
    <t>Bron: N2O-model (VMM, januari 2022)</t>
  </si>
  <si>
    <t>VMM (januari 2022)</t>
  </si>
  <si>
    <t>Mestbank (2022)</t>
  </si>
  <si>
    <t>januari 2022</t>
  </si>
  <si>
    <t xml:space="preserve">emissiefactoren niet-energiegerelateerde emissies CH4 en N2O voor 2020 uit rekenmodellen VMM </t>
  </si>
  <si>
    <t>februari 2022</t>
  </si>
  <si>
    <t>https://www.vlm.be/nl/themas/waterkwaliteit/Mestbank/Achtergrond/cijfers-en-studies/gemeentestatistieken_mestbank/Paginas/default.aspx</t>
  </si>
  <si>
    <t>april 2021</t>
  </si>
  <si>
    <t>https://www.fluvius.be/nl/thema/open-data/verbruiksgegevens-per-sector?app-refresh=1652793226341</t>
  </si>
  <si>
    <t>https://statistieken.vlaanderen.be/QvAJAXZfc/notoolbar.htm?document=SVR%2FSV-Demografie-ProjectiesHuishoudens-20180226.qvw&amp;host=QVS%40cwv100154&amp;anonymous=true</t>
  </si>
  <si>
    <t>Statistiek Vlaanderen</t>
  </si>
  <si>
    <t>Vooruitzichten private huishoudens</t>
  </si>
  <si>
    <t>MWh hoofdverw/hh (2020)</t>
  </si>
  <si>
    <t>aantallen 2020 voor hoofdverwarming</t>
  </si>
  <si>
    <t>aantallen 2020 voor bijverwarming</t>
  </si>
  <si>
    <t>MWh bijverwarming/hh (2020)</t>
  </si>
  <si>
    <t>VITO Energiebalans Vlaanderen (december 2021)</t>
  </si>
  <si>
    <t>Energiebalans Vlaanderen 1990 - 2020</t>
  </si>
  <si>
    <t>december 2021</t>
  </si>
  <si>
    <t xml:space="preserve">Energiebalans Vlaanderen (december 2021) 
</t>
  </si>
  <si>
    <t>aantal huishoudens 2020</t>
  </si>
  <si>
    <t>aantal afnemers aardgas 2020</t>
  </si>
  <si>
    <t>vloeibaar gas (MWh)</t>
  </si>
  <si>
    <t>voor ingave in SEAP (WKK)</t>
  </si>
  <si>
    <t>voor ingave in SEAP (niet-WKK)</t>
  </si>
  <si>
    <t>SEAP template met inventaris voor 2020</t>
  </si>
  <si>
    <t>Inventaris 2020'!A1</t>
  </si>
  <si>
    <t>Lokale energieproductie 2020</t>
  </si>
  <si>
    <t>informatie over eigen organisatie zelf invullen; default waardes zonneboilers en warmtepompen  kunnen vervangen worden door eigen waardes</t>
  </si>
  <si>
    <t>zowel warmteleveringen uit productie eigen grondgebied als buiten het grondgebied (geïmporteerde warmteproductie)!</t>
  </si>
  <si>
    <t>input voor maatregelen tool</t>
  </si>
  <si>
    <t>Verbruik ingeschat op  basis van inschatting aantal huishoudens op vloeibaar gas en gemiddeld verbruik van vloeibaar gas per huishouden; aantal huishoudens op vloeibaar gas wordt ingeschat op basis van het totaal aantal huishoudens, aantal afnemers van aardgas, aantal warmtepompen en de procentuele verdeling over energiedragers voor huishoudens uit de Energiebalans Vlaanderen</t>
  </si>
  <si>
    <t>Verbruik ingeschat op  basis van inschatting aantal huishoudens op stookolie en gemiddeld verbruik van stookolie per huishouden; aantal huishoudens op stookolie wordt in geschat op basis van het totaal aantal huishoudens, aantal afnemers van aardgas, aantal warmtepompen en de procentuele verdeling over energiedragers voor huishoudens uit de Energiebalans Vlaanderen</t>
  </si>
  <si>
    <t>Verbruik ingeschat op  basis van inschatting aantal huishoudens op steenkool en gemiddeld verbruik van steenkool per huishouden; aantal huishoudens op steenkool wordt ingeschat op basis van het totaal aantal huishoudens, aantal afnemers voor aardgas, aantal warmtepompen en de procentuele verdeling over energiedragers voor huishoudens uit de Energiebalans Vlaanderen</t>
  </si>
  <si>
    <t>Verbruik ingeschat op  basis van inschatting aantal huishoudens op hout en gemiddeld verbruik van hout per huishouden; aantal huishoudens op hout wordt ingeschat op basis van het totaal aantal huishoudens,  aantal afnemers van aardgas, aantal warmtepompen en de procentuele verdeling over energiedragers voor huishoudens uit de Energiebalans Vlaanderen</t>
  </si>
  <si>
    <t>Verbruik aangeleverd door netbeheerders, vermeerderd met lokaal geproduceerde elektriciteit WKK/motoren; lokale productie is gebaseerd op installatiespecifieke gegevens, geaggregeerd per sector en gemeente (excl. niet-ETS, installaties met brandstofinput &gt; 20 Mwe)</t>
  </si>
  <si>
    <t>Lokaal geproduceerde warmte WKK/motoren; lokale productie is gebaseerd op installatiespecifieke gegevens, geaggregeerd per sector en gemeente (excl. niet-ETS, installaties met brandstofinput &gt; 20 Mwe);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</si>
  <si>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 door WKK/motoren</t>
  </si>
  <si>
    <t>Herschaling verbruik stookolie in Vlaanderen a rato van het elektriciteitsverbruik; verminderd met verbruik stookolie voor lokale productie van elektriciteit en/of warmte door WKK/motoren</t>
  </si>
  <si>
    <t>Herschaling verbruik biomassa in Vlaanderen a rato van het elektriciteitsverbruik; verminderd met verbruik biomassa voor lokale productie van elektriciteit en/of warmte door WKK/motoren</t>
  </si>
  <si>
    <t>Verbruik aangeleverd door netbeheerders, vermeerderd met lokaal geproduceerde elektriciteit WKK/motoren;lokale productie is gebaseerd op installatiespecifieke gegevens, geaggregeerd per sector en gemeente (excl. niet-ETS, installaties met brandstofinput &gt; 20 Mwe)</t>
  </si>
  <si>
    <r>
      <t xml:space="preserve">Inschatting energieverbruik op basis van het aantal voertuigkilometers per voertuigtechnologie en energieconsumptiefactor per voertuigtechnologie; voertuigkilometers worden ingeschat met het mobiliteitsmodel </t>
    </r>
    <r>
      <rPr>
        <sz val="11"/>
        <color rgb="FFFF0000"/>
        <rFont val="Calibri"/>
        <family val="2"/>
        <scheme val="minor"/>
      </rPr>
      <t xml:space="preserve">PROMOVIA dat verkeerstellingen (voornamelijk op snelwegen) herschaald op basis van lokale parameters (bv. werkgelegenheidsgraad); </t>
    </r>
    <r>
      <rPr>
        <sz val="11"/>
        <rFont val="Calibri"/>
        <family val="2"/>
        <scheme val="minor"/>
      </rPr>
      <t>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</si>
  <si>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xml:space="preserve">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</si>
  <si>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</si>
  <si>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</si>
  <si>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</si>
  <si>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</si>
  <si>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t>herschaling Vlaamse productie op basis van het aandeel van het totaal gemeentespecifiek vermogen in totaal vermogen Vlaanderen</t>
  </si>
  <si>
    <t>31 mei 2022</t>
  </si>
  <si>
    <t>Nadine Dufait</t>
  </si>
  <si>
    <t>02 / 553 46 12</t>
  </si>
  <si>
    <t>nadine.dufait@vlaanderen.be</t>
  </si>
  <si>
    <t>catherine.vanthienen@vlaanderen.be</t>
  </si>
  <si>
    <t>lieven.vanlieshout@vlaanderen.be</t>
  </si>
  <si>
    <t>23 mei 2022</t>
  </si>
  <si>
    <t>17 maart 2022</t>
  </si>
  <si>
    <t>02 / 553 15 62 </t>
  </si>
  <si>
    <t>28 februari 2022</t>
  </si>
  <si>
    <t>correctie voor lokale energieproductie  (WKK en niet-WKK))</t>
  </si>
  <si>
    <t>correctie voor lokale energieproductie  (WKK en niet-WKK)</t>
  </si>
  <si>
    <t>energieverbruik en energieproductie WKK en niet-WKK, installatiespecifieke gegevens geaggregeerd per sector en gemeente</t>
  </si>
  <si>
    <t>energieproductie WKK en niet-WKK, installatiespecifieke gegevens geaggregeerd per sector en gemeente</t>
  </si>
  <si>
    <t>energieverbruik WKK en niet-WKK, installatiespecifieke gegevens geaggregeerd per sector en gemeente</t>
  </si>
  <si>
    <r>
      <rPr>
        <b/>
        <u val="singleAccounting"/>
        <sz val="11"/>
        <color rgb="FFFF0000"/>
        <rFont val="Calibri"/>
        <family val="2"/>
        <scheme val="minor"/>
      </rPr>
      <t>voor 2020</t>
    </r>
    <r>
      <rPr>
        <b/>
        <sz val="11"/>
        <color rgb="FFFF0000"/>
        <rFont val="Calibri"/>
        <family val="2"/>
        <scheme val="minor"/>
      </rPr>
      <t xml:space="preserve">: enkel invullen voor afvalverbrandingsinstallaties gekoppeld aan een warmtenet; andere afvalverbrandingsinstallaties werden </t>
    </r>
    <r>
      <rPr>
        <b/>
        <u val="singleAccounting"/>
        <sz val="11"/>
        <color rgb="FFFF0000"/>
        <rFont val="Calibri"/>
        <family val="2"/>
        <scheme val="minor"/>
      </rPr>
      <t>voor 2020</t>
    </r>
    <r>
      <rPr>
        <b/>
        <sz val="11"/>
        <color rgb="FFFF0000"/>
        <rFont val="Calibri"/>
        <family val="2"/>
        <scheme val="minor"/>
      </rPr>
      <t xml:space="preserve"> reeds meegenomen in rekenblad "lokale energieproductie"</t>
    </r>
  </si>
  <si>
    <r>
      <t xml:space="preserve">5. Warmteleveringen uit </t>
    </r>
    <r>
      <rPr>
        <b/>
        <u val="singleAccounting"/>
        <sz val="11"/>
        <color theme="1"/>
        <rFont val="Calibri"/>
        <family val="2"/>
        <scheme val="minor"/>
      </rPr>
      <t xml:space="preserve">warmtenetten </t>
    </r>
    <r>
      <rPr>
        <b/>
        <sz val="11"/>
        <color theme="1"/>
        <rFont val="Calibri"/>
        <family val="2"/>
        <scheme val="minor"/>
      </rPr>
      <t xml:space="preserve">per sector </t>
    </r>
  </si>
  <si>
    <t>niet-WKK</t>
  </si>
  <si>
    <t>tabblad ECF transport: ECF o.b.v. doorrekening COPERT 5.5 door VMM (2022)</t>
  </si>
  <si>
    <t xml:space="preserve">tabblad transport: '% Biobrandstoffen' obv doorrekening COPERT 5.5 door VMM (2022) </t>
  </si>
  <si>
    <t xml:space="preserve">tabblad transport: 'Verdeelsleutel voertuigkm over voertuigtechnologie' o.b.v. doorrekening COPERT 5.5 door VMM (2022) </t>
  </si>
  <si>
    <t>Jaarverslag van De Lijn 2020</t>
  </si>
  <si>
    <t>"fuel sold" - gerapporteerde brandstofverkopen voor wegtransport voor 2020</t>
  </si>
  <si>
    <t>Data VMM 2022</t>
  </si>
  <si>
    <t>VMM 2022, COPERT 5.5</t>
  </si>
  <si>
    <t>wilfrid.degroot@delijn.be</t>
  </si>
  <si>
    <t>voorjaar 2022</t>
  </si>
  <si>
    <t/>
  </si>
  <si>
    <t>COPERT 5.5 doorrekening voor wegtransport voor 2011-2020</t>
  </si>
  <si>
    <t>Bron: VMM 2022, COPERT 5.5</t>
  </si>
  <si>
    <t>72030</t>
  </si>
  <si>
    <t>PEER</t>
  </si>
  <si>
    <t>waterkracht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</si>
</sst>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
      <u/>
      <sz val="11"/>
      <color rgb="FFFF0000"/>
      <name val="Calibri"/>
      <family val="2"/>
    </font>
    <font>
      <b/>
      <u val="singleAccounting"/>
      <sz val="11"/>
      <color rgb="FFFF0000"/>
      <name val="Calibri"/>
      <family val="2"/>
      <scheme val="minor"/>
    </font>
    <font>
      <b/>
      <u val="singleAccounting"/>
      <sz val="11"/>
      <color theme="1"/>
      <name val="Calibri"/>
      <family val="2"/>
      <scheme val="minor"/>
    </font>
    <font>
      <u/>
      <sz val="11"/>
      <name val="Calibri"/>
      <family val="2"/>
    </font>
  </fonts>
  <fills count="67">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
      <patternFill patternType="solid">
        <fgColor rgb="FF92D050"/>
        <bgColor indexed="64"/>
      </patternFill>
    </fill>
  </fills>
  <borders count="21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style="medium">
        <color indexed="64"/>
      </left>
      <right style="thin">
        <color rgb="FF009999"/>
      </right>
      <top/>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3" fillId="0" borderId="0"/>
    <xf numFmtId="0" fontId="2" fillId="0" borderId="0" applyNumberFormat="0" applyFill="0" applyBorder="0" applyAlignment="0" applyProtection="0"/>
    <xf numFmtId="0" fontId="104" fillId="0" borderId="175"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5" fillId="0" borderId="175"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198" applyNumberFormat="0" applyAlignment="0" applyProtection="0"/>
    <xf numFmtId="0" fontId="119" fillId="34" borderId="199" applyNumberFormat="0" applyAlignment="0" applyProtection="0"/>
    <xf numFmtId="0" fontId="120" fillId="34" borderId="198" applyNumberFormat="0" applyAlignment="0" applyProtection="0"/>
    <xf numFmtId="0" fontId="121"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2"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3"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3"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4" fillId="0" borderId="205" applyNumberFormat="0" applyFill="0" applyBorder="0" applyProtection="0">
      <alignment horizontal="left" vertical="center"/>
    </xf>
    <xf numFmtId="0" fontId="27" fillId="0" borderId="205" applyNumberFormat="0" applyFill="0" applyAlignment="0" applyProtection="0"/>
    <xf numFmtId="0" fontId="126"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4"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4"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4"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3" fillId="0" borderId="0"/>
    <xf numFmtId="0" fontId="128" fillId="63" borderId="211">
      <alignment horizontal="center"/>
    </xf>
    <xf numFmtId="0" fontId="129" fillId="64" borderId="211"/>
    <xf numFmtId="0" fontId="129" fillId="65" borderId="211"/>
    <xf numFmtId="0" fontId="5" fillId="0" borderId="0"/>
    <xf numFmtId="0" fontId="103" fillId="0" borderId="0"/>
    <xf numFmtId="9" fontId="103"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0" fontId="103" fillId="0" borderId="0"/>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4"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4"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4"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3" fillId="0" borderId="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93">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15" fillId="0" borderId="0" xfId="149" applyNumberFormat="1" applyFont="1" applyFill="1"/>
    <xf numFmtId="172" fontId="102" fillId="0" borderId="0" xfId="148" applyFont="1" applyAlignment="1" applyProtection="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6" fillId="12" borderId="183" xfId="0" applyNumberFormat="1" applyFont="1" applyFill="1" applyBorder="1" applyAlignment="1">
      <alignment horizontal="center" vertical="center" wrapText="1"/>
    </xf>
    <xf numFmtId="3" fontId="23" fillId="0" borderId="0" xfId="0" applyNumberFormat="1" applyFont="1"/>
    <xf numFmtId="3" fontId="106"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7"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8"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2"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1"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1"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112"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2"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protection locked="0"/>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172" fontId="0" fillId="0" borderId="0" xfId="0" applyFill="1"/>
    <xf numFmtId="172" fontId="72" fillId="0" borderId="0" xfId="148" quotePrefix="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3" fontId="7" fillId="0" borderId="111" xfId="0" applyNumberFormat="1" applyFont="1" applyFill="1" applyBorder="1"/>
    <xf numFmtId="1" fontId="112" fillId="66" borderId="181" xfId="0" applyNumberFormat="1" applyFont="1" applyFill="1" applyBorder="1" applyAlignment="1">
      <alignment horizontal="left" vertical="top" wrapText="1"/>
    </xf>
    <xf numFmtId="0" fontId="6" fillId="25" borderId="0" xfId="0" applyNumberFormat="1" applyFont="1" applyFill="1"/>
    <xf numFmtId="0" fontId="6" fillId="4" borderId="0" xfId="0" applyNumberFormat="1" applyFont="1" applyFill="1"/>
    <xf numFmtId="0" fontId="132" fillId="4" borderId="0" xfId="148" applyNumberFormat="1" applyFont="1" applyFill="1" applyAlignment="1" applyProtection="1"/>
    <xf numFmtId="1" fontId="24" fillId="66" borderId="181" xfId="0" applyNumberFormat="1" applyFont="1" applyFill="1" applyBorder="1" applyAlignment="1" applyProtection="1">
      <alignment horizontal="left" vertical="top"/>
      <protection locked="0"/>
    </xf>
    <xf numFmtId="4" fontId="0" fillId="66" borderId="0" xfId="0" applyNumberFormat="1" applyFill="1" applyAlignment="1">
      <alignment horizontal="left" vertical="top" wrapText="1"/>
    </xf>
    <xf numFmtId="1" fontId="24" fillId="66" borderId="181" xfId="0" applyNumberFormat="1" applyFont="1" applyFill="1" applyBorder="1" applyAlignment="1" applyProtection="1">
      <alignment horizontal="center" vertical="center"/>
      <protection locked="0"/>
    </xf>
    <xf numFmtId="1" fontId="6" fillId="0" borderId="208" xfId="0" applyNumberFormat="1" applyFont="1" applyBorder="1" applyAlignment="1" applyProtection="1">
      <alignment horizontal="left" vertical="top" wrapText="1"/>
      <protection locked="0"/>
    </xf>
    <xf numFmtId="172" fontId="96" fillId="0" borderId="213" xfId="0" applyFont="1" applyBorder="1"/>
    <xf numFmtId="0" fontId="24" fillId="24" borderId="0" xfId="224" applyNumberFormat="1" applyFont="1" applyFill="1" applyAlignment="1"/>
    <xf numFmtId="0" fontId="135" fillId="4" borderId="0" xfId="148" applyNumberFormat="1" applyFont="1" applyFill="1" applyAlignment="1" applyProtection="1"/>
    <xf numFmtId="0" fontId="24" fillId="24" borderId="0" xfId="224" quotePrefix="1" applyNumberFormat="1" applyFont="1" applyFill="1"/>
    <xf numFmtId="0" fontId="24" fillId="0" borderId="0" xfId="0" applyNumberFormat="1" applyFont="1" applyFill="1" applyBorder="1" applyAlignment="1">
      <alignmen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29" fillId="0" borderId="0" xfId="0" applyNumberFormat="1" applyFont="1" applyBorder="1" applyAlignment="1">
      <alignment horizontal="justify"/>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center" wrapText="1"/>
    </xf>
    <xf numFmtId="3" fontId="106" fillId="12" borderId="182" xfId="0" applyNumberFormat="1" applyFont="1" applyFill="1" applyBorder="1" applyAlignment="1">
      <alignment horizontal="center" vertical="top" wrapText="1"/>
    </xf>
    <xf numFmtId="3" fontId="106" fillId="12" borderId="183"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4"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10"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9" fillId="0" borderId="0" xfId="0" applyFont="1" applyFill="1" applyBorder="1" applyAlignment="1" applyProtection="1">
      <alignment horizontal="center" vertical="center" wrapText="1"/>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172" fontId="39" fillId="0" borderId="0" xfId="0" applyFont="1" applyFill="1" applyBorder="1" applyAlignment="1" applyProtection="1">
      <alignment horizontal="right" vertical="center"/>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applyBorder="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0" fontId="24" fillId="0" borderId="0" xfId="239" applyFont="1" applyBorder="1"/>
    <xf numFmtId="182" fontId="24" fillId="0" borderId="0" xfId="173" applyNumberFormat="1" applyFont="1" applyBorder="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182" fontId="0" fillId="0" borderId="0" xfId="173" applyNumberFormat="1" applyFont="1" applyFill="1"/>
    <xf numFmtId="182" fontId="24" fillId="0" borderId="111" xfId="173" applyNumberFormat="1" applyFont="1" applyFill="1" applyBorder="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4" xfId="239" applyFont="1" applyBorder="1"/>
    <xf numFmtId="182" fontId="0" fillId="0" borderId="214" xfId="173" applyNumberFormat="1" applyFont="1" applyBorder="1"/>
    <xf numFmtId="182" fontId="0" fillId="0" borderId="0" xfId="173" applyNumberFormat="1" applyFont="1" applyBorder="1"/>
    <xf numFmtId="0" fontId="24" fillId="23" borderId="0" xfId="0" applyNumberFormat="1" applyFont="1" applyFill="1"/>
    <xf numFmtId="0" fontId="45" fillId="23" borderId="0" xfId="0" applyNumberFormat="1" applyFont="1" applyFill="1"/>
    <xf numFmtId="0" fontId="0" fillId="0" borderId="214"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25EC74C6-7081-4335-8A2E-2B072EB59592}"/>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125807.19620765776</c:v>
                </c:pt>
                <c:pt idx="1">
                  <c:v>59020.97195473827</c:v>
                </c:pt>
                <c:pt idx="2">
                  <c:v>1089.04430528634</c:v>
                </c:pt>
                <c:pt idx="3">
                  <c:v>19312.188689757382</c:v>
                </c:pt>
                <c:pt idx="4">
                  <c:v>11159.748319637787</c:v>
                </c:pt>
                <c:pt idx="5">
                  <c:v>113460.7520388487</c:v>
                </c:pt>
                <c:pt idx="6">
                  <c:v>2289.2360725825124</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125807.19620765776</c:v>
                </c:pt>
                <c:pt idx="1">
                  <c:v>59020.97195473827</c:v>
                </c:pt>
                <c:pt idx="2">
                  <c:v>1089.04430528634</c:v>
                </c:pt>
                <c:pt idx="3">
                  <c:v>19312.188689757382</c:v>
                </c:pt>
                <c:pt idx="4">
                  <c:v>11159.748319637787</c:v>
                </c:pt>
                <c:pt idx="5">
                  <c:v>113460.7520388487</c:v>
                </c:pt>
                <c:pt idx="6">
                  <c:v>2289.2360725825124</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24570.928003672958</c:v>
                </c:pt>
                <c:pt idx="1">
                  <c:v>11068.519332256257</c:v>
                </c:pt>
                <c:pt idx="2">
                  <c:v>179.63618829752954</c:v>
                </c:pt>
                <c:pt idx="3">
                  <c:v>4748.6050633337754</c:v>
                </c:pt>
                <c:pt idx="4">
                  <c:v>2149.8979876834446</c:v>
                </c:pt>
                <c:pt idx="5">
                  <c:v>26846.633069008589</c:v>
                </c:pt>
                <c:pt idx="6">
                  <c:v>546.00607412862689</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24570.928003672958</c:v>
                </c:pt>
                <c:pt idx="1">
                  <c:v>11068.519332256257</c:v>
                </c:pt>
                <c:pt idx="2">
                  <c:v>179.63618829752954</c:v>
                </c:pt>
                <c:pt idx="3">
                  <c:v>4748.6050633337754</c:v>
                </c:pt>
                <c:pt idx="4">
                  <c:v>2149.8979876834446</c:v>
                </c:pt>
                <c:pt idx="5">
                  <c:v>26846.633069008589</c:v>
                </c:pt>
                <c:pt idx="6">
                  <c:v>546.00607412862689</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15"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15"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15"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1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262892</xdr:colOff>
      <xdr:row>0</xdr:row>
      <xdr:rowOff>0</xdr:rowOff>
    </xdr:from>
    <xdr:to>
      <xdr:col>22</xdr:col>
      <xdr:colOff>951716</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35969" y="0"/>
          <a:ext cx="6784824" cy="52257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lieven.vanlieshout@vlaanderen.be" TargetMode="External"/><Relationship Id="rId13" Type="http://schemas.openxmlformats.org/officeDocument/2006/relationships/printerSettings" Target="../printerSettings/printerSettings21.bin"/><Relationship Id="rId3" Type="http://schemas.openxmlformats.org/officeDocument/2006/relationships/hyperlink" Target="mailto:Rita.VanDievoort@vlm.be" TargetMode="External"/><Relationship Id="rId7" Type="http://schemas.openxmlformats.org/officeDocument/2006/relationships/hyperlink" Target="https://statistieken.vlaanderen.be/QvAJAXZfc/notoolbar.htm?document=SVR%2FSV-Demografie-ProjectiesHuishoudens-20180226.qvw&amp;host=QVS%40cwv100154&amp;anonymous=true" TargetMode="External"/><Relationship Id="rId12" Type="http://schemas.openxmlformats.org/officeDocument/2006/relationships/hyperlink" Target="https://www.vlaanderen.be/nl/publicaties/detail/jaarverslag-de-lijn" TargetMode="External"/><Relationship Id="rId2" Type="http://schemas.openxmlformats.org/officeDocument/2006/relationships/hyperlink" Target="https://ec.europa.eu/jrc/en/publication/covenant-mayors-climate-and-energy-default-emission-factors-local-emission-inventories-version-2017" TargetMode="External"/><Relationship Id="rId1" Type="http://schemas.openxmlformats.org/officeDocument/2006/relationships/hyperlink" Target="mailto:marlies.vanhulsel@vito.be" TargetMode="External"/><Relationship Id="rId6" Type="http://schemas.openxmlformats.org/officeDocument/2006/relationships/hyperlink" Target="https://www.fluvius.be/nl/thema/open-data/verbruiksgegevens-per-sector?app-refresh=1652793226341" TargetMode="External"/><Relationship Id="rId11" Type="http://schemas.openxmlformats.org/officeDocument/2006/relationships/hyperlink" Target="mailto:kaat.jespers@vlaanderen.be" TargetMode="External"/><Relationship Id="rId5" Type="http://schemas.openxmlformats.org/officeDocument/2006/relationships/hyperlink" Target="https://www.vlm.be/nl/themas/waterkwaliteit/Mestbank/Achtergrond/cijfers-en-studies/gemeentestatistieken_mestbank/Paginas/default.aspx" TargetMode="External"/><Relationship Id="rId10" Type="http://schemas.openxmlformats.org/officeDocument/2006/relationships/hyperlink" Target="mailto:catherine.vanthienen@vlaanderen.be" TargetMode="External"/><Relationship Id="rId4" Type="http://schemas.openxmlformats.org/officeDocument/2006/relationships/hyperlink" Target="mailto:kaat.jespers@vlaanderen.be" TargetMode="External"/><Relationship Id="rId9" Type="http://schemas.openxmlformats.org/officeDocument/2006/relationships/hyperlink" Target="mailto:lieven.vanlieshout@vlaanderen.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583</v>
      </c>
      <c r="B2" s="384"/>
      <c r="C2" s="385"/>
    </row>
    <row r="3" spans="1:7" s="11" customFormat="1" ht="15" customHeight="1">
      <c r="A3" s="93"/>
      <c r="B3" s="74"/>
      <c r="C3" s="94"/>
    </row>
    <row r="4" spans="1:7" s="11" customFormat="1" ht="15.75" customHeight="1" thickBot="1">
      <c r="A4" s="105" t="s">
        <v>747</v>
      </c>
      <c r="B4" s="106"/>
      <c r="C4" s="107"/>
    </row>
    <row r="5" spans="1:7" s="378" customFormat="1" ht="15.75" customHeight="1">
      <c r="A5" s="375" t="s">
        <v>0</v>
      </c>
      <c r="B5" s="376"/>
      <c r="C5" s="377"/>
    </row>
    <row r="6" spans="1:7" s="378" customFormat="1" ht="15" customHeight="1">
      <c r="A6" s="379" t="str">
        <f>txtNIS</f>
        <v>72030</v>
      </c>
      <c r="B6" s="380"/>
      <c r="C6" s="381"/>
    </row>
    <row r="7" spans="1:7" s="378" customFormat="1" ht="15.75" customHeight="1">
      <c r="A7" s="382" t="str">
        <f>txtMunicipality</f>
        <v>PEER</v>
      </c>
      <c r="B7" s="380"/>
      <c r="C7" s="381"/>
    </row>
    <row r="8" spans="1:7" ht="15.75" thickBot="1">
      <c r="A8" s="45"/>
      <c r="B8" s="108"/>
      <c r="C8" s="109"/>
    </row>
    <row r="9" spans="1:7" s="371" customFormat="1" ht="15.75" thickBot="1">
      <c r="A9" s="395" t="s">
        <v>342</v>
      </c>
      <c r="B9" s="398"/>
      <c r="C9" s="399"/>
    </row>
    <row r="10" spans="1:7" s="15" customFormat="1" ht="57.75" customHeight="1" thickBot="1">
      <c r="A10" s="1036" t="s">
        <v>742</v>
      </c>
      <c r="B10" s="1037"/>
      <c r="C10" s="1038"/>
    </row>
    <row r="11" spans="1:7" s="372" customFormat="1" ht="15.75" thickBot="1">
      <c r="A11" s="395" t="s">
        <v>344</v>
      </c>
      <c r="B11" s="398"/>
      <c r="C11" s="399"/>
      <c r="G11" s="373"/>
    </row>
    <row r="12" spans="1:7">
      <c r="A12" s="44"/>
      <c r="B12" s="43"/>
      <c r="C12" s="96"/>
    </row>
    <row r="13" spans="1:7" s="372" customFormat="1">
      <c r="A13" s="724" t="s">
        <v>551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345</v>
      </c>
      <c r="B16" s="1039" t="s">
        <v>483</v>
      </c>
      <c r="C16" s="1040"/>
    </row>
    <row r="17" spans="1:3" s="15" customFormat="1" ht="15.75">
      <c r="A17" s="98"/>
      <c r="B17" s="70"/>
      <c r="C17" s="99"/>
    </row>
    <row r="18" spans="1:3">
      <c r="A18" s="95" t="s">
        <v>348</v>
      </c>
      <c r="B18" s="69" t="s">
        <v>360</v>
      </c>
      <c r="C18" s="100" t="s">
        <v>359</v>
      </c>
    </row>
    <row r="19" spans="1:3" s="329" customFormat="1">
      <c r="A19" s="362" t="s">
        <v>346</v>
      </c>
      <c r="B19" s="363" t="s">
        <v>743</v>
      </c>
      <c r="C19" s="364" t="s">
        <v>481</v>
      </c>
    </row>
    <row r="20" spans="1:3" s="329" customFormat="1">
      <c r="A20" s="365"/>
      <c r="B20" s="326"/>
      <c r="C20" s="366"/>
    </row>
    <row r="21" spans="1:3" s="329" customFormat="1">
      <c r="A21" s="367" t="s">
        <v>347</v>
      </c>
      <c r="B21" s="363" t="s">
        <v>478</v>
      </c>
      <c r="C21" s="364" t="s">
        <v>482</v>
      </c>
    </row>
    <row r="22" spans="1:3" s="329" customFormat="1">
      <c r="A22" s="368"/>
      <c r="B22" s="326"/>
      <c r="C22" s="366"/>
    </row>
    <row r="23" spans="1:3" s="329" customFormat="1" ht="30">
      <c r="A23" s="362" t="s">
        <v>403</v>
      </c>
      <c r="B23" s="433" t="s">
        <v>407</v>
      </c>
      <c r="C23" s="364" t="s">
        <v>479</v>
      </c>
    </row>
    <row r="24" spans="1:3" s="329" customFormat="1">
      <c r="A24" s="368"/>
      <c r="B24" s="326"/>
      <c r="C24" s="366"/>
    </row>
    <row r="25" spans="1:3" s="329" customFormat="1">
      <c r="A25" s="362" t="s">
        <v>405</v>
      </c>
      <c r="B25" s="363" t="s">
        <v>404</v>
      </c>
      <c r="C25" s="364" t="s">
        <v>480</v>
      </c>
    </row>
    <row r="26" spans="1:3" s="329" customFormat="1">
      <c r="A26" s="368"/>
      <c r="B26" s="326"/>
      <c r="C26" s="366"/>
    </row>
    <row r="27" spans="1:3" s="329" customFormat="1">
      <c r="A27" s="362" t="s">
        <v>380</v>
      </c>
      <c r="B27" s="363" t="s">
        <v>402</v>
      </c>
      <c r="C27" s="364"/>
    </row>
    <row r="28" spans="1:3" s="329" customFormat="1">
      <c r="A28" s="368"/>
      <c r="B28" s="326" t="s">
        <v>532</v>
      </c>
      <c r="C28" s="366"/>
    </row>
    <row r="29" spans="1:3" ht="15.75" thickBot="1">
      <c r="A29" s="44"/>
      <c r="B29" s="43"/>
      <c r="C29" s="96"/>
    </row>
    <row r="30" spans="1:3" s="371" customFormat="1" ht="15.75" thickBot="1">
      <c r="A30" s="395" t="s">
        <v>357</v>
      </c>
      <c r="B30" s="396"/>
      <c r="C30" s="397"/>
    </row>
    <row r="31" spans="1:3" s="15" customFormat="1" ht="15.75">
      <c r="A31" s="98"/>
      <c r="B31" s="71"/>
      <c r="C31" s="102"/>
    </row>
    <row r="32" spans="1:3" s="15" customFormat="1">
      <c r="A32" s="103" t="s">
        <v>358</v>
      </c>
      <c r="B32" s="73" t="s">
        <v>360</v>
      </c>
      <c r="C32" s="104"/>
    </row>
    <row r="33" spans="1:3" s="389" customFormat="1">
      <c r="A33" s="386" t="s">
        <v>349</v>
      </c>
      <c r="B33" s="387" t="s">
        <v>361</v>
      </c>
      <c r="C33" s="388"/>
    </row>
    <row r="34" spans="1:3" s="389" customFormat="1">
      <c r="A34" s="390" t="s">
        <v>350</v>
      </c>
      <c r="B34" s="391" t="s">
        <v>351</v>
      </c>
      <c r="C34" s="392"/>
    </row>
    <row r="35" spans="1:3" s="389" customFormat="1">
      <c r="A35" s="393" t="s">
        <v>352</v>
      </c>
      <c r="B35" s="391" t="s">
        <v>353</v>
      </c>
      <c r="C35" s="392"/>
    </row>
    <row r="36" spans="1:3" s="389" customFormat="1">
      <c r="A36" s="394" t="s">
        <v>354</v>
      </c>
      <c r="B36" s="391" t="s">
        <v>355</v>
      </c>
      <c r="C36" s="392"/>
    </row>
    <row r="37" spans="1:3" s="389" customFormat="1" ht="30">
      <c r="A37" s="421" t="s">
        <v>356</v>
      </c>
      <c r="B37" s="391" t="s">
        <v>435</v>
      </c>
      <c r="C37" s="392"/>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40.5703125" style="441" customWidth="1"/>
    <col min="6" max="6" width="14.85546875" style="441" customWidth="1"/>
    <col min="7" max="7" width="6.5703125" style="441" bestFit="1" customWidth="1"/>
    <col min="8" max="8" width="8.14062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26.42578125" style="441" bestFit="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460"/>
      <c r="B4" s="458"/>
      <c r="C4" s="490"/>
      <c r="D4" s="490"/>
      <c r="E4" s="490"/>
      <c r="F4" s="490"/>
      <c r="G4" s="490"/>
      <c r="H4" s="490"/>
      <c r="I4" s="490"/>
      <c r="J4" s="490"/>
      <c r="K4" s="490"/>
      <c r="L4" s="490"/>
      <c r="M4" s="490"/>
      <c r="N4" s="490"/>
      <c r="O4" s="490"/>
      <c r="P4" s="490"/>
    </row>
    <row r="5" spans="1:16" outlineLevel="1">
      <c r="A5" s="460"/>
      <c r="B5" s="458"/>
      <c r="C5" s="490"/>
      <c r="D5" s="490"/>
      <c r="E5" s="490"/>
      <c r="F5" s="490"/>
      <c r="G5" s="490"/>
      <c r="H5" s="490"/>
      <c r="I5" s="490"/>
      <c r="J5" s="490"/>
      <c r="K5" s="490"/>
      <c r="L5" s="490"/>
      <c r="M5" s="490"/>
      <c r="N5" s="490"/>
      <c r="O5" s="490"/>
      <c r="P5" s="490"/>
    </row>
    <row r="6" spans="1:16" outlineLevel="1">
      <c r="A6" s="460"/>
      <c r="B6" s="458"/>
      <c r="C6" s="490"/>
      <c r="D6" s="490"/>
      <c r="E6" s="490"/>
      <c r="F6" s="490"/>
      <c r="G6" s="490"/>
      <c r="H6" s="490"/>
      <c r="I6" s="490"/>
      <c r="J6" s="490"/>
      <c r="K6" s="490"/>
      <c r="L6" s="490"/>
      <c r="M6" s="490"/>
      <c r="N6" s="490"/>
      <c r="O6" s="490"/>
      <c r="P6" s="490"/>
    </row>
    <row r="7" spans="1:16" outlineLevel="1">
      <c r="A7" s="460"/>
      <c r="B7" s="458"/>
      <c r="C7" s="490"/>
      <c r="D7" s="490"/>
      <c r="E7" s="490"/>
      <c r="F7" s="490"/>
      <c r="G7" s="490"/>
      <c r="H7" s="490"/>
      <c r="I7" s="490"/>
      <c r="J7" s="490"/>
      <c r="K7" s="490"/>
      <c r="L7" s="490"/>
      <c r="M7" s="490"/>
      <c r="N7" s="490"/>
      <c r="O7" s="490"/>
      <c r="P7" s="490"/>
    </row>
    <row r="8" spans="1:16" outlineLevel="1">
      <c r="A8" s="634"/>
      <c r="B8" s="458"/>
      <c r="C8" s="490"/>
      <c r="D8" s="490"/>
      <c r="E8" s="490"/>
      <c r="F8" s="490"/>
      <c r="G8" s="490"/>
      <c r="H8" s="490"/>
      <c r="I8" s="490"/>
      <c r="J8" s="490"/>
      <c r="K8" s="490"/>
      <c r="L8" s="490"/>
      <c r="M8" s="490"/>
      <c r="N8" s="490"/>
      <c r="O8" s="490"/>
      <c r="P8" s="490"/>
    </row>
    <row r="9" spans="1:16" outlineLevel="1">
      <c r="A9" s="460"/>
      <c r="B9" s="458"/>
      <c r="C9" s="490"/>
      <c r="D9" s="490"/>
      <c r="E9" s="490"/>
      <c r="F9" s="490"/>
      <c r="G9" s="490"/>
      <c r="H9" s="490"/>
      <c r="I9" s="490"/>
      <c r="J9" s="490"/>
      <c r="K9" s="490"/>
      <c r="L9" s="490"/>
      <c r="M9" s="490"/>
      <c r="N9" s="490"/>
      <c r="O9" s="490"/>
      <c r="P9" s="490"/>
    </row>
    <row r="10" spans="1:16" outlineLevel="1">
      <c r="A10" s="460"/>
      <c r="B10" s="458"/>
      <c r="C10" s="490"/>
      <c r="D10" s="490"/>
      <c r="E10" s="490"/>
      <c r="F10" s="490"/>
      <c r="G10" s="490"/>
      <c r="H10" s="490"/>
      <c r="I10" s="490"/>
      <c r="J10" s="490"/>
      <c r="K10" s="490"/>
      <c r="L10" s="490"/>
      <c r="M10" s="490"/>
      <c r="N10" s="490"/>
      <c r="O10" s="490"/>
      <c r="P10" s="490"/>
    </row>
    <row r="11" spans="1:16" outlineLevel="1">
      <c r="A11" s="460"/>
      <c r="B11" s="458"/>
      <c r="C11" s="490"/>
      <c r="D11" s="490"/>
      <c r="E11" s="490"/>
      <c r="F11" s="490"/>
      <c r="G11" s="490"/>
      <c r="H11" s="490"/>
      <c r="I11" s="490"/>
      <c r="J11" s="490"/>
      <c r="K11" s="490"/>
      <c r="L11" s="490"/>
      <c r="M11" s="490"/>
      <c r="N11" s="490"/>
      <c r="O11" s="490"/>
      <c r="P11" s="490"/>
    </row>
    <row r="12" spans="1:16" ht="15.75" outlineLevel="1" thickBot="1">
      <c r="A12" s="460"/>
      <c r="B12" s="458"/>
      <c r="C12" s="490"/>
      <c r="D12" s="490"/>
      <c r="E12" s="490"/>
      <c r="F12" s="490"/>
      <c r="G12" s="490"/>
      <c r="H12" s="490"/>
      <c r="I12" s="490"/>
      <c r="J12" s="490"/>
      <c r="K12" s="490"/>
      <c r="L12" s="490"/>
      <c r="M12" s="490"/>
      <c r="N12" s="490"/>
      <c r="O12" s="490"/>
      <c r="P12" s="490"/>
    </row>
    <row r="13" spans="1:16" ht="25.5" customHeight="1" outlineLevel="1" thickBot="1">
      <c r="A13" s="461" t="s">
        <v>535</v>
      </c>
      <c r="B13" s="443"/>
      <c r="C13" s="462"/>
      <c r="D13" s="462"/>
      <c r="E13" s="462"/>
      <c r="F13" s="462"/>
      <c r="G13" s="462"/>
      <c r="H13" s="462"/>
      <c r="I13" s="462"/>
      <c r="J13" s="462"/>
      <c r="K13" s="462"/>
      <c r="L13" s="462"/>
      <c r="M13" s="462"/>
      <c r="N13" s="462"/>
      <c r="O13" s="1159"/>
      <c r="P13" s="1159"/>
    </row>
    <row r="14" spans="1:16" outlineLevel="1">
      <c r="A14" s="460"/>
      <c r="B14" s="52"/>
      <c r="C14" s="490"/>
      <c r="D14" s="490"/>
      <c r="E14" s="490"/>
      <c r="F14" s="490"/>
      <c r="G14" s="490"/>
      <c r="H14" s="490"/>
      <c r="I14" s="490"/>
      <c r="J14" s="490"/>
      <c r="K14" s="490"/>
      <c r="L14" s="490"/>
      <c r="M14" s="490"/>
      <c r="N14" s="490"/>
      <c r="O14" s="490"/>
      <c r="P14" s="490"/>
    </row>
    <row r="15" spans="1:16" s="454" customFormat="1" outlineLevel="1">
      <c r="A15" s="463" t="s">
        <v>293</v>
      </c>
      <c r="B15" s="464">
        <f>SUM(B4:B12)</f>
        <v>0</v>
      </c>
      <c r="C15" s="465"/>
      <c r="D15" s="465"/>
      <c r="E15" s="465"/>
      <c r="F15" s="465"/>
      <c r="G15" s="465"/>
      <c r="H15" s="465"/>
      <c r="I15" s="465"/>
      <c r="J15" s="465"/>
      <c r="K15" s="465"/>
      <c r="L15" s="465"/>
      <c r="M15" s="465"/>
      <c r="N15" s="465"/>
      <c r="O15" s="466"/>
      <c r="P15" s="466"/>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0.16494846667445565</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c r="D19" s="469"/>
      <c r="E19" s="469"/>
      <c r="F19" s="469"/>
      <c r="G19" s="469"/>
      <c r="H19" s="469"/>
      <c r="I19" s="469"/>
      <c r="J19" s="469"/>
      <c r="K19" s="469"/>
      <c r="L19" s="469"/>
      <c r="M19" s="469"/>
      <c r="N19" s="469"/>
      <c r="O19" s="469"/>
      <c r="P19" s="469"/>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1" customWidth="1"/>
    <col min="2" max="2" width="14.140625" style="441" customWidth="1"/>
    <col min="3" max="3" width="16.42578125" style="441" customWidth="1"/>
    <col min="4" max="4" width="15" style="441" customWidth="1"/>
    <col min="5" max="5" width="13.85546875" style="441" customWidth="1"/>
    <col min="6" max="6" width="14.85546875" style="441" customWidth="1"/>
    <col min="7" max="7" width="14.7109375" style="441" customWidth="1"/>
    <col min="8" max="8" width="14.28515625" style="44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16.140625" style="441" customWidth="1"/>
    <col min="16" max="16" width="17.5703125" style="441" customWidth="1"/>
    <col min="17" max="17" width="9.140625" style="441"/>
    <col min="18" max="18" width="20.42578125" style="441" customWidth="1"/>
    <col min="19" max="16384" width="9.140625" style="441"/>
  </cols>
  <sheetData>
    <row r="1" spans="1:16" ht="15.75" customHeight="1" thickTop="1" thickBot="1">
      <c r="A1" s="1130" t="s">
        <v>314</v>
      </c>
      <c r="B1" s="1153" t="s">
        <v>188</v>
      </c>
      <c r="C1" s="1154"/>
      <c r="D1" s="1154"/>
      <c r="E1" s="1154"/>
      <c r="F1" s="1154"/>
      <c r="G1" s="1154"/>
      <c r="H1" s="1154"/>
      <c r="I1" s="1154"/>
      <c r="J1" s="1154"/>
      <c r="K1" s="1154"/>
      <c r="L1" s="1154"/>
      <c r="M1" s="1154"/>
      <c r="N1" s="1154"/>
      <c r="O1" s="1154"/>
      <c r="P1" s="1154"/>
    </row>
    <row r="2" spans="1:16" ht="15" customHeight="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c r="B4" s="458"/>
      <c r="C4" s="490"/>
      <c r="D4" s="459"/>
      <c r="E4" s="459"/>
      <c r="F4" s="490"/>
      <c r="G4" s="459"/>
      <c r="H4" s="459"/>
      <c r="I4" s="490"/>
      <c r="J4" s="490"/>
      <c r="K4" s="490"/>
      <c r="L4" s="490"/>
      <c r="M4" s="490"/>
      <c r="N4" s="490"/>
      <c r="O4" s="490"/>
      <c r="P4" s="490"/>
    </row>
    <row r="5" spans="1:16">
      <c r="B5" s="458"/>
      <c r="C5" s="52"/>
      <c r="D5" s="458"/>
      <c r="E5" s="458"/>
      <c r="F5" s="52"/>
      <c r="G5" s="458"/>
      <c r="H5" s="458"/>
      <c r="I5" s="52"/>
      <c r="J5" s="52"/>
      <c r="K5" s="52"/>
      <c r="L5" s="52"/>
      <c r="M5" s="52"/>
      <c r="N5" s="52"/>
      <c r="O5" s="52"/>
      <c r="P5" s="52"/>
    </row>
    <row r="6" spans="1:16">
      <c r="B6" s="458"/>
      <c r="C6" s="52"/>
      <c r="D6" s="458"/>
      <c r="E6" s="458"/>
      <c r="F6" s="52"/>
      <c r="G6" s="458"/>
      <c r="H6" s="458"/>
      <c r="I6" s="52"/>
      <c r="J6" s="52"/>
      <c r="K6" s="52"/>
      <c r="L6" s="52"/>
      <c r="M6" s="52"/>
      <c r="N6" s="52"/>
      <c r="O6" s="52"/>
      <c r="P6" s="52"/>
    </row>
    <row r="7" spans="1:16">
      <c r="B7" s="458"/>
      <c r="C7" s="52"/>
      <c r="D7" s="458"/>
      <c r="E7" s="458"/>
      <c r="F7" s="52"/>
      <c r="G7" s="458"/>
      <c r="H7" s="458"/>
      <c r="I7" s="52"/>
      <c r="J7" s="52"/>
      <c r="K7" s="52"/>
      <c r="L7" s="52"/>
      <c r="M7" s="52"/>
      <c r="N7" s="52"/>
      <c r="O7" s="52"/>
      <c r="P7" s="52"/>
    </row>
    <row r="8" spans="1:16">
      <c r="A8" s="454"/>
      <c r="B8" s="458"/>
      <c r="C8" s="52"/>
      <c r="D8" s="458"/>
      <c r="E8" s="458"/>
      <c r="F8" s="52"/>
      <c r="G8" s="458"/>
      <c r="H8" s="458"/>
      <c r="I8" s="52"/>
      <c r="J8" s="52"/>
      <c r="K8" s="52"/>
      <c r="L8" s="52"/>
      <c r="M8" s="52"/>
      <c r="N8" s="52"/>
      <c r="O8" s="52"/>
      <c r="P8" s="52"/>
    </row>
    <row r="9" spans="1:16">
      <c r="B9" s="458"/>
      <c r="C9" s="52"/>
      <c r="D9" s="458"/>
      <c r="E9" s="458"/>
      <c r="F9" s="52"/>
      <c r="G9" s="458"/>
      <c r="H9" s="458"/>
      <c r="I9" s="52"/>
      <c r="J9" s="52"/>
      <c r="K9" s="52"/>
      <c r="L9" s="52"/>
      <c r="M9" s="52"/>
      <c r="N9" s="52"/>
      <c r="O9" s="52"/>
      <c r="P9" s="52"/>
    </row>
    <row r="10" spans="1:16">
      <c r="B10" s="458"/>
      <c r="C10" s="52"/>
      <c r="D10" s="458"/>
      <c r="E10" s="458"/>
      <c r="F10" s="52"/>
      <c r="G10" s="458"/>
      <c r="H10" s="458"/>
      <c r="I10" s="52"/>
      <c r="J10" s="52"/>
      <c r="K10" s="52"/>
      <c r="L10" s="52"/>
      <c r="M10" s="52"/>
      <c r="N10" s="52"/>
      <c r="O10" s="52"/>
      <c r="P10" s="52"/>
    </row>
    <row r="11" spans="1:16">
      <c r="B11" s="458"/>
      <c r="C11" s="52"/>
      <c r="D11" s="458"/>
      <c r="E11" s="458"/>
      <c r="F11" s="52"/>
      <c r="G11" s="458"/>
      <c r="H11" s="458"/>
      <c r="I11" s="52"/>
      <c r="J11" s="52"/>
      <c r="K11" s="52"/>
      <c r="L11" s="52"/>
      <c r="M11" s="52"/>
      <c r="N11" s="52"/>
      <c r="O11" s="52"/>
      <c r="P11" s="52"/>
    </row>
    <row r="12" spans="1:16">
      <c r="B12" s="458"/>
      <c r="C12" s="52"/>
      <c r="D12" s="458"/>
      <c r="E12" s="458"/>
      <c r="F12" s="52"/>
      <c r="G12" s="458"/>
      <c r="H12" s="458"/>
      <c r="I12" s="52"/>
      <c r="J12" s="52"/>
      <c r="K12" s="52"/>
      <c r="L12" s="52"/>
      <c r="M12" s="52"/>
      <c r="N12" s="52"/>
      <c r="O12" s="52"/>
      <c r="P12" s="52"/>
    </row>
    <row r="13" spans="1:16">
      <c r="B13" s="458"/>
      <c r="C13" s="52"/>
      <c r="D13" s="458"/>
      <c r="E13" s="458"/>
      <c r="F13" s="52"/>
      <c r="G13" s="458"/>
      <c r="H13" s="458"/>
      <c r="I13" s="52"/>
      <c r="J13" s="52"/>
      <c r="K13" s="52"/>
      <c r="L13" s="52"/>
      <c r="M13" s="52"/>
      <c r="N13" s="52"/>
      <c r="O13" s="52"/>
      <c r="P13" s="52"/>
    </row>
    <row r="14" spans="1:16">
      <c r="B14" s="458"/>
      <c r="C14" s="52"/>
      <c r="D14" s="458"/>
      <c r="E14" s="458"/>
      <c r="F14" s="52"/>
      <c r="G14" s="458"/>
      <c r="H14" s="458"/>
      <c r="I14" s="52"/>
      <c r="J14" s="52"/>
      <c r="K14" s="52"/>
      <c r="L14" s="52"/>
      <c r="M14" s="52"/>
      <c r="N14" s="52"/>
      <c r="O14" s="52"/>
      <c r="P14" s="52"/>
    </row>
    <row r="15" spans="1:16">
      <c r="B15" s="458"/>
      <c r="C15" s="52"/>
      <c r="D15" s="458"/>
      <c r="E15" s="458"/>
      <c r="F15" s="52"/>
      <c r="G15" s="458"/>
      <c r="H15" s="458"/>
      <c r="I15" s="52"/>
      <c r="J15" s="52"/>
      <c r="K15" s="52"/>
      <c r="L15" s="52"/>
      <c r="M15" s="52"/>
      <c r="N15" s="52"/>
      <c r="O15" s="52"/>
      <c r="P15" s="52"/>
    </row>
    <row r="16" spans="1:16">
      <c r="B16" s="458"/>
      <c r="C16" s="52"/>
      <c r="D16" s="458"/>
      <c r="E16" s="458"/>
      <c r="F16" s="52"/>
      <c r="G16" s="458"/>
      <c r="H16" s="458"/>
      <c r="I16" s="52"/>
      <c r="J16" s="52"/>
      <c r="K16" s="52"/>
      <c r="L16" s="52"/>
      <c r="M16" s="52"/>
      <c r="N16" s="52"/>
      <c r="O16" s="52"/>
      <c r="P16" s="52"/>
    </row>
    <row r="17" spans="1:16">
      <c r="B17" s="458"/>
      <c r="C17" s="52"/>
      <c r="D17" s="458"/>
      <c r="E17" s="458"/>
      <c r="F17" s="52"/>
      <c r="G17" s="458"/>
      <c r="H17" s="458"/>
      <c r="I17" s="52"/>
      <c r="J17" s="52"/>
      <c r="K17" s="52"/>
      <c r="L17" s="52"/>
      <c r="M17" s="52"/>
      <c r="N17" s="52"/>
      <c r="O17" s="52"/>
      <c r="P17" s="52"/>
    </row>
    <row r="18" spans="1:16">
      <c r="B18" s="458"/>
      <c r="C18" s="52"/>
      <c r="D18" s="458"/>
      <c r="E18" s="458"/>
      <c r="F18" s="52"/>
      <c r="G18" s="458"/>
      <c r="H18" s="458"/>
      <c r="I18" s="52"/>
      <c r="J18" s="52"/>
      <c r="K18" s="52"/>
      <c r="L18" s="52"/>
      <c r="M18" s="52"/>
      <c r="N18" s="52"/>
      <c r="O18" s="52"/>
      <c r="P18" s="52"/>
    </row>
    <row r="19" spans="1:16">
      <c r="B19" s="458"/>
      <c r="C19" s="52"/>
      <c r="D19" s="458"/>
      <c r="E19" s="458"/>
      <c r="F19" s="52"/>
      <c r="G19" s="458"/>
      <c r="H19" s="458"/>
      <c r="I19" s="52"/>
      <c r="J19" s="52"/>
      <c r="K19" s="52"/>
      <c r="L19" s="52"/>
      <c r="M19" s="52"/>
      <c r="N19" s="52"/>
      <c r="O19" s="52"/>
      <c r="P19" s="52"/>
    </row>
    <row r="20" spans="1:16">
      <c r="B20" s="458"/>
      <c r="C20" s="52"/>
      <c r="D20" s="458"/>
      <c r="E20" s="458"/>
      <c r="F20" s="52"/>
      <c r="G20" s="458"/>
      <c r="H20" s="458"/>
      <c r="I20" s="52"/>
      <c r="J20" s="52"/>
      <c r="K20" s="52"/>
      <c r="L20" s="52"/>
      <c r="M20" s="52"/>
      <c r="N20" s="52"/>
      <c r="O20" s="52"/>
      <c r="P20" s="52"/>
    </row>
    <row r="21" spans="1:16">
      <c r="B21" s="458"/>
      <c r="C21" s="52"/>
      <c r="D21" s="458"/>
      <c r="E21" s="458"/>
      <c r="F21" s="52"/>
      <c r="G21" s="458"/>
      <c r="H21" s="458"/>
      <c r="I21" s="52"/>
      <c r="J21" s="52"/>
      <c r="K21" s="52"/>
      <c r="L21" s="52"/>
      <c r="M21" s="52"/>
      <c r="N21" s="52"/>
      <c r="O21" s="52"/>
      <c r="P21" s="52"/>
    </row>
    <row r="22" spans="1:16">
      <c r="B22" s="458"/>
      <c r="C22" s="52"/>
      <c r="D22" s="458"/>
      <c r="E22" s="458"/>
      <c r="F22" s="52"/>
      <c r="G22" s="458"/>
      <c r="H22" s="458"/>
      <c r="I22" s="52"/>
      <c r="J22" s="52"/>
      <c r="K22" s="52"/>
      <c r="L22" s="52"/>
      <c r="M22" s="52"/>
      <c r="N22" s="52"/>
      <c r="O22" s="52"/>
      <c r="P22" s="52"/>
    </row>
    <row r="23" spans="1:16" ht="15.75" thickBot="1">
      <c r="B23" s="458"/>
      <c r="C23" s="52"/>
      <c r="D23" s="458"/>
      <c r="E23" s="458"/>
      <c r="F23" s="52"/>
      <c r="G23" s="458"/>
      <c r="H23" s="458"/>
      <c r="I23" s="52"/>
      <c r="J23" s="52"/>
      <c r="K23" s="52"/>
      <c r="L23" s="52"/>
      <c r="M23" s="52"/>
      <c r="N23" s="52"/>
      <c r="O23" s="52"/>
      <c r="P23" s="52"/>
    </row>
    <row r="24" spans="1:16" ht="15.75" thickBot="1">
      <c r="A24" s="461" t="s">
        <v>535</v>
      </c>
    </row>
    <row r="26" spans="1:16" s="454" customFormat="1">
      <c r="A26" s="463" t="s">
        <v>487</v>
      </c>
      <c r="B26" s="463">
        <f t="shared" ref="B26:H26" si="0">SUM(B4:B23)</f>
        <v>0</v>
      </c>
      <c r="C26" s="463"/>
      <c r="D26" s="463">
        <f t="shared" si="0"/>
        <v>0</v>
      </c>
      <c r="E26" s="463">
        <f t="shared" si="0"/>
        <v>0</v>
      </c>
      <c r="F26" s="463"/>
      <c r="G26" s="463">
        <f t="shared" si="0"/>
        <v>0</v>
      </c>
      <c r="H26" s="463">
        <f t="shared" si="0"/>
        <v>0</v>
      </c>
      <c r="I26" s="463"/>
      <c r="J26" s="463"/>
      <c r="K26" s="463"/>
      <c r="L26" s="463"/>
      <c r="M26" s="463"/>
      <c r="N26" s="463"/>
      <c r="O26" s="463"/>
      <c r="P26" s="463"/>
    </row>
    <row r="27" spans="1:16" s="454" customFormat="1">
      <c r="A27" s="463" t="s">
        <v>541</v>
      </c>
      <c r="B27" s="463">
        <f>B26</f>
        <v>0</v>
      </c>
      <c r="C27" s="463"/>
      <c r="D27" s="463">
        <f>D26</f>
        <v>0</v>
      </c>
      <c r="E27" s="463">
        <f>E26</f>
        <v>0</v>
      </c>
      <c r="F27" s="463"/>
      <c r="G27" s="463">
        <f>(1-transport!C35)*'Eigen vloot'!G26</f>
        <v>0</v>
      </c>
      <c r="H27" s="463">
        <f>(1-transport!C42)*'Eigen vloot'!H26</f>
        <v>0</v>
      </c>
      <c r="I27" s="463"/>
      <c r="J27" s="463"/>
      <c r="K27" s="463"/>
      <c r="L27" s="463"/>
      <c r="M27" s="635">
        <f>G26*transport!C35+'Eigen vloot'!H26*transport!C42</f>
        <v>0</v>
      </c>
      <c r="N27" s="463"/>
      <c r="O27" s="463"/>
      <c r="P27" s="463"/>
    </row>
    <row r="29" spans="1:16">
      <c r="A29" s="468" t="s">
        <v>543</v>
      </c>
      <c r="B29" s="493">
        <f ca="1">'EF ele_warmte'!B12</f>
        <v>0.16494846667445565</v>
      </c>
      <c r="C29" s="493">
        <f ca="1">'EF ele_warmte'!B22</f>
        <v>0</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3" t="s">
        <v>206</v>
      </c>
      <c r="B31" s="636">
        <f ca="1">B27*B29</f>
        <v>0</v>
      </c>
      <c r="C31" s="636"/>
      <c r="D31" s="636">
        <f>D27*D29</f>
        <v>0</v>
      </c>
      <c r="E31" s="636">
        <f>E27*E29</f>
        <v>0</v>
      </c>
      <c r="F31" s="636"/>
      <c r="G31" s="636">
        <f>G27*G29</f>
        <v>0</v>
      </c>
      <c r="H31" s="636">
        <f>H27*H29</f>
        <v>0</v>
      </c>
      <c r="I31" s="636"/>
      <c r="J31" s="636"/>
      <c r="K31" s="636"/>
      <c r="L31" s="636"/>
      <c r="M31" s="636">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1" bestFit="1" customWidth="1"/>
    <col min="3" max="3" width="26" customWidth="1"/>
    <col min="4" max="4" width="69.42578125" customWidth="1"/>
  </cols>
  <sheetData>
    <row r="1" spans="1:11" s="43" customFormat="1" ht="15.75" thickBot="1">
      <c r="B1" s="443"/>
    </row>
    <row r="2" spans="1:11" s="43" customFormat="1">
      <c r="A2" s="180" t="s">
        <v>485</v>
      </c>
      <c r="B2" s="494"/>
      <c r="C2" s="181"/>
      <c r="D2" s="182"/>
    </row>
    <row r="3" spans="1:11">
      <c r="A3" s="101"/>
      <c r="B3" s="495"/>
      <c r="C3" s="140" t="s">
        <v>175</v>
      </c>
      <c r="D3" s="143" t="s">
        <v>372</v>
      </c>
    </row>
    <row r="4" spans="1:11">
      <c r="A4" s="44" t="s">
        <v>408</v>
      </c>
      <c r="B4" s="47"/>
      <c r="C4" s="32"/>
      <c r="D4" s="142" t="s">
        <v>374</v>
      </c>
    </row>
    <row r="5" spans="1:11">
      <c r="A5" s="44"/>
      <c r="B5" s="48"/>
      <c r="C5" s="32"/>
      <c r="D5" s="142"/>
    </row>
    <row r="6" spans="1:11" s="10" customFormat="1" ht="21.75" thickBot="1">
      <c r="A6" s="185" t="s">
        <v>441</v>
      </c>
      <c r="B6" s="496"/>
      <c r="C6" s="186"/>
      <c r="D6" s="187"/>
    </row>
    <row r="7" spans="1:11" s="43" customFormat="1" ht="15.75" thickBot="1">
      <c r="B7" s="443"/>
    </row>
    <row r="8" spans="1:11" s="43" customFormat="1">
      <c r="A8" s="180" t="s">
        <v>496</v>
      </c>
      <c r="B8" s="494"/>
      <c r="C8" s="181"/>
      <c r="D8" s="182"/>
    </row>
    <row r="9" spans="1:11" s="32" customFormat="1">
      <c r="A9" s="46"/>
      <c r="B9" s="497"/>
      <c r="C9" s="42"/>
      <c r="D9" s="294"/>
    </row>
    <row r="10" spans="1:11">
      <c r="A10" s="295" t="s">
        <v>523</v>
      </c>
      <c r="B10" s="495"/>
      <c r="C10" s="140" t="s">
        <v>175</v>
      </c>
      <c r="D10" s="143" t="s">
        <v>372</v>
      </c>
      <c r="I10" s="1160"/>
      <c r="K10" s="58"/>
    </row>
    <row r="11" spans="1:11" s="43" customFormat="1">
      <c r="A11" s="44" t="s">
        <v>524</v>
      </c>
      <c r="B11" s="48"/>
      <c r="D11" s="141" t="s">
        <v>373</v>
      </c>
      <c r="I11" s="1160"/>
      <c r="K11" s="58"/>
    </row>
    <row r="12" spans="1:11" s="43" customFormat="1">
      <c r="A12" s="44" t="s">
        <v>525</v>
      </c>
      <c r="B12" s="48"/>
      <c r="D12" s="141" t="s">
        <v>373</v>
      </c>
      <c r="I12" s="1160"/>
      <c r="K12" s="58"/>
    </row>
    <row r="13" spans="1:11" s="43" customFormat="1">
      <c r="A13" s="44"/>
      <c r="B13" s="48"/>
      <c r="D13" s="96"/>
      <c r="I13" s="1160"/>
    </row>
    <row r="14" spans="1:11" s="43" customFormat="1">
      <c r="A14" s="295" t="s">
        <v>522</v>
      </c>
      <c r="B14" s="1022"/>
      <c r="C14" s="140" t="s">
        <v>175</v>
      </c>
      <c r="D14" s="143" t="s">
        <v>372</v>
      </c>
      <c r="I14" s="1160"/>
    </row>
    <row r="15" spans="1:11" s="43" customFormat="1">
      <c r="A15" s="44" t="s">
        <v>70</v>
      </c>
      <c r="B15" s="48"/>
      <c r="D15" s="141" t="s">
        <v>373</v>
      </c>
      <c r="I15" s="1160"/>
      <c r="J15" s="1160"/>
    </row>
    <row r="16" spans="1:11" s="43" customFormat="1">
      <c r="A16" s="44" t="s">
        <v>488</v>
      </c>
      <c r="B16" s="48"/>
      <c r="D16" s="141" t="s">
        <v>373</v>
      </c>
      <c r="I16" s="1160"/>
      <c r="J16" s="1160"/>
    </row>
    <row r="17" spans="1:11" s="43" customFormat="1">
      <c r="A17" s="44" t="s">
        <v>77</v>
      </c>
      <c r="B17" s="48"/>
      <c r="D17" s="141" t="s">
        <v>373</v>
      </c>
      <c r="I17" s="1160"/>
      <c r="J17" s="1160"/>
    </row>
    <row r="18" spans="1:11" s="43" customFormat="1">
      <c r="A18" s="44" t="s">
        <v>489</v>
      </c>
      <c r="B18" s="48"/>
      <c r="D18" s="141" t="s">
        <v>373</v>
      </c>
      <c r="I18" s="1160"/>
      <c r="J18" s="1160"/>
      <c r="K18" s="58"/>
    </row>
    <row r="19" spans="1:11" s="43" customFormat="1">
      <c r="A19" s="44" t="s">
        <v>76</v>
      </c>
      <c r="B19" s="48"/>
      <c r="D19" s="141" t="s">
        <v>373</v>
      </c>
      <c r="I19" s="1160"/>
      <c r="J19" s="1161"/>
      <c r="K19" s="58"/>
    </row>
    <row r="20" spans="1:11" s="43" customFormat="1">
      <c r="A20" s="32" t="s">
        <v>490</v>
      </c>
      <c r="B20" s="48"/>
      <c r="D20" s="141" t="s">
        <v>373</v>
      </c>
      <c r="I20" s="296"/>
      <c r="J20" s="297"/>
      <c r="K20" s="58"/>
    </row>
    <row r="21" spans="1:11" s="43" customFormat="1">
      <c r="A21" s="32" t="s">
        <v>491</v>
      </c>
      <c r="B21" s="48"/>
      <c r="D21" s="141" t="s">
        <v>373</v>
      </c>
      <c r="I21" s="296"/>
      <c r="J21" s="297"/>
      <c r="K21" s="58"/>
    </row>
    <row r="22" spans="1:11" s="43" customFormat="1">
      <c r="A22" s="32" t="s">
        <v>492</v>
      </c>
      <c r="B22" s="48"/>
      <c r="D22" s="141" t="s">
        <v>373</v>
      </c>
      <c r="I22" s="296"/>
      <c r="J22" s="297"/>
      <c r="K22" s="58"/>
    </row>
    <row r="23" spans="1:11">
      <c r="A23" s="32" t="s">
        <v>493</v>
      </c>
      <c r="B23" s="48"/>
      <c r="C23" s="43"/>
      <c r="D23" s="141" t="s">
        <v>373</v>
      </c>
      <c r="I23" s="58"/>
      <c r="J23" s="58"/>
      <c r="K23" s="58"/>
    </row>
    <row r="24" spans="1:11">
      <c r="A24" s="32" t="s">
        <v>494</v>
      </c>
      <c r="B24" s="48"/>
      <c r="C24" s="43"/>
      <c r="D24" s="141" t="s">
        <v>373</v>
      </c>
      <c r="I24" s="58"/>
      <c r="J24" s="58"/>
      <c r="K24" s="58"/>
    </row>
    <row r="25" spans="1:11" ht="17.25">
      <c r="A25" s="1031" t="s">
        <v>812</v>
      </c>
      <c r="B25" s="48"/>
      <c r="C25" s="43"/>
      <c r="D25" s="141"/>
      <c r="I25" s="58"/>
      <c r="J25" s="58"/>
      <c r="K25" s="58"/>
    </row>
    <row r="26" spans="1:11" ht="21.75" thickBot="1">
      <c r="A26" s="185" t="s">
        <v>533</v>
      </c>
      <c r="B26" s="498"/>
      <c r="C26" s="108"/>
      <c r="D26" s="109"/>
      <c r="I26" s="58"/>
      <c r="J26" s="58"/>
      <c r="K26" s="58"/>
    </row>
    <row r="28" spans="1:11" ht="15.75" thickBot="1"/>
    <row r="29" spans="1:11" s="43" customFormat="1">
      <c r="A29" s="180" t="s">
        <v>486</v>
      </c>
      <c r="B29" s="494"/>
      <c r="C29" s="181"/>
      <c r="D29" s="182"/>
    </row>
    <row r="30" spans="1:11" s="32" customFormat="1">
      <c r="A30" s="46"/>
      <c r="B30" s="497"/>
      <c r="C30" s="42"/>
      <c r="D30" s="294"/>
    </row>
    <row r="31" spans="1:11">
      <c r="A31" s="295" t="s">
        <v>523</v>
      </c>
      <c r="B31" s="495"/>
      <c r="C31" s="140" t="s">
        <v>175</v>
      </c>
      <c r="D31" s="143" t="s">
        <v>372</v>
      </c>
    </row>
    <row r="32" spans="1:11">
      <c r="A32" s="432" t="s">
        <v>524</v>
      </c>
      <c r="B32" s="48"/>
      <c r="C32" s="48"/>
      <c r="D32" s="141" t="s">
        <v>373</v>
      </c>
    </row>
    <row r="33" spans="1:11">
      <c r="A33" s="44"/>
      <c r="B33" s="48"/>
      <c r="C33" s="48"/>
      <c r="D33" s="141"/>
    </row>
    <row r="34" spans="1:11" s="43" customFormat="1">
      <c r="A34" s="295" t="s">
        <v>522</v>
      </c>
      <c r="B34" s="1022"/>
      <c r="C34" s="140" t="s">
        <v>175</v>
      </c>
      <c r="D34" s="143" t="s">
        <v>372</v>
      </c>
      <c r="I34"/>
    </row>
    <row r="35" spans="1:11" s="43" customFormat="1">
      <c r="A35" s="431" t="s">
        <v>70</v>
      </c>
      <c r="B35" s="48"/>
      <c r="D35" s="141" t="s">
        <v>373</v>
      </c>
      <c r="I35" s="1160"/>
      <c r="J35" s="1160"/>
    </row>
    <row r="36" spans="1:11" s="43" customFormat="1">
      <c r="A36" s="431" t="s">
        <v>488</v>
      </c>
      <c r="B36" s="48"/>
      <c r="D36" s="141" t="s">
        <v>373</v>
      </c>
      <c r="I36" s="1160"/>
      <c r="J36" s="1160"/>
    </row>
    <row r="37" spans="1:11" s="43" customFormat="1">
      <c r="A37" s="431" t="s">
        <v>77</v>
      </c>
      <c r="B37" s="48"/>
      <c r="D37" s="141" t="s">
        <v>373</v>
      </c>
      <c r="I37" s="1160"/>
      <c r="J37" s="1160"/>
    </row>
    <row r="38" spans="1:11" s="43" customFormat="1">
      <c r="A38" s="431" t="s">
        <v>489</v>
      </c>
      <c r="B38" s="48"/>
      <c r="D38" s="141" t="s">
        <v>373</v>
      </c>
      <c r="I38" s="1160"/>
      <c r="J38" s="1160"/>
      <c r="K38" s="58"/>
    </row>
    <row r="39" spans="1:11" s="43" customFormat="1">
      <c r="A39" s="431" t="s">
        <v>76</v>
      </c>
      <c r="B39" s="48"/>
      <c r="D39" s="141" t="s">
        <v>373</v>
      </c>
      <c r="I39" s="1160"/>
      <c r="J39" s="1161"/>
      <c r="K39" s="58"/>
    </row>
    <row r="40" spans="1:11" s="43" customFormat="1">
      <c r="A40" s="177" t="s">
        <v>490</v>
      </c>
      <c r="B40" s="48"/>
      <c r="D40" s="141" t="s">
        <v>373</v>
      </c>
      <c r="I40" s="296"/>
      <c r="J40" s="297"/>
      <c r="K40" s="58"/>
    </row>
    <row r="41" spans="1:11" s="43" customFormat="1">
      <c r="A41" s="177" t="s">
        <v>491</v>
      </c>
      <c r="B41" s="48"/>
      <c r="D41" s="141" t="s">
        <v>373</v>
      </c>
      <c r="I41" s="296"/>
      <c r="J41" s="297"/>
      <c r="K41" s="58"/>
    </row>
    <row r="42" spans="1:11" s="43" customFormat="1">
      <c r="A42" s="177" t="s">
        <v>492</v>
      </c>
      <c r="B42" s="48"/>
      <c r="D42" s="141" t="s">
        <v>373</v>
      </c>
      <c r="I42" s="296"/>
      <c r="J42" s="297"/>
      <c r="K42" s="58"/>
    </row>
    <row r="43" spans="1:11">
      <c r="A43" s="177" t="s">
        <v>493</v>
      </c>
      <c r="B43" s="48"/>
      <c r="C43" s="43"/>
      <c r="D43" s="141" t="s">
        <v>373</v>
      </c>
      <c r="I43" s="58"/>
      <c r="J43" s="58"/>
      <c r="K43" s="58"/>
    </row>
    <row r="44" spans="1:11">
      <c r="A44" s="177" t="s">
        <v>494</v>
      </c>
      <c r="B44" s="48"/>
      <c r="C44" s="43"/>
      <c r="D44" s="141" t="s">
        <v>373</v>
      </c>
      <c r="I44" s="58"/>
      <c r="J44" s="58"/>
      <c r="K44" s="58"/>
    </row>
    <row r="45" spans="1:11" s="836" customFormat="1">
      <c r="A45" s="177" t="s">
        <v>639</v>
      </c>
      <c r="B45" s="48"/>
      <c r="C45" s="43"/>
      <c r="D45" s="141" t="s">
        <v>373</v>
      </c>
      <c r="I45" s="58"/>
      <c r="J45" s="58"/>
      <c r="K45" s="58"/>
    </row>
    <row r="46" spans="1:11" s="836" customFormat="1">
      <c r="A46" s="177" t="s">
        <v>640</v>
      </c>
      <c r="B46" s="48"/>
      <c r="C46" s="43"/>
      <c r="D46" s="141" t="s">
        <v>373</v>
      </c>
      <c r="I46" s="58"/>
      <c r="J46" s="58"/>
      <c r="K46" s="58"/>
    </row>
    <row r="47" spans="1:11" s="15" customFormat="1" ht="21.75" thickBot="1">
      <c r="A47" s="915"/>
      <c r="B47" s="183"/>
      <c r="C47" s="152"/>
      <c r="D47" s="298"/>
      <c r="I47" s="58"/>
      <c r="J47" s="58"/>
      <c r="K47" s="58"/>
    </row>
    <row r="48" spans="1:11" s="15" customFormat="1">
      <c r="A48" s="58"/>
      <c r="B48" s="48"/>
      <c r="C48" s="32"/>
      <c r="D48" s="32"/>
      <c r="I48" s="58"/>
      <c r="J48" s="58"/>
      <c r="K48" s="58"/>
    </row>
    <row r="49" spans="1:4" ht="15.75" thickBot="1"/>
    <row r="50" spans="1:4" s="43" customFormat="1">
      <c r="A50" s="180" t="s">
        <v>371</v>
      </c>
      <c r="B50" s="494"/>
      <c r="C50" s="181"/>
      <c r="D50" s="182"/>
    </row>
    <row r="51" spans="1:4">
      <c r="A51" s="101"/>
      <c r="B51" s="495"/>
      <c r="C51" s="140" t="s">
        <v>175</v>
      </c>
      <c r="D51" s="143" t="s">
        <v>372</v>
      </c>
    </row>
    <row r="52" spans="1:4">
      <c r="A52" s="44" t="s">
        <v>526</v>
      </c>
      <c r="B52" s="47"/>
      <c r="C52" s="32"/>
      <c r="D52" s="142" t="s">
        <v>374</v>
      </c>
    </row>
    <row r="53" spans="1:4">
      <c r="A53" s="44" t="s">
        <v>527</v>
      </c>
      <c r="B53" s="47"/>
      <c r="C53" s="32"/>
      <c r="D53" s="142" t="s">
        <v>374</v>
      </c>
    </row>
    <row r="54" spans="1:4" ht="15.75" thickBot="1">
      <c r="A54" s="45"/>
      <c r="B54" s="183"/>
      <c r="C54" s="152"/>
      <c r="D54" s="188"/>
    </row>
    <row r="56" spans="1:4" ht="15.75" thickBot="1"/>
    <row r="57" spans="1:4" s="43" customFormat="1" ht="17.25">
      <c r="A57" s="180" t="s">
        <v>813</v>
      </c>
      <c r="B57" s="494"/>
      <c r="C57" s="181"/>
      <c r="D57" s="182"/>
    </row>
    <row r="58" spans="1:4">
      <c r="A58" s="101"/>
      <c r="B58" s="495"/>
      <c r="C58" s="140" t="s">
        <v>175</v>
      </c>
      <c r="D58" s="143" t="s">
        <v>372</v>
      </c>
    </row>
    <row r="59" spans="1:4">
      <c r="A59" s="44" t="s">
        <v>528</v>
      </c>
      <c r="B59" s="47"/>
      <c r="C59" s="32"/>
      <c r="D59" s="141" t="s">
        <v>148</v>
      </c>
    </row>
    <row r="60" spans="1:4">
      <c r="A60" s="44" t="s">
        <v>529</v>
      </c>
      <c r="B60" s="47"/>
      <c r="C60" s="32"/>
      <c r="D60" s="141" t="s">
        <v>149</v>
      </c>
    </row>
    <row r="61" spans="1:4">
      <c r="A61" s="44" t="s">
        <v>530</v>
      </c>
      <c r="B61" s="47"/>
      <c r="C61" s="48"/>
      <c r="D61" s="141" t="s">
        <v>370</v>
      </c>
    </row>
    <row r="62" spans="1:4">
      <c r="A62" s="44" t="s">
        <v>531</v>
      </c>
      <c r="B62" s="47"/>
      <c r="C62" s="48"/>
      <c r="D62" s="141" t="s">
        <v>105</v>
      </c>
    </row>
    <row r="63" spans="1:4">
      <c r="A63" s="44"/>
      <c r="B63" s="48"/>
      <c r="C63" s="48"/>
      <c r="D63" s="141"/>
    </row>
    <row r="64" spans="1:4" ht="21.75" thickBot="1">
      <c r="A64" s="185" t="s">
        <v>778</v>
      </c>
      <c r="B64" s="183"/>
      <c r="C64" s="183"/>
      <c r="D64" s="184"/>
    </row>
    <row r="65" spans="2:2" s="43" customFormat="1">
      <c r="B65" s="443"/>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406</v>
      </c>
      <c r="B2" s="110"/>
      <c r="C2" s="111"/>
    </row>
    <row r="3" spans="1:3" s="15" customFormat="1" ht="15.75">
      <c r="A3" s="98"/>
      <c r="B3" s="70"/>
      <c r="C3" s="99"/>
    </row>
    <row r="4" spans="1:3">
      <c r="A4" s="95" t="s">
        <v>348</v>
      </c>
      <c r="B4" s="69" t="s">
        <v>360</v>
      </c>
      <c r="C4" s="100" t="s">
        <v>359</v>
      </c>
    </row>
    <row r="5" spans="1:3">
      <c r="A5" s="112"/>
      <c r="B5" s="43"/>
      <c r="C5" s="96"/>
    </row>
    <row r="6" spans="1:3" s="11" customFormat="1">
      <c r="A6" s="113" t="s">
        <v>419</v>
      </c>
      <c r="B6" s="129" t="s">
        <v>420</v>
      </c>
      <c r="C6" s="130" t="s">
        <v>422</v>
      </c>
    </row>
    <row r="7" spans="1:3" s="11" customFormat="1">
      <c r="A7" s="123"/>
      <c r="B7" s="157"/>
      <c r="C7" s="158" t="s">
        <v>544</v>
      </c>
    </row>
    <row r="8" spans="1:3" s="11" customFormat="1">
      <c r="A8" s="131"/>
      <c r="B8" s="132"/>
      <c r="C8" s="133"/>
    </row>
    <row r="9" spans="1:3" s="11" customFormat="1">
      <c r="A9" s="113" t="s">
        <v>421</v>
      </c>
      <c r="B9" s="129" t="s">
        <v>424</v>
      </c>
      <c r="C9" s="130" t="s">
        <v>474</v>
      </c>
    </row>
    <row r="10" spans="1:3" s="11" customFormat="1">
      <c r="A10" s="131"/>
      <c r="B10" s="132"/>
      <c r="C10" s="133"/>
    </row>
    <row r="11" spans="1:3" s="11" customFormat="1" ht="18">
      <c r="A11" s="113" t="s">
        <v>423</v>
      </c>
      <c r="B11" s="129" t="s">
        <v>425</v>
      </c>
      <c r="C11" s="155" t="s">
        <v>472</v>
      </c>
    </row>
    <row r="12" spans="1:3" s="11" customFormat="1">
      <c r="A12" s="131"/>
      <c r="B12" s="132"/>
      <c r="C12" s="133"/>
    </row>
    <row r="13" spans="1:3" s="11" customFormat="1" ht="18">
      <c r="A13" s="113" t="s">
        <v>426</v>
      </c>
      <c r="B13" s="129" t="s">
        <v>427</v>
      </c>
      <c r="C13" s="156" t="s">
        <v>473</v>
      </c>
    </row>
    <row r="14" spans="1:3" s="11" customFormat="1">
      <c r="A14" s="131"/>
      <c r="B14" s="132"/>
      <c r="C14" s="133"/>
    </row>
    <row r="15" spans="1:3" s="11" customFormat="1" ht="18">
      <c r="A15" s="113" t="s">
        <v>428</v>
      </c>
      <c r="B15" t="s">
        <v>432</v>
      </c>
      <c r="C15" s="130" t="s">
        <v>475</v>
      </c>
    </row>
    <row r="16" spans="1:3" s="11" customFormat="1">
      <c r="A16" s="131"/>
      <c r="B16" s="132"/>
      <c r="C16" s="133"/>
    </row>
    <row r="17" spans="1:3" s="11" customFormat="1" ht="30">
      <c r="A17" s="113" t="s">
        <v>374</v>
      </c>
      <c r="B17" s="129" t="s">
        <v>433</v>
      </c>
      <c r="C17" s="130" t="s">
        <v>476</v>
      </c>
    </row>
    <row r="18" spans="1:3" s="11" customFormat="1">
      <c r="A18" s="131"/>
      <c r="B18" s="132"/>
      <c r="C18" s="133" t="s">
        <v>429</v>
      </c>
    </row>
    <row r="19" spans="1:3" s="11" customFormat="1" ht="30">
      <c r="A19" s="113" t="s">
        <v>430</v>
      </c>
      <c r="B19" s="129" t="s">
        <v>434</v>
      </c>
      <c r="C19" s="130" t="s">
        <v>477</v>
      </c>
    </row>
    <row r="20" spans="1:3" s="11" customFormat="1">
      <c r="A20" s="131"/>
      <c r="B20" s="132"/>
      <c r="C20" s="133"/>
    </row>
    <row r="21" spans="1:3" s="11" customFormat="1" ht="30">
      <c r="A21" s="113" t="s">
        <v>431</v>
      </c>
      <c r="B21" s="129" t="s">
        <v>744</v>
      </c>
      <c r="C21" s="130" t="s">
        <v>536</v>
      </c>
    </row>
    <row r="22" spans="1:3" s="11" customFormat="1">
      <c r="A22" s="139"/>
      <c r="B22" s="157"/>
      <c r="C22" s="158"/>
    </row>
    <row r="23" spans="1:3" ht="21">
      <c r="A23" s="125" t="s">
        <v>436</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2" bestFit="1" customWidth="1"/>
    <col min="2" max="2" width="59.42578125" style="992" bestFit="1" customWidth="1"/>
    <col min="3" max="4" width="28.7109375" style="992" customWidth="1"/>
    <col min="5" max="5" width="44.28515625" style="992" customWidth="1"/>
    <col min="6" max="6" width="35" style="992" bestFit="1" customWidth="1"/>
    <col min="7" max="16384" width="9.140625" style="992"/>
  </cols>
  <sheetData>
    <row r="1" spans="1:6" ht="62.45" customHeight="1" thickTop="1" thickBot="1">
      <c r="A1" s="135" t="s">
        <v>827</v>
      </c>
      <c r="B1" s="1253">
        <v>2020</v>
      </c>
      <c r="C1" s="1254"/>
      <c r="D1" s="1254"/>
      <c r="E1" s="1254"/>
      <c r="F1" s="1255"/>
    </row>
    <row r="2" spans="1:6">
      <c r="A2" s="323"/>
      <c r="B2" s="323"/>
      <c r="C2" s="323"/>
      <c r="D2" s="323"/>
      <c r="E2" s="323"/>
      <c r="F2" s="323"/>
    </row>
    <row r="3" spans="1:6" ht="19.5">
      <c r="A3" s="1256" t="s">
        <v>0</v>
      </c>
      <c r="B3" s="323"/>
      <c r="C3" s="323"/>
      <c r="D3" s="323"/>
      <c r="E3" s="323"/>
      <c r="F3" s="323"/>
    </row>
    <row r="4" spans="1:6" ht="22.5">
      <c r="A4" s="1257" t="s">
        <v>827</v>
      </c>
      <c r="B4" s="323"/>
      <c r="C4" s="323"/>
      <c r="D4" s="323"/>
      <c r="E4" s="323"/>
      <c r="F4" s="323"/>
    </row>
    <row r="5" spans="1:6" ht="22.5">
      <c r="A5" s="1257" t="s">
        <v>828</v>
      </c>
      <c r="B5" s="323"/>
      <c r="C5" s="323"/>
      <c r="D5" s="323"/>
      <c r="E5" s="323"/>
      <c r="F5" s="323"/>
    </row>
    <row r="6" spans="1:6" ht="15.75" thickBot="1">
      <c r="A6" s="323"/>
      <c r="B6" s="323"/>
      <c r="C6" s="323"/>
      <c r="D6" s="323"/>
      <c r="E6" s="323"/>
      <c r="F6" s="323"/>
    </row>
    <row r="7" spans="1:6" ht="20.25" thickBot="1">
      <c r="A7" s="1258" t="s">
        <v>1</v>
      </c>
      <c r="B7" s="324"/>
      <c r="C7" s="324"/>
      <c r="D7" s="324"/>
      <c r="E7" s="324"/>
      <c r="F7" s="325"/>
    </row>
    <row r="8" spans="1:6" ht="16.5" thickTop="1" thickBot="1">
      <c r="A8" s="1259" t="s">
        <v>4</v>
      </c>
      <c r="B8" s="1260"/>
      <c r="C8" s="1260"/>
      <c r="D8" s="1254"/>
      <c r="E8" s="1254"/>
      <c r="F8" s="1255"/>
    </row>
    <row r="9" spans="1:6">
      <c r="A9" s="1261" t="s">
        <v>2</v>
      </c>
      <c r="B9" s="1262">
        <v>6810</v>
      </c>
      <c r="C9" s="326"/>
      <c r="D9" s="326"/>
      <c r="E9" s="326"/>
      <c r="F9" s="326"/>
    </row>
    <row r="10" spans="1:6">
      <c r="A10" s="327"/>
      <c r="B10" s="323"/>
      <c r="C10" s="323"/>
      <c r="D10" s="323"/>
      <c r="E10" s="323"/>
      <c r="F10" s="323"/>
    </row>
    <row r="11" spans="1:6" ht="15.75" thickBot="1">
      <c r="A11" s="327"/>
      <c r="B11" s="323"/>
      <c r="C11" s="323"/>
      <c r="D11" s="323"/>
      <c r="E11" s="323"/>
      <c r="F11" s="323"/>
    </row>
    <row r="12" spans="1:6" ht="20.25" thickBot="1">
      <c r="A12" s="1258" t="s">
        <v>3</v>
      </c>
      <c r="B12" s="324"/>
      <c r="C12" s="324"/>
      <c r="D12" s="324"/>
      <c r="E12" s="324"/>
      <c r="F12" s="328"/>
    </row>
    <row r="13" spans="1:6" ht="16.5" thickTop="1" thickBot="1">
      <c r="A13" s="1263" t="s">
        <v>4</v>
      </c>
      <c r="B13" s="1264" t="s">
        <v>5</v>
      </c>
      <c r="C13" s="1264"/>
      <c r="D13" s="1264"/>
      <c r="E13" s="1264"/>
      <c r="F13" s="1265"/>
    </row>
    <row r="14" spans="1:6">
      <c r="A14" s="1266" t="s">
        <v>606</v>
      </c>
      <c r="B14" s="1267">
        <v>5226.2400000000007</v>
      </c>
      <c r="C14" s="323"/>
      <c r="D14" s="323"/>
      <c r="E14" s="323"/>
      <c r="F14" s="323"/>
    </row>
    <row r="15" spans="1:6">
      <c r="A15" s="1266" t="s">
        <v>177</v>
      </c>
      <c r="B15" s="1267">
        <v>1771</v>
      </c>
      <c r="C15" s="323"/>
      <c r="D15" s="323"/>
      <c r="E15" s="323"/>
      <c r="F15" s="323"/>
    </row>
    <row r="16" spans="1:6">
      <c r="A16" s="1266" t="s">
        <v>6</v>
      </c>
      <c r="B16" s="1267">
        <v>4337</v>
      </c>
      <c r="C16" s="323"/>
      <c r="D16" s="323"/>
      <c r="E16" s="323"/>
      <c r="F16" s="323"/>
    </row>
    <row r="17" spans="1:6">
      <c r="A17" s="1266" t="s">
        <v>7</v>
      </c>
      <c r="B17" s="1267">
        <v>408</v>
      </c>
      <c r="C17" s="323"/>
      <c r="D17" s="323"/>
      <c r="E17" s="323"/>
      <c r="F17" s="323"/>
    </row>
    <row r="18" spans="1:6">
      <c r="A18" s="1266" t="s">
        <v>8</v>
      </c>
      <c r="B18" s="1267">
        <v>2229</v>
      </c>
      <c r="C18" s="323"/>
      <c r="D18" s="323"/>
      <c r="E18" s="323"/>
      <c r="F18" s="323"/>
    </row>
    <row r="19" spans="1:6">
      <c r="A19" s="1266" t="s">
        <v>9</v>
      </c>
      <c r="B19" s="1267">
        <v>1931</v>
      </c>
      <c r="C19" s="323"/>
      <c r="D19" s="323"/>
      <c r="E19" s="323"/>
      <c r="F19" s="323"/>
    </row>
    <row r="20" spans="1:6">
      <c r="A20" s="1266" t="s">
        <v>10</v>
      </c>
      <c r="B20" s="1267">
        <v>1281</v>
      </c>
      <c r="C20" s="323"/>
      <c r="D20" s="323"/>
      <c r="E20" s="323"/>
      <c r="F20" s="323"/>
    </row>
    <row r="21" spans="1:6">
      <c r="A21" s="1266" t="s">
        <v>11</v>
      </c>
      <c r="B21" s="1267">
        <v>8923</v>
      </c>
      <c r="C21" s="323"/>
      <c r="D21" s="323"/>
      <c r="E21" s="323"/>
      <c r="F21" s="323"/>
    </row>
    <row r="22" spans="1:6">
      <c r="A22" s="1266" t="s">
        <v>12</v>
      </c>
      <c r="B22" s="1267">
        <v>19886</v>
      </c>
      <c r="C22" s="323"/>
      <c r="D22" s="323"/>
      <c r="E22" s="323"/>
      <c r="F22" s="323"/>
    </row>
    <row r="23" spans="1:6">
      <c r="A23" s="1266" t="s">
        <v>13</v>
      </c>
      <c r="B23" s="1267">
        <v>713</v>
      </c>
      <c r="C23" s="323"/>
      <c r="D23" s="323"/>
      <c r="E23" s="323"/>
      <c r="F23" s="323"/>
    </row>
    <row r="24" spans="1:6">
      <c r="A24" s="1266" t="s">
        <v>14</v>
      </c>
      <c r="B24" s="1267">
        <v>26</v>
      </c>
      <c r="C24" s="323"/>
      <c r="D24" s="323"/>
      <c r="E24" s="323"/>
      <c r="F24" s="323"/>
    </row>
    <row r="25" spans="1:6">
      <c r="A25" s="1266" t="s">
        <v>15</v>
      </c>
      <c r="B25" s="1267">
        <v>3774</v>
      </c>
      <c r="C25" s="323"/>
      <c r="D25" s="323"/>
      <c r="E25" s="323"/>
      <c r="F25" s="323"/>
    </row>
    <row r="26" spans="1:6">
      <c r="A26" s="1266" t="s">
        <v>16</v>
      </c>
      <c r="B26" s="1267">
        <v>477</v>
      </c>
      <c r="C26" s="323"/>
      <c r="D26" s="323"/>
      <c r="E26" s="323"/>
      <c r="F26" s="323"/>
    </row>
    <row r="27" spans="1:6">
      <c r="A27" s="1266" t="s">
        <v>17</v>
      </c>
      <c r="B27" s="1267">
        <v>1391</v>
      </c>
      <c r="C27" s="323"/>
      <c r="D27" s="323"/>
      <c r="E27" s="323"/>
      <c r="F27" s="323"/>
    </row>
    <row r="28" spans="1:6">
      <c r="A28" s="1268" t="s">
        <v>18</v>
      </c>
      <c r="B28" s="1269">
        <v>385182</v>
      </c>
      <c r="C28" s="323"/>
      <c r="D28" s="323"/>
      <c r="E28" s="323"/>
      <c r="F28" s="323"/>
    </row>
    <row r="29" spans="1:6">
      <c r="A29" s="1268" t="s">
        <v>628</v>
      </c>
      <c r="B29" s="1269">
        <v>662</v>
      </c>
      <c r="C29" s="323"/>
      <c r="D29" s="323"/>
      <c r="E29" s="323"/>
      <c r="F29" s="323"/>
    </row>
    <row r="30" spans="1:6">
      <c r="A30" s="1261" t="s">
        <v>629</v>
      </c>
      <c r="B30" s="1270">
        <v>256</v>
      </c>
      <c r="C30" s="326"/>
      <c r="D30" s="326"/>
      <c r="E30" s="326"/>
      <c r="F30" s="326"/>
    </row>
    <row r="31" spans="1:6" ht="15.75" thickBot="1">
      <c r="A31" s="327"/>
      <c r="B31" s="323"/>
      <c r="C31" s="323"/>
      <c r="D31" s="323"/>
      <c r="E31" s="323"/>
      <c r="F31" s="323"/>
    </row>
    <row r="32" spans="1:6" ht="20.25" thickBot="1">
      <c r="A32" s="1258" t="s">
        <v>19</v>
      </c>
      <c r="B32" s="324"/>
      <c r="C32" s="324"/>
      <c r="D32" s="324"/>
      <c r="E32" s="324"/>
      <c r="F32" s="328"/>
    </row>
    <row r="33" spans="1:6" ht="16.5" thickTop="1" thickBot="1">
      <c r="A33" s="1271"/>
      <c r="B33" s="1272"/>
      <c r="C33" s="1272"/>
      <c r="D33" s="1272"/>
      <c r="E33" s="1272" t="s">
        <v>20</v>
      </c>
      <c r="F33" s="1273"/>
    </row>
    <row r="34" spans="1:6" ht="16.5" thickTop="1" thickBot="1">
      <c r="A34" s="1274" t="s">
        <v>21</v>
      </c>
      <c r="B34" s="1275" t="s">
        <v>22</v>
      </c>
      <c r="C34" s="1275" t="s">
        <v>5</v>
      </c>
      <c r="D34" s="1275" t="s">
        <v>23</v>
      </c>
      <c r="E34" s="1275" t="s">
        <v>5</v>
      </c>
      <c r="F34" s="1276" t="s">
        <v>23</v>
      </c>
    </row>
    <row r="35" spans="1:6">
      <c r="A35" s="1266" t="s">
        <v>24</v>
      </c>
      <c r="B35" s="1266" t="s">
        <v>25</v>
      </c>
      <c r="C35" s="1267">
        <v>0</v>
      </c>
      <c r="D35" s="1267">
        <v>0</v>
      </c>
      <c r="E35" s="1267">
        <v>3</v>
      </c>
      <c r="F35" s="1267">
        <v>16403.705558419901</v>
      </c>
    </row>
    <row r="36" spans="1:6">
      <c r="A36" s="1266" t="s">
        <v>24</v>
      </c>
      <c r="B36" s="1266" t="s">
        <v>26</v>
      </c>
      <c r="C36" s="1267">
        <v>0</v>
      </c>
      <c r="D36" s="1267">
        <v>0</v>
      </c>
      <c r="E36" s="1267">
        <v>19</v>
      </c>
      <c r="F36" s="1267">
        <v>34018.231144694</v>
      </c>
    </row>
    <row r="37" spans="1:6">
      <c r="A37" s="1266" t="s">
        <v>24</v>
      </c>
      <c r="B37" s="1266" t="s">
        <v>27</v>
      </c>
      <c r="C37" s="1267">
        <v>0</v>
      </c>
      <c r="D37" s="1267">
        <v>0</v>
      </c>
      <c r="E37" s="1267">
        <v>0</v>
      </c>
      <c r="F37" s="1267">
        <v>0</v>
      </c>
    </row>
    <row r="38" spans="1:6">
      <c r="A38" s="1266" t="s">
        <v>24</v>
      </c>
      <c r="B38" s="1266" t="s">
        <v>28</v>
      </c>
      <c r="C38" s="1267">
        <v>2</v>
      </c>
      <c r="D38" s="1267">
        <v>287799.11590261402</v>
      </c>
      <c r="E38" s="1267">
        <v>0</v>
      </c>
      <c r="F38" s="1267">
        <v>0</v>
      </c>
    </row>
    <row r="39" spans="1:6">
      <c r="A39" s="1266" t="s">
        <v>29</v>
      </c>
      <c r="B39" s="1266" t="s">
        <v>30</v>
      </c>
      <c r="C39" s="1267">
        <v>3653</v>
      </c>
      <c r="D39" s="1267">
        <v>46550945.555427901</v>
      </c>
      <c r="E39" s="1267">
        <v>6741</v>
      </c>
      <c r="F39" s="1267">
        <v>19046217.472252201</v>
      </c>
    </row>
    <row r="40" spans="1:6">
      <c r="A40" s="1266" t="s">
        <v>29</v>
      </c>
      <c r="B40" s="1266" t="s">
        <v>28</v>
      </c>
      <c r="C40" s="1267">
        <v>0</v>
      </c>
      <c r="D40" s="1267">
        <v>0</v>
      </c>
      <c r="E40" s="1267">
        <v>0</v>
      </c>
      <c r="F40" s="1267">
        <v>0</v>
      </c>
    </row>
    <row r="41" spans="1:6">
      <c r="A41" s="1266" t="s">
        <v>31</v>
      </c>
      <c r="B41" s="1266" t="s">
        <v>32</v>
      </c>
      <c r="C41" s="1267">
        <v>53</v>
      </c>
      <c r="D41" s="1267">
        <v>1459063.47008508</v>
      </c>
      <c r="E41" s="1267">
        <v>137</v>
      </c>
      <c r="F41" s="1267">
        <v>2056151.92173035</v>
      </c>
    </row>
    <row r="42" spans="1:6">
      <c r="A42" s="1266" t="s">
        <v>31</v>
      </c>
      <c r="B42" s="1266" t="s">
        <v>33</v>
      </c>
      <c r="C42" s="1267">
        <v>0</v>
      </c>
      <c r="D42" s="1267">
        <v>0</v>
      </c>
      <c r="E42" s="1267">
        <v>0</v>
      </c>
      <c r="F42" s="1267">
        <v>0</v>
      </c>
    </row>
    <row r="43" spans="1:6">
      <c r="A43" s="1266" t="s">
        <v>31</v>
      </c>
      <c r="B43" s="1266" t="s">
        <v>34</v>
      </c>
      <c r="C43" s="1267">
        <v>0</v>
      </c>
      <c r="D43" s="1267">
        <v>0</v>
      </c>
      <c r="E43" s="1267">
        <v>0</v>
      </c>
      <c r="F43" s="1267">
        <v>0</v>
      </c>
    </row>
    <row r="44" spans="1:6">
      <c r="A44" s="1266" t="s">
        <v>31</v>
      </c>
      <c r="B44" s="1266" t="s">
        <v>35</v>
      </c>
      <c r="C44" s="1267">
        <v>9</v>
      </c>
      <c r="D44" s="1267">
        <v>170958.90973959901</v>
      </c>
      <c r="E44" s="1267">
        <v>25</v>
      </c>
      <c r="F44" s="1267">
        <v>370953.66798666702</v>
      </c>
    </row>
    <row r="45" spans="1:6">
      <c r="A45" s="1266" t="s">
        <v>31</v>
      </c>
      <c r="B45" s="1266" t="s">
        <v>36</v>
      </c>
      <c r="C45" s="1267">
        <v>0</v>
      </c>
      <c r="D45" s="1267">
        <v>0</v>
      </c>
      <c r="E45" s="1267">
        <v>0</v>
      </c>
      <c r="F45" s="1267">
        <v>0</v>
      </c>
    </row>
    <row r="46" spans="1:6">
      <c r="A46" s="1266" t="s">
        <v>31</v>
      </c>
      <c r="B46" s="1266" t="s">
        <v>37</v>
      </c>
      <c r="C46" s="1267">
        <v>0</v>
      </c>
      <c r="D46" s="1267">
        <v>0</v>
      </c>
      <c r="E46" s="1267">
        <v>3</v>
      </c>
      <c r="F46" s="1267">
        <v>12460.756535120399</v>
      </c>
    </row>
    <row r="47" spans="1:6">
      <c r="A47" s="1266" t="s">
        <v>31</v>
      </c>
      <c r="B47" s="1266" t="s">
        <v>38</v>
      </c>
      <c r="C47" s="1267">
        <v>0</v>
      </c>
      <c r="D47" s="1267">
        <v>0</v>
      </c>
      <c r="E47" s="1267">
        <v>4</v>
      </c>
      <c r="F47" s="1267">
        <v>1539327.80399204</v>
      </c>
    </row>
    <row r="48" spans="1:6">
      <c r="A48" s="1266" t="s">
        <v>31</v>
      </c>
      <c r="B48" s="1266" t="s">
        <v>28</v>
      </c>
      <c r="C48" s="1267">
        <v>4</v>
      </c>
      <c r="D48" s="1267">
        <v>374051.23626095947</v>
      </c>
      <c r="E48" s="1267">
        <v>5</v>
      </c>
      <c r="F48" s="1267">
        <v>2554156.3297578548</v>
      </c>
    </row>
    <row r="49" spans="1:6">
      <c r="A49" s="1266" t="s">
        <v>31</v>
      </c>
      <c r="B49" s="1266" t="s">
        <v>39</v>
      </c>
      <c r="C49" s="1267">
        <v>0</v>
      </c>
      <c r="D49" s="1267">
        <v>0</v>
      </c>
      <c r="E49" s="1267">
        <v>0</v>
      </c>
      <c r="F49" s="1267">
        <v>0</v>
      </c>
    </row>
    <row r="50" spans="1:6">
      <c r="A50" s="1266" t="s">
        <v>31</v>
      </c>
      <c r="B50" s="1266" t="s">
        <v>40</v>
      </c>
      <c r="C50" s="1267">
        <v>5</v>
      </c>
      <c r="D50" s="1267">
        <v>178991.97281400999</v>
      </c>
      <c r="E50" s="1267">
        <v>9</v>
      </c>
      <c r="F50" s="1267">
        <v>166019.02202282299</v>
      </c>
    </row>
    <row r="51" spans="1:6">
      <c r="A51" s="1266" t="s">
        <v>41</v>
      </c>
      <c r="B51" s="1266" t="s">
        <v>42</v>
      </c>
      <c r="C51" s="1267">
        <v>9</v>
      </c>
      <c r="D51" s="1267">
        <v>373507.790440029</v>
      </c>
      <c r="E51" s="1267">
        <v>190</v>
      </c>
      <c r="F51" s="1267">
        <v>3985034.2661851202</v>
      </c>
    </row>
    <row r="52" spans="1:6">
      <c r="A52" s="1266" t="s">
        <v>41</v>
      </c>
      <c r="B52" s="1266" t="s">
        <v>28</v>
      </c>
      <c r="C52" s="1267">
        <v>0</v>
      </c>
      <c r="D52" s="1267">
        <v>0</v>
      </c>
      <c r="E52" s="1267">
        <v>0</v>
      </c>
      <c r="F52" s="1267">
        <v>0</v>
      </c>
    </row>
    <row r="53" spans="1:6">
      <c r="A53" s="1266" t="s">
        <v>43</v>
      </c>
      <c r="B53" s="1266" t="s">
        <v>44</v>
      </c>
      <c r="C53" s="1267">
        <v>49</v>
      </c>
      <c r="D53" s="1267">
        <v>1859121.3914391401</v>
      </c>
      <c r="E53" s="1267">
        <v>123</v>
      </c>
      <c r="F53" s="1267">
        <v>1191677.31542248</v>
      </c>
    </row>
    <row r="54" spans="1:6">
      <c r="A54" s="1266" t="s">
        <v>45</v>
      </c>
      <c r="B54" s="1266" t="s">
        <v>46</v>
      </c>
      <c r="C54" s="1267">
        <v>0</v>
      </c>
      <c r="D54" s="1267">
        <v>0</v>
      </c>
      <c r="E54" s="1267">
        <v>3</v>
      </c>
      <c r="F54" s="1267">
        <v>1089044.3052863399</v>
      </c>
    </row>
    <row r="55" spans="1:6">
      <c r="A55" s="1266" t="s">
        <v>45</v>
      </c>
      <c r="B55" s="1266" t="s">
        <v>28</v>
      </c>
      <c r="C55" s="1267">
        <v>0</v>
      </c>
      <c r="D55" s="1267">
        <v>0</v>
      </c>
      <c r="E55" s="1267">
        <v>0</v>
      </c>
      <c r="F55" s="1267">
        <v>0</v>
      </c>
    </row>
    <row r="56" spans="1:6">
      <c r="A56" s="1266" t="s">
        <v>47</v>
      </c>
      <c r="B56" s="1266" t="s">
        <v>28</v>
      </c>
      <c r="C56" s="1267">
        <v>0</v>
      </c>
      <c r="D56" s="1267">
        <v>0</v>
      </c>
      <c r="E56" s="1267">
        <v>0</v>
      </c>
      <c r="F56" s="1267">
        <v>0</v>
      </c>
    </row>
    <row r="57" spans="1:6">
      <c r="A57" s="1266" t="s">
        <v>48</v>
      </c>
      <c r="B57" s="1266" t="s">
        <v>49</v>
      </c>
      <c r="C57" s="1267">
        <v>41</v>
      </c>
      <c r="D57" s="1267">
        <v>1282130.8970234599</v>
      </c>
      <c r="E57" s="1267">
        <v>103</v>
      </c>
      <c r="F57" s="1267">
        <v>3497348.5095233098</v>
      </c>
    </row>
    <row r="58" spans="1:6">
      <c r="A58" s="1266" t="s">
        <v>48</v>
      </c>
      <c r="B58" s="1266" t="s">
        <v>50</v>
      </c>
      <c r="C58" s="1267">
        <v>42</v>
      </c>
      <c r="D58" s="1267">
        <v>4049499.6195613001</v>
      </c>
      <c r="E58" s="1267">
        <v>57</v>
      </c>
      <c r="F58" s="1267">
        <v>1881164.9213642101</v>
      </c>
    </row>
    <row r="59" spans="1:6">
      <c r="A59" s="1266" t="s">
        <v>48</v>
      </c>
      <c r="B59" s="1266" t="s">
        <v>51</v>
      </c>
      <c r="C59" s="1267">
        <v>78</v>
      </c>
      <c r="D59" s="1267">
        <v>3977807.5822840198</v>
      </c>
      <c r="E59" s="1267">
        <v>200</v>
      </c>
      <c r="F59" s="1267">
        <v>6188829.5555871297</v>
      </c>
    </row>
    <row r="60" spans="1:6">
      <c r="A60" s="1266" t="s">
        <v>48</v>
      </c>
      <c r="B60" s="1266" t="s">
        <v>52</v>
      </c>
      <c r="C60" s="1267">
        <v>53</v>
      </c>
      <c r="D60" s="1267">
        <v>20962542.5827468</v>
      </c>
      <c r="E60" s="1267">
        <v>86</v>
      </c>
      <c r="F60" s="1267">
        <v>5684797.6555845896</v>
      </c>
    </row>
    <row r="61" spans="1:6">
      <c r="A61" s="1266" t="s">
        <v>48</v>
      </c>
      <c r="B61" s="1266" t="s">
        <v>53</v>
      </c>
      <c r="C61" s="1267">
        <v>97</v>
      </c>
      <c r="D61" s="1267">
        <v>3422318.7470992198</v>
      </c>
      <c r="E61" s="1267">
        <v>264</v>
      </c>
      <c r="F61" s="1267">
        <v>4046486.0382122798</v>
      </c>
    </row>
    <row r="62" spans="1:6">
      <c r="A62" s="1266" t="s">
        <v>48</v>
      </c>
      <c r="B62" s="1266" t="s">
        <v>54</v>
      </c>
      <c r="C62" s="1267">
        <v>14</v>
      </c>
      <c r="D62" s="1267">
        <v>1119498.64468226</v>
      </c>
      <c r="E62" s="1267">
        <v>16</v>
      </c>
      <c r="F62" s="1267">
        <v>131392.702543063</v>
      </c>
    </row>
    <row r="63" spans="1:6">
      <c r="A63" s="1266" t="s">
        <v>48</v>
      </c>
      <c r="B63" s="1266" t="s">
        <v>28</v>
      </c>
      <c r="C63" s="1267">
        <v>0</v>
      </c>
      <c r="D63" s="1267">
        <v>0</v>
      </c>
      <c r="E63" s="1267">
        <v>0</v>
      </c>
      <c r="F63" s="1267">
        <v>0</v>
      </c>
    </row>
    <row r="64" spans="1:6">
      <c r="A64" s="1266" t="s">
        <v>55</v>
      </c>
      <c r="B64" s="1266" t="s">
        <v>56</v>
      </c>
      <c r="C64" s="1267">
        <v>0</v>
      </c>
      <c r="D64" s="1267">
        <v>0</v>
      </c>
      <c r="E64" s="1267">
        <v>0</v>
      </c>
      <c r="F64" s="1267">
        <v>0</v>
      </c>
    </row>
    <row r="65" spans="1:6">
      <c r="A65" s="1266" t="s">
        <v>55</v>
      </c>
      <c r="B65" s="1266" t="s">
        <v>28</v>
      </c>
      <c r="C65" s="1267">
        <v>2</v>
      </c>
      <c r="D65" s="1267">
        <v>52966.906244436199</v>
      </c>
      <c r="E65" s="1267">
        <v>0</v>
      </c>
      <c r="F65" s="1267">
        <v>0</v>
      </c>
    </row>
    <row r="66" spans="1:6">
      <c r="A66" s="1266" t="s">
        <v>55</v>
      </c>
      <c r="B66" s="1266" t="s">
        <v>57</v>
      </c>
      <c r="C66" s="1267">
        <v>0</v>
      </c>
      <c r="D66" s="1267">
        <v>0</v>
      </c>
      <c r="E66" s="1267">
        <v>10</v>
      </c>
      <c r="F66" s="1267">
        <v>135399.58522998699</v>
      </c>
    </row>
    <row r="67" spans="1:6">
      <c r="A67" s="1268" t="s">
        <v>55</v>
      </c>
      <c r="B67" s="1268" t="s">
        <v>58</v>
      </c>
      <c r="C67" s="1267">
        <v>0</v>
      </c>
      <c r="D67" s="1267">
        <v>0</v>
      </c>
      <c r="E67" s="1267">
        <v>0</v>
      </c>
      <c r="F67" s="1267">
        <v>0</v>
      </c>
    </row>
    <row r="68" spans="1:6">
      <c r="A68" s="1261" t="s">
        <v>55</v>
      </c>
      <c r="B68" s="1261" t="s">
        <v>59</v>
      </c>
      <c r="C68" s="1270">
        <v>0</v>
      </c>
      <c r="D68" s="1270">
        <v>0</v>
      </c>
      <c r="E68" s="1270">
        <v>7</v>
      </c>
      <c r="F68" s="1270">
        <v>42339.362525873403</v>
      </c>
    </row>
    <row r="69" spans="1:6" ht="15.75" thickBot="1">
      <c r="A69" s="327"/>
      <c r="B69" s="323"/>
      <c r="C69" s="323"/>
      <c r="D69" s="323"/>
      <c r="E69" s="323"/>
      <c r="F69" s="323"/>
    </row>
    <row r="70" spans="1:6" ht="19.5">
      <c r="A70" s="1258" t="s">
        <v>60</v>
      </c>
      <c r="B70" s="324"/>
      <c r="C70" s="324"/>
      <c r="D70" s="324"/>
      <c r="E70" s="324"/>
      <c r="F70" s="328"/>
    </row>
    <row r="71" spans="1:6" ht="20.25" thickBot="1">
      <c r="A71" s="1277"/>
      <c r="B71" s="1290"/>
      <c r="C71" s="1290"/>
      <c r="D71" s="1291" t="s">
        <v>409</v>
      </c>
      <c r="E71" s="1290"/>
      <c r="F71" s="330"/>
    </row>
    <row r="72" spans="1:6" ht="16.5" thickTop="1" thickBot="1">
      <c r="A72" s="1263" t="s">
        <v>61</v>
      </c>
      <c r="B72" s="1264" t="s">
        <v>62</v>
      </c>
      <c r="C72" s="1278" t="s">
        <v>605</v>
      </c>
      <c r="D72" s="1279"/>
      <c r="E72" s="1279"/>
      <c r="F72" s="1265"/>
    </row>
    <row r="73" spans="1:6">
      <c r="A73" s="1266" t="s">
        <v>63</v>
      </c>
      <c r="B73" s="1266" t="s">
        <v>588</v>
      </c>
      <c r="C73" s="1280" t="s">
        <v>590</v>
      </c>
      <c r="D73" s="1281">
        <v>86426873</v>
      </c>
      <c r="E73" s="441"/>
      <c r="F73" s="323"/>
    </row>
    <row r="74" spans="1:6">
      <c r="A74" s="1266" t="s">
        <v>63</v>
      </c>
      <c r="B74" s="1266" t="s">
        <v>589</v>
      </c>
      <c r="C74" s="1280" t="s">
        <v>591</v>
      </c>
      <c r="D74" s="1281">
        <v>7002745.0331791416</v>
      </c>
      <c r="E74" s="441"/>
      <c r="F74" s="323"/>
    </row>
    <row r="75" spans="1:6">
      <c r="A75" s="1266" t="s">
        <v>64</v>
      </c>
      <c r="B75" s="1266" t="s">
        <v>588</v>
      </c>
      <c r="C75" s="1280" t="s">
        <v>592</v>
      </c>
      <c r="D75" s="1281">
        <v>40873072</v>
      </c>
      <c r="E75" s="441"/>
      <c r="F75" s="323"/>
    </row>
    <row r="76" spans="1:6">
      <c r="A76" s="1266" t="s">
        <v>64</v>
      </c>
      <c r="B76" s="1266" t="s">
        <v>589</v>
      </c>
      <c r="C76" s="1280" t="s">
        <v>593</v>
      </c>
      <c r="D76" s="1281">
        <v>752017.03317914205</v>
      </c>
      <c r="E76" s="441"/>
      <c r="F76" s="323"/>
    </row>
    <row r="77" spans="1:6">
      <c r="A77" s="1266" t="s">
        <v>65</v>
      </c>
      <c r="B77" s="1266" t="s">
        <v>588</v>
      </c>
      <c r="C77" s="1280" t="s">
        <v>594</v>
      </c>
      <c r="D77" s="1281">
        <v>0</v>
      </c>
      <c r="E77" s="441"/>
      <c r="F77" s="323"/>
    </row>
    <row r="78" spans="1:6">
      <c r="A78" s="1261" t="s">
        <v>65</v>
      </c>
      <c r="B78" s="1261" t="s">
        <v>589</v>
      </c>
      <c r="C78" s="1261" t="s">
        <v>595</v>
      </c>
      <c r="D78" s="1282">
        <v>0</v>
      </c>
      <c r="E78" s="1283"/>
      <c r="F78" s="326"/>
    </row>
    <row r="79" spans="1:6">
      <c r="A79" s="1284"/>
      <c r="B79" s="1284"/>
      <c r="C79" s="323"/>
      <c r="D79" s="323"/>
      <c r="E79" s="323"/>
      <c r="F79" s="323"/>
    </row>
    <row r="80" spans="1:6" ht="15.75" thickBot="1">
      <c r="A80" s="1284"/>
      <c r="B80" s="1284"/>
      <c r="C80" s="323"/>
      <c r="D80" s="323"/>
      <c r="E80" s="323"/>
      <c r="F80" s="323"/>
    </row>
    <row r="81" spans="1:6" ht="20.25" thickBot="1">
      <c r="A81" s="1258" t="s">
        <v>319</v>
      </c>
      <c r="B81" s="1285"/>
      <c r="C81" s="324"/>
      <c r="D81" s="324"/>
      <c r="E81" s="324"/>
      <c r="F81" s="328"/>
    </row>
    <row r="82" spans="1:6" ht="16.5" thickTop="1" thickBot="1">
      <c r="A82" s="1263" t="s">
        <v>320</v>
      </c>
      <c r="B82" s="1279"/>
      <c r="C82" s="1279"/>
      <c r="D82" s="1264"/>
      <c r="E82" s="1264"/>
      <c r="F82" s="1265"/>
    </row>
    <row r="83" spans="1:6">
      <c r="A83" s="1266" t="s">
        <v>321</v>
      </c>
      <c r="B83" s="1281">
        <v>640127.93364171591</v>
      </c>
      <c r="C83" s="441"/>
      <c r="D83" s="323"/>
      <c r="E83" s="323"/>
      <c r="F83" s="323"/>
    </row>
    <row r="84" spans="1:6">
      <c r="A84" s="1261" t="s">
        <v>322</v>
      </c>
      <c r="B84" s="1282">
        <v>0</v>
      </c>
      <c r="C84" s="1283"/>
      <c r="D84" s="326"/>
      <c r="E84" s="326"/>
      <c r="F84" s="326"/>
    </row>
    <row r="85" spans="1:6">
      <c r="A85" s="1284"/>
      <c r="B85" s="1286"/>
      <c r="C85" s="323"/>
      <c r="D85" s="323"/>
      <c r="E85" s="323"/>
      <c r="F85" s="323"/>
    </row>
    <row r="86" spans="1:6" ht="15.75" thickBot="1">
      <c r="A86" s="327"/>
      <c r="B86" s="323"/>
      <c r="C86" s="323"/>
      <c r="D86" s="323"/>
      <c r="E86" s="323"/>
      <c r="F86" s="323"/>
    </row>
    <row r="87" spans="1:6" ht="20.25" thickBot="1">
      <c r="A87" s="1258" t="s">
        <v>66</v>
      </c>
      <c r="B87" s="324"/>
      <c r="C87" s="324"/>
      <c r="D87" s="324"/>
      <c r="E87" s="324"/>
      <c r="F87" s="328"/>
    </row>
    <row r="88" spans="1:6" ht="16.5" thickTop="1" thickBot="1">
      <c r="A88" s="1263" t="s">
        <v>4</v>
      </c>
      <c r="B88" s="1264" t="s">
        <v>163</v>
      </c>
      <c r="C88" s="1264"/>
      <c r="D88" s="1264"/>
      <c r="E88" s="1264"/>
      <c r="F88" s="1265"/>
    </row>
    <row r="89" spans="1:6">
      <c r="A89" s="1266" t="s">
        <v>829</v>
      </c>
      <c r="B89" s="1267">
        <v>0</v>
      </c>
      <c r="C89" s="323"/>
      <c r="D89" s="323"/>
      <c r="E89" s="323"/>
      <c r="F89" s="323"/>
    </row>
    <row r="90" spans="1:6">
      <c r="A90" s="1266" t="s">
        <v>509</v>
      </c>
      <c r="B90" s="1267">
        <v>0</v>
      </c>
      <c r="C90" s="323"/>
      <c r="D90" s="323"/>
      <c r="E90" s="323"/>
      <c r="F90" s="323"/>
    </row>
    <row r="91" spans="1:6">
      <c r="A91" s="1266" t="s">
        <v>67</v>
      </c>
      <c r="B91" s="1267">
        <v>12224.720347612016</v>
      </c>
      <c r="C91" s="323"/>
      <c r="D91" s="323"/>
      <c r="E91" s="323"/>
      <c r="F91" s="323"/>
    </row>
    <row r="92" spans="1:6">
      <c r="A92" s="1261" t="s">
        <v>68</v>
      </c>
      <c r="B92" s="1262">
        <v>4540.4345542070505</v>
      </c>
      <c r="C92" s="326"/>
      <c r="D92" s="326"/>
      <c r="E92" s="326"/>
      <c r="F92" s="326"/>
    </row>
    <row r="93" spans="1:6">
      <c r="A93" s="327"/>
      <c r="B93" s="323"/>
      <c r="C93" s="323"/>
      <c r="D93" s="323"/>
      <c r="E93" s="323"/>
      <c r="F93" s="323"/>
    </row>
    <row r="94" spans="1:6" ht="15.75" thickBot="1">
      <c r="A94" s="327"/>
      <c r="B94" s="323"/>
      <c r="C94" s="323"/>
      <c r="D94" s="323"/>
      <c r="E94" s="323"/>
      <c r="F94" s="323"/>
    </row>
    <row r="95" spans="1:6" ht="20.25" thickBot="1">
      <c r="A95" s="1258" t="s">
        <v>69</v>
      </c>
      <c r="B95" s="324"/>
      <c r="C95" s="324"/>
      <c r="D95" s="324"/>
      <c r="E95" s="324"/>
      <c r="F95" s="328"/>
    </row>
    <row r="96" spans="1:6" ht="16.5" thickTop="1" thickBot="1">
      <c r="A96" s="1263" t="s">
        <v>4</v>
      </c>
      <c r="B96" s="1264" t="s">
        <v>5</v>
      </c>
      <c r="C96" s="1264"/>
      <c r="D96" s="1264"/>
      <c r="E96" s="1264"/>
      <c r="F96" s="1265"/>
    </row>
    <row r="97" spans="1:6">
      <c r="A97" s="1266" t="s">
        <v>70</v>
      </c>
      <c r="B97" s="1267">
        <v>903</v>
      </c>
      <c r="C97" s="323"/>
      <c r="D97" s="323"/>
      <c r="E97" s="323"/>
      <c r="F97" s="323"/>
    </row>
    <row r="98" spans="1:6">
      <c r="A98" s="1266" t="s">
        <v>71</v>
      </c>
      <c r="B98" s="1267">
        <v>5</v>
      </c>
      <c r="C98" s="323"/>
      <c r="D98" s="323"/>
      <c r="E98" s="323"/>
      <c r="F98" s="323"/>
    </row>
    <row r="99" spans="1:6">
      <c r="A99" s="1266" t="s">
        <v>72</v>
      </c>
      <c r="B99" s="1267">
        <v>58</v>
      </c>
      <c r="C99" s="323"/>
      <c r="D99" s="323"/>
      <c r="E99" s="323"/>
      <c r="F99" s="323"/>
    </row>
    <row r="100" spans="1:6">
      <c r="A100" s="1266" t="s">
        <v>73</v>
      </c>
      <c r="B100" s="1267">
        <v>226</v>
      </c>
      <c r="C100" s="323"/>
      <c r="D100" s="323"/>
      <c r="E100" s="323"/>
      <c r="F100" s="323"/>
    </row>
    <row r="101" spans="1:6">
      <c r="A101" s="1266" t="s">
        <v>74</v>
      </c>
      <c r="B101" s="1267">
        <v>79</v>
      </c>
      <c r="C101" s="323"/>
      <c r="D101" s="323"/>
      <c r="E101" s="323"/>
      <c r="F101" s="323"/>
    </row>
    <row r="102" spans="1:6">
      <c r="A102" s="1266" t="s">
        <v>75</v>
      </c>
      <c r="B102" s="1267">
        <v>57</v>
      </c>
      <c r="C102" s="323"/>
      <c r="D102" s="323"/>
      <c r="E102" s="323"/>
      <c r="F102" s="323"/>
    </row>
    <row r="103" spans="1:6">
      <c r="A103" s="1266" t="s">
        <v>76</v>
      </c>
      <c r="B103" s="1267">
        <v>102</v>
      </c>
      <c r="C103" s="323"/>
      <c r="D103" s="323"/>
      <c r="E103" s="323"/>
      <c r="F103" s="323"/>
    </row>
    <row r="104" spans="1:6">
      <c r="A104" s="1266" t="s">
        <v>77</v>
      </c>
      <c r="B104" s="1267">
        <v>3908</v>
      </c>
      <c r="C104" s="323"/>
      <c r="D104" s="323"/>
      <c r="E104" s="323"/>
      <c r="F104" s="323"/>
    </row>
    <row r="105" spans="1:6">
      <c r="A105" s="1261" t="s">
        <v>78</v>
      </c>
      <c r="B105" s="1270">
        <v>1</v>
      </c>
      <c r="C105" s="326"/>
      <c r="D105" s="326"/>
      <c r="E105" s="326"/>
      <c r="F105" s="326"/>
    </row>
    <row r="106" spans="1:6">
      <c r="A106" s="327"/>
      <c r="B106" s="323"/>
      <c r="C106" s="323"/>
      <c r="D106" s="323"/>
      <c r="E106" s="323"/>
      <c r="F106" s="323"/>
    </row>
    <row r="107" spans="1:6" ht="15.75" thickBot="1">
      <c r="A107" s="327"/>
      <c r="B107" s="323"/>
      <c r="C107" s="323"/>
      <c r="D107" s="323"/>
      <c r="E107" s="323"/>
      <c r="F107" s="323"/>
    </row>
    <row r="108" spans="1:6" ht="20.25" thickBot="1">
      <c r="A108" s="1258" t="s">
        <v>579</v>
      </c>
      <c r="B108" s="324"/>
      <c r="C108" s="324"/>
      <c r="D108" s="324"/>
      <c r="E108" s="324"/>
      <c r="F108" s="328"/>
    </row>
    <row r="109" spans="1:6" ht="16.5" thickTop="1" thickBot="1">
      <c r="A109" s="1263" t="s">
        <v>4</v>
      </c>
      <c r="B109" s="1264" t="s">
        <v>5</v>
      </c>
      <c r="C109" s="1264"/>
      <c r="D109" s="1264"/>
      <c r="E109" s="1264"/>
      <c r="F109" s="1265"/>
    </row>
    <row r="110" spans="1:6">
      <c r="A110" s="1266" t="s">
        <v>580</v>
      </c>
      <c r="B110" s="1267">
        <v>1</v>
      </c>
      <c r="C110" s="323"/>
      <c r="D110" s="323"/>
      <c r="E110" s="323"/>
      <c r="F110" s="323"/>
    </row>
    <row r="111" spans="1:6">
      <c r="A111" s="1287" t="s">
        <v>581</v>
      </c>
      <c r="B111" s="1288">
        <v>0</v>
      </c>
      <c r="C111" s="1292"/>
      <c r="D111" s="1292"/>
      <c r="E111" s="1292"/>
      <c r="F111" s="1292"/>
    </row>
    <row r="112" spans="1:6">
      <c r="A112" s="1266"/>
      <c r="B112" s="323"/>
      <c r="C112" s="323"/>
      <c r="D112" s="323"/>
      <c r="E112" s="323"/>
      <c r="F112" s="323"/>
    </row>
    <row r="113" spans="1:6" ht="15.75" thickBot="1">
      <c r="A113" s="1261"/>
      <c r="B113" s="326"/>
      <c r="C113" s="326"/>
      <c r="D113" s="326"/>
      <c r="E113" s="326"/>
      <c r="F113" s="326"/>
    </row>
    <row r="114" spans="1:6" ht="20.25" thickBot="1">
      <c r="A114" s="1258" t="s">
        <v>79</v>
      </c>
      <c r="B114" s="324"/>
      <c r="C114" s="324"/>
      <c r="D114" s="324"/>
      <c r="E114" s="324"/>
      <c r="F114" s="328"/>
    </row>
    <row r="115" spans="1:6" ht="16.5" thickTop="1" thickBot="1">
      <c r="A115" s="331"/>
      <c r="B115" s="332" t="s">
        <v>80</v>
      </c>
      <c r="C115" s="332" t="s">
        <v>81</v>
      </c>
      <c r="D115" s="332"/>
      <c r="E115" s="332"/>
      <c r="F115" s="333"/>
    </row>
    <row r="116" spans="1:6" ht="16.5" thickTop="1" thickBot="1">
      <c r="A116" s="1263" t="s">
        <v>4</v>
      </c>
      <c r="B116" s="1264" t="s">
        <v>5</v>
      </c>
      <c r="C116" s="1264" t="s">
        <v>5</v>
      </c>
      <c r="D116" s="1264"/>
      <c r="E116" s="1264"/>
      <c r="F116" s="1265"/>
    </row>
    <row r="117" spans="1:6">
      <c r="A117" s="1266" t="s">
        <v>82</v>
      </c>
      <c r="B117" s="1267">
        <v>0</v>
      </c>
      <c r="C117" s="1267">
        <v>0</v>
      </c>
      <c r="D117" s="323"/>
      <c r="E117" s="323"/>
      <c r="F117" s="323"/>
    </row>
    <row r="118" spans="1:6">
      <c r="A118" s="1266" t="s">
        <v>83</v>
      </c>
      <c r="B118" s="1267">
        <v>0</v>
      </c>
      <c r="C118" s="1267">
        <v>0</v>
      </c>
      <c r="D118" s="323"/>
      <c r="E118" s="323"/>
      <c r="F118" s="323"/>
    </row>
    <row r="119" spans="1:6">
      <c r="A119" s="1266" t="s">
        <v>31</v>
      </c>
      <c r="B119" s="1267">
        <v>0</v>
      </c>
      <c r="C119" s="1267">
        <v>0</v>
      </c>
      <c r="D119" s="323"/>
      <c r="E119" s="323"/>
      <c r="F119" s="323"/>
    </row>
    <row r="120" spans="1:6">
      <c r="A120" s="1266" t="s">
        <v>84</v>
      </c>
      <c r="B120" s="1267">
        <v>0</v>
      </c>
      <c r="C120" s="1267">
        <v>0</v>
      </c>
      <c r="D120" s="323"/>
      <c r="E120" s="323"/>
      <c r="F120" s="323"/>
    </row>
    <row r="121" spans="1:6">
      <c r="A121" s="1266" t="s">
        <v>85</v>
      </c>
      <c r="B121" s="1267">
        <v>1</v>
      </c>
      <c r="C121" s="1267">
        <v>0</v>
      </c>
      <c r="D121" s="323"/>
      <c r="E121" s="323"/>
      <c r="F121" s="323"/>
    </row>
    <row r="122" spans="1:6">
      <c r="A122" s="1266" t="s">
        <v>86</v>
      </c>
      <c r="B122" s="1267">
        <v>0</v>
      </c>
      <c r="C122" s="1267">
        <v>0</v>
      </c>
      <c r="D122" s="323"/>
      <c r="E122" s="323"/>
      <c r="F122" s="323"/>
    </row>
    <row r="123" spans="1:6">
      <c r="A123" s="1266" t="s">
        <v>87</v>
      </c>
      <c r="B123" s="1267">
        <v>89</v>
      </c>
      <c r="C123" s="1267">
        <v>69</v>
      </c>
      <c r="D123" s="323"/>
      <c r="E123" s="323"/>
      <c r="F123" s="323"/>
    </row>
    <row r="124" spans="1:6">
      <c r="A124" s="1268" t="s">
        <v>88</v>
      </c>
      <c r="B124" s="1289">
        <v>3</v>
      </c>
      <c r="C124" s="1289">
        <v>0</v>
      </c>
      <c r="D124" s="323"/>
      <c r="E124" s="323"/>
      <c r="F124" s="323"/>
    </row>
    <row r="125" spans="1:6">
      <c r="A125" s="1261" t="s">
        <v>698</v>
      </c>
      <c r="B125" s="1289">
        <v>0</v>
      </c>
      <c r="C125" s="1289">
        <v>0</v>
      </c>
      <c r="D125" s="323"/>
      <c r="E125" s="323"/>
      <c r="F125" s="323"/>
    </row>
    <row r="126" spans="1:6" ht="15.75" thickBot="1">
      <c r="A126" s="1284"/>
      <c r="B126" s="323"/>
      <c r="C126" s="323"/>
      <c r="D126" s="323"/>
      <c r="E126" s="323"/>
      <c r="F126" s="323"/>
    </row>
    <row r="127" spans="1:6" ht="20.25" thickBot="1">
      <c r="A127" s="1258" t="s">
        <v>280</v>
      </c>
      <c r="B127" s="324"/>
      <c r="C127" s="324"/>
      <c r="D127" s="324"/>
      <c r="E127" s="324"/>
      <c r="F127" s="328"/>
    </row>
    <row r="128" spans="1:6" ht="16.5" thickTop="1" thickBot="1">
      <c r="A128" s="1263" t="s">
        <v>4</v>
      </c>
      <c r="B128" s="1264" t="s">
        <v>5</v>
      </c>
      <c r="C128" s="1264"/>
      <c r="D128" s="1264"/>
      <c r="E128" s="1264"/>
      <c r="F128" s="1265"/>
    </row>
    <row r="129" spans="1:6">
      <c r="A129" s="1266" t="s">
        <v>281</v>
      </c>
      <c r="B129" s="1267">
        <v>293</v>
      </c>
      <c r="C129" s="323"/>
      <c r="D129" s="323"/>
      <c r="E129" s="323"/>
      <c r="F129" s="323"/>
    </row>
    <row r="130" spans="1:6">
      <c r="A130" s="1266" t="s">
        <v>282</v>
      </c>
      <c r="B130" s="1267">
        <v>3</v>
      </c>
      <c r="C130" s="323"/>
      <c r="D130" s="323"/>
      <c r="E130" s="323"/>
      <c r="F130" s="323"/>
    </row>
    <row r="131" spans="1:6">
      <c r="A131" s="1266" t="s">
        <v>283</v>
      </c>
      <c r="B131" s="1267">
        <v>4</v>
      </c>
      <c r="C131" s="323"/>
      <c r="D131" s="323"/>
      <c r="E131" s="323"/>
      <c r="F131" s="323"/>
    </row>
    <row r="132" spans="1:6">
      <c r="A132" s="1261" t="s">
        <v>284</v>
      </c>
      <c r="B132" s="1262">
        <v>75</v>
      </c>
      <c r="C132" s="326"/>
      <c r="D132" s="326"/>
      <c r="E132" s="326"/>
      <c r="F132" s="326"/>
    </row>
    <row r="133" spans="1:6">
      <c r="A133" s="323"/>
      <c r="B133" s="323"/>
      <c r="C133" s="323"/>
      <c r="D133" s="323"/>
      <c r="E133" s="323"/>
      <c r="F133" s="323"/>
    </row>
    <row r="134" spans="1:6">
      <c r="A134" s="1286"/>
      <c r="B134" s="323"/>
      <c r="C134" s="323"/>
      <c r="D134" s="323"/>
      <c r="E134" s="323"/>
      <c r="F134" s="323"/>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2"/>
      <c r="F1" s="632"/>
    </row>
    <row r="2" spans="1:12">
      <c r="A2" s="431" t="s">
        <v>748</v>
      </c>
      <c r="B2" s="500"/>
      <c r="E2" s="632"/>
      <c r="F2" s="632"/>
    </row>
    <row r="3" spans="1:12">
      <c r="A3" s="44"/>
      <c r="B3" s="500"/>
      <c r="E3" s="632"/>
      <c r="F3" s="632"/>
    </row>
    <row r="4" spans="1:12" ht="18">
      <c r="A4" s="136" t="s">
        <v>174</v>
      </c>
      <c r="B4" s="501" t="s">
        <v>369</v>
      </c>
      <c r="E4" s="632"/>
      <c r="F4" s="632"/>
    </row>
    <row r="5" spans="1:12" ht="21">
      <c r="A5" s="116" t="s">
        <v>176</v>
      </c>
      <c r="B5" s="502"/>
      <c r="E5" s="848"/>
      <c r="F5" s="849"/>
      <c r="G5" s="857"/>
      <c r="H5" s="857"/>
      <c r="I5" s="9"/>
      <c r="J5" s="9"/>
    </row>
    <row r="6" spans="1:12">
      <c r="A6" s="117" t="s">
        <v>177</v>
      </c>
      <c r="B6" s="503">
        <v>4.0513950503279288</v>
      </c>
      <c r="E6" s="850"/>
      <c r="F6" s="850"/>
      <c r="G6" s="858"/>
      <c r="H6" s="858"/>
      <c r="I6" s="10"/>
      <c r="J6" s="10"/>
      <c r="K6" s="10"/>
      <c r="L6" s="10"/>
    </row>
    <row r="7" spans="1:12">
      <c r="A7" s="117" t="s">
        <v>6</v>
      </c>
      <c r="B7" s="503">
        <v>133.61732591280233</v>
      </c>
      <c r="E7" s="632"/>
      <c r="F7" s="632"/>
      <c r="G7" s="859"/>
      <c r="H7" s="859"/>
      <c r="K7" s="10"/>
      <c r="L7" s="10"/>
    </row>
    <row r="8" spans="1:12">
      <c r="A8" s="117" t="s">
        <v>7</v>
      </c>
      <c r="B8" s="503">
        <v>68.778113488155356</v>
      </c>
      <c r="E8" s="632"/>
      <c r="F8" s="632"/>
      <c r="G8" s="859"/>
      <c r="H8" s="859"/>
      <c r="K8" s="10"/>
      <c r="L8" s="10"/>
    </row>
    <row r="9" spans="1:12">
      <c r="A9" s="117" t="s">
        <v>8</v>
      </c>
      <c r="B9" s="503">
        <v>31.909886478760502</v>
      </c>
      <c r="E9" s="850"/>
      <c r="F9" s="850"/>
      <c r="G9" s="858"/>
      <c r="H9" s="858"/>
      <c r="I9" s="10"/>
      <c r="J9" s="10"/>
      <c r="K9" s="10"/>
      <c r="L9" s="10"/>
    </row>
    <row r="10" spans="1:12">
      <c r="A10" s="117" t="s">
        <v>9</v>
      </c>
      <c r="B10" s="503">
        <v>47.900718217356051</v>
      </c>
      <c r="E10" s="851"/>
      <c r="F10" s="851"/>
      <c r="G10" s="860"/>
      <c r="H10" s="860"/>
      <c r="I10" s="11"/>
      <c r="J10" s="11"/>
      <c r="K10" s="10"/>
      <c r="L10" s="10"/>
    </row>
    <row r="11" spans="1:12">
      <c r="A11" s="117" t="s">
        <v>10</v>
      </c>
      <c r="B11" s="503">
        <v>41.361552447157969</v>
      </c>
      <c r="E11" s="632"/>
      <c r="F11" s="851"/>
      <c r="G11" s="860"/>
      <c r="H11" s="860"/>
      <c r="I11" s="11"/>
      <c r="J11" s="11"/>
      <c r="K11" s="10"/>
      <c r="L11" s="10"/>
    </row>
    <row r="12" spans="1:12">
      <c r="A12" s="118" t="s">
        <v>16</v>
      </c>
      <c r="B12" s="503">
        <v>8</v>
      </c>
      <c r="E12" s="851"/>
      <c r="F12" s="850"/>
      <c r="G12" s="858"/>
      <c r="H12" s="858"/>
      <c r="I12" s="10"/>
      <c r="J12" s="10"/>
      <c r="K12" s="10"/>
      <c r="L12" s="10"/>
    </row>
    <row r="13" spans="1:12">
      <c r="A13" s="118" t="s">
        <v>17</v>
      </c>
      <c r="B13" s="503">
        <v>5</v>
      </c>
      <c r="E13" s="850"/>
      <c r="F13" s="850"/>
      <c r="G13" s="858"/>
      <c r="H13" s="858"/>
      <c r="I13" s="10"/>
      <c r="J13" s="10"/>
      <c r="K13" s="10"/>
      <c r="L13" s="10"/>
    </row>
    <row r="14" spans="1:12">
      <c r="A14" s="118" t="s">
        <v>178</v>
      </c>
      <c r="B14" s="503">
        <v>1.5</v>
      </c>
      <c r="E14" s="850"/>
      <c r="F14" s="850"/>
      <c r="G14" s="858"/>
      <c r="H14" s="858"/>
      <c r="I14" s="10"/>
      <c r="J14" s="10"/>
      <c r="K14" s="10"/>
      <c r="L14" s="10"/>
    </row>
    <row r="15" spans="1:12">
      <c r="A15" s="118" t="s">
        <v>179</v>
      </c>
      <c r="B15" s="503">
        <v>18</v>
      </c>
      <c r="E15" s="850"/>
      <c r="F15" s="850"/>
      <c r="G15" s="858"/>
      <c r="H15" s="858"/>
      <c r="I15" s="10"/>
      <c r="J15" s="10"/>
      <c r="K15" s="10"/>
      <c r="L15" s="10"/>
    </row>
    <row r="16" spans="1:12">
      <c r="A16" s="118" t="s">
        <v>681</v>
      </c>
      <c r="B16" s="504">
        <v>10</v>
      </c>
      <c r="E16" s="850"/>
      <c r="F16" s="850"/>
      <c r="G16" s="858"/>
      <c r="H16" s="858"/>
      <c r="I16" s="10"/>
      <c r="J16" s="10"/>
      <c r="K16" s="10"/>
      <c r="L16" s="10"/>
    </row>
    <row r="17" spans="1:12" s="43" customFormat="1" ht="15.75" thickBot="1">
      <c r="A17" s="119"/>
      <c r="B17" s="505"/>
      <c r="E17" s="852"/>
      <c r="F17" s="852"/>
      <c r="G17" s="153"/>
      <c r="H17" s="153"/>
      <c r="I17" s="153"/>
      <c r="J17" s="153"/>
      <c r="K17" s="153"/>
      <c r="L17" s="153"/>
    </row>
    <row r="18" spans="1:12" s="43" customFormat="1" ht="15.75" thickBot="1">
      <c r="A18" s="191"/>
      <c r="B18" s="506"/>
      <c r="E18" s="852"/>
      <c r="F18" s="852"/>
      <c r="G18" s="153"/>
      <c r="H18" s="153"/>
      <c r="I18" s="153"/>
      <c r="J18" s="153"/>
      <c r="K18" s="153"/>
      <c r="L18" s="153"/>
    </row>
    <row r="19" spans="1:12" ht="18.75" thickBot="1">
      <c r="A19" s="121" t="s">
        <v>181</v>
      </c>
      <c r="B19" s="499"/>
      <c r="E19" s="850"/>
      <c r="F19" s="850"/>
      <c r="G19" s="10"/>
      <c r="H19" s="10"/>
      <c r="I19" s="10"/>
      <c r="J19" s="10"/>
      <c r="K19" s="10"/>
      <c r="L19" s="10"/>
    </row>
    <row r="20" spans="1:12">
      <c r="A20" s="44" t="s">
        <v>748</v>
      </c>
      <c r="B20" s="500"/>
      <c r="E20" s="850"/>
      <c r="F20" s="850"/>
      <c r="G20" s="10"/>
      <c r="H20" s="10"/>
      <c r="I20" s="10"/>
      <c r="J20" s="10"/>
      <c r="K20" s="10"/>
      <c r="L20" s="10"/>
    </row>
    <row r="21" spans="1:12">
      <c r="A21" s="44"/>
      <c r="B21" s="500"/>
      <c r="E21" s="850"/>
      <c r="F21" s="850"/>
      <c r="G21" s="10"/>
      <c r="H21" s="10"/>
      <c r="I21" s="10"/>
      <c r="J21" s="10"/>
      <c r="K21" s="10"/>
      <c r="L21" s="10"/>
    </row>
    <row r="22" spans="1:12" ht="18">
      <c r="A22" s="137" t="s">
        <v>174</v>
      </c>
      <c r="B22" s="507" t="s">
        <v>369</v>
      </c>
      <c r="E22" s="850"/>
      <c r="F22" s="850"/>
      <c r="G22" s="10"/>
      <c r="H22" s="10"/>
      <c r="I22" s="10"/>
      <c r="J22" s="10"/>
      <c r="K22" s="10"/>
      <c r="L22" s="10"/>
    </row>
    <row r="23" spans="1:12" s="72" customFormat="1">
      <c r="A23" s="118" t="s">
        <v>176</v>
      </c>
      <c r="B23" s="503">
        <v>10.495809542746073</v>
      </c>
      <c r="E23" s="853"/>
      <c r="F23" s="853"/>
      <c r="G23" s="861"/>
      <c r="H23" s="861"/>
    </row>
    <row r="24" spans="1:12">
      <c r="A24" s="117" t="s">
        <v>177</v>
      </c>
      <c r="B24" s="503">
        <v>4.2231090152811745</v>
      </c>
      <c r="E24" s="850"/>
      <c r="F24" s="850"/>
      <c r="G24" s="858"/>
      <c r="H24" s="858"/>
      <c r="I24" s="10"/>
      <c r="J24" s="10"/>
      <c r="K24" s="10"/>
      <c r="L24" s="10"/>
    </row>
    <row r="25" spans="1:12">
      <c r="A25" s="117" t="s">
        <v>6</v>
      </c>
      <c r="B25" s="503">
        <v>33.225507316370908</v>
      </c>
      <c r="E25" s="850"/>
      <c r="F25" s="850"/>
      <c r="G25" s="858"/>
      <c r="H25" s="858"/>
      <c r="I25" s="10"/>
      <c r="J25" s="10"/>
      <c r="K25" s="10"/>
      <c r="L25" s="10"/>
    </row>
    <row r="26" spans="1:12">
      <c r="A26" s="117" t="s">
        <v>7</v>
      </c>
      <c r="B26" s="503">
        <v>1.9368483679121382</v>
      </c>
      <c r="E26" s="850"/>
      <c r="F26" s="850"/>
      <c r="G26" s="858"/>
      <c r="H26" s="858"/>
      <c r="I26" s="10"/>
      <c r="J26" s="10"/>
      <c r="K26" s="10"/>
      <c r="L26" s="10"/>
    </row>
    <row r="27" spans="1:12">
      <c r="A27" s="117" t="s">
        <v>8</v>
      </c>
      <c r="B27" s="503">
        <v>1.1993683996109175</v>
      </c>
      <c r="E27" s="850"/>
      <c r="F27" s="850"/>
      <c r="G27" s="858"/>
      <c r="H27" s="858"/>
      <c r="I27" s="10"/>
      <c r="J27" s="10"/>
      <c r="K27" s="10"/>
      <c r="L27" s="10"/>
    </row>
    <row r="28" spans="1:12">
      <c r="A28" s="117" t="s">
        <v>9</v>
      </c>
      <c r="B28" s="503">
        <v>5.0655067831320864</v>
      </c>
      <c r="E28" s="850"/>
      <c r="F28" s="850"/>
      <c r="G28" s="858"/>
      <c r="H28" s="858"/>
      <c r="I28" s="10"/>
      <c r="J28" s="10"/>
      <c r="K28" s="10"/>
      <c r="L28" s="10"/>
    </row>
    <row r="29" spans="1:12">
      <c r="A29" s="117" t="s">
        <v>10</v>
      </c>
      <c r="B29" s="503">
        <v>3.3232292777158938</v>
      </c>
      <c r="E29" s="850"/>
      <c r="F29" s="850"/>
      <c r="G29" s="858"/>
      <c r="H29" s="858"/>
      <c r="I29" s="10"/>
      <c r="J29" s="10"/>
      <c r="K29" s="10"/>
      <c r="L29" s="10"/>
    </row>
    <row r="30" spans="1:12">
      <c r="A30" s="118" t="s">
        <v>178</v>
      </c>
      <c r="B30" s="503">
        <v>4.4411667289937231</v>
      </c>
      <c r="E30" s="850"/>
      <c r="F30" s="850"/>
      <c r="G30" s="858"/>
      <c r="H30" s="858"/>
      <c r="I30" s="10"/>
      <c r="J30" s="10"/>
      <c r="K30" s="10"/>
      <c r="L30" s="10"/>
    </row>
    <row r="31" spans="1:12">
      <c r="A31" s="117" t="s">
        <v>11</v>
      </c>
      <c r="B31" s="503">
        <v>1.6075002802320004</v>
      </c>
      <c r="E31" s="850"/>
      <c r="F31" s="850"/>
      <c r="G31" s="858"/>
      <c r="H31" s="858"/>
      <c r="I31" s="10"/>
      <c r="J31" s="10"/>
      <c r="K31" s="10"/>
      <c r="L31" s="10"/>
    </row>
    <row r="32" spans="1:12">
      <c r="A32" s="117" t="s">
        <v>12</v>
      </c>
      <c r="B32" s="503">
        <v>4.8225008406960006</v>
      </c>
      <c r="E32" s="850"/>
      <c r="F32" s="850"/>
      <c r="G32" s="858"/>
      <c r="H32" s="858"/>
      <c r="I32" s="10"/>
      <c r="J32" s="10"/>
      <c r="K32" s="10"/>
      <c r="L32" s="10"/>
    </row>
    <row r="33" spans="1:14">
      <c r="A33" s="117" t="s">
        <v>13</v>
      </c>
      <c r="B33" s="503">
        <v>6.3685027042560023</v>
      </c>
      <c r="E33" s="850"/>
      <c r="F33" s="850"/>
      <c r="G33" s="858"/>
      <c r="H33" s="858"/>
      <c r="I33" s="10"/>
      <c r="J33" s="10"/>
      <c r="K33" s="10"/>
      <c r="L33" s="10"/>
    </row>
    <row r="34" spans="1:14">
      <c r="A34" s="117" t="s">
        <v>14</v>
      </c>
      <c r="B34" s="503">
        <v>4.6362973013280016</v>
      </c>
      <c r="E34" s="850"/>
      <c r="F34" s="850"/>
      <c r="G34" s="858"/>
      <c r="H34" s="858"/>
      <c r="I34" s="10"/>
      <c r="J34" s="10"/>
      <c r="K34" s="10"/>
      <c r="L34" s="10"/>
    </row>
    <row r="35" spans="1:14">
      <c r="A35" s="117" t="s">
        <v>15</v>
      </c>
      <c r="B35" s="503">
        <v>12.338973989496004</v>
      </c>
      <c r="E35" s="850"/>
      <c r="F35" s="850"/>
      <c r="G35" s="858"/>
      <c r="H35" s="858"/>
      <c r="I35" s="10"/>
      <c r="J35" s="10"/>
      <c r="K35" s="10"/>
      <c r="L35" s="10"/>
    </row>
    <row r="36" spans="1:14">
      <c r="A36" s="118" t="s">
        <v>16</v>
      </c>
      <c r="B36" s="503">
        <v>0.19</v>
      </c>
      <c r="E36" s="850"/>
      <c r="F36" s="850"/>
      <c r="G36" s="858"/>
      <c r="H36" s="858"/>
      <c r="I36" s="10"/>
      <c r="J36" s="10"/>
      <c r="K36" s="10"/>
      <c r="L36" s="10"/>
    </row>
    <row r="37" spans="1:14">
      <c r="A37" s="118" t="s">
        <v>17</v>
      </c>
      <c r="B37" s="503">
        <v>0.13</v>
      </c>
      <c r="E37" s="632"/>
      <c r="F37" s="632"/>
      <c r="G37" s="859"/>
      <c r="H37" s="859"/>
    </row>
    <row r="38" spans="1:14">
      <c r="A38" s="118" t="s">
        <v>179</v>
      </c>
      <c r="B38" s="503">
        <v>1.56</v>
      </c>
      <c r="E38" s="632"/>
      <c r="F38" s="632"/>
      <c r="G38" s="859"/>
      <c r="H38" s="859"/>
    </row>
    <row r="39" spans="1:14">
      <c r="A39" s="118" t="s">
        <v>180</v>
      </c>
      <c r="B39" s="503">
        <v>0.76</v>
      </c>
      <c r="E39" s="632"/>
      <c r="F39" s="632"/>
      <c r="G39" s="859"/>
      <c r="H39" s="859"/>
    </row>
    <row r="40" spans="1:14">
      <c r="A40" s="118" t="s">
        <v>18</v>
      </c>
      <c r="B40" s="504">
        <v>2.32549511447472E-2</v>
      </c>
      <c r="E40" s="632"/>
      <c r="F40" s="632"/>
      <c r="G40" s="859"/>
      <c r="H40" s="859"/>
    </row>
    <row r="41" spans="1:14" s="992" customFormat="1">
      <c r="A41" s="118" t="s">
        <v>692</v>
      </c>
      <c r="B41" s="504">
        <v>0.08</v>
      </c>
      <c r="E41" s="632"/>
      <c r="F41" s="632"/>
      <c r="G41" s="859"/>
      <c r="H41" s="859"/>
    </row>
    <row r="42" spans="1:14" s="992" customFormat="1">
      <c r="A42" s="118" t="s">
        <v>693</v>
      </c>
      <c r="B42" s="504">
        <v>0.68000000000000016</v>
      </c>
      <c r="E42" s="632"/>
      <c r="F42" s="632"/>
      <c r="G42" s="859"/>
      <c r="H42" s="859"/>
    </row>
    <row r="43" spans="1:14" ht="15.75" thickBot="1">
      <c r="A43" s="119"/>
      <c r="B43" s="508"/>
      <c r="E43" s="632"/>
      <c r="F43" s="632"/>
    </row>
    <row r="44" spans="1:14" s="43" customFormat="1" ht="15.75" thickBot="1">
      <c r="A44" s="192"/>
      <c r="B44" s="506"/>
      <c r="E44" s="854"/>
      <c r="F44" s="854"/>
      <c r="G44" s="193"/>
      <c r="H44" s="193"/>
      <c r="I44" s="193"/>
      <c r="J44" s="193"/>
      <c r="K44" s="193"/>
      <c r="L44" s="193"/>
      <c r="M44" s="193"/>
      <c r="N44" s="193"/>
    </row>
    <row r="45" spans="1:14" ht="15.75" thickBot="1">
      <c r="A45" s="121" t="s">
        <v>182</v>
      </c>
      <c r="B45" s="509"/>
      <c r="E45" s="632"/>
      <c r="F45" s="632"/>
    </row>
    <row r="46" spans="1:14">
      <c r="A46" s="44" t="s">
        <v>749</v>
      </c>
      <c r="B46" s="500"/>
      <c r="E46" s="632"/>
      <c r="F46" s="632"/>
    </row>
    <row r="47" spans="1:14">
      <c r="A47" s="44"/>
      <c r="B47" s="500"/>
      <c r="E47" s="632"/>
      <c r="F47" s="632"/>
    </row>
    <row r="48" spans="1:14" ht="18">
      <c r="A48" s="136" t="s">
        <v>183</v>
      </c>
      <c r="B48" s="501" t="s">
        <v>534</v>
      </c>
      <c r="E48" s="632"/>
      <c r="F48" s="632"/>
    </row>
    <row r="49" spans="1:12">
      <c r="A49" s="116" t="s">
        <v>184</v>
      </c>
      <c r="B49" s="984">
        <v>0.8571683488072821</v>
      </c>
      <c r="E49" s="632"/>
      <c r="F49" s="632"/>
    </row>
    <row r="50" spans="1:12">
      <c r="A50" s="118" t="s">
        <v>185</v>
      </c>
      <c r="B50" s="985">
        <v>0.9727366403895874</v>
      </c>
      <c r="E50" s="632"/>
      <c r="F50" s="632"/>
    </row>
    <row r="51" spans="1:12">
      <c r="A51" s="118" t="s">
        <v>178</v>
      </c>
      <c r="B51" s="985">
        <v>3.1410829814444895E-2</v>
      </c>
      <c r="E51" s="632"/>
      <c r="F51" s="632"/>
    </row>
    <row r="52" spans="1:12">
      <c r="A52" s="118" t="s">
        <v>18</v>
      </c>
      <c r="B52" s="986">
        <v>9.2379635955815251E-4</v>
      </c>
      <c r="E52" s="850"/>
      <c r="F52" s="850"/>
      <c r="G52" s="10"/>
      <c r="H52" s="10"/>
      <c r="I52" s="10"/>
      <c r="J52" s="10"/>
      <c r="K52" s="10"/>
      <c r="L52" s="10"/>
    </row>
    <row r="53" spans="1:12">
      <c r="A53" s="118" t="s">
        <v>16</v>
      </c>
      <c r="B53" s="987">
        <v>6.5747717072599989E-3</v>
      </c>
      <c r="E53" s="850"/>
      <c r="F53" s="850"/>
      <c r="G53" s="10"/>
      <c r="H53" s="10"/>
      <c r="I53" s="10"/>
      <c r="J53" s="10"/>
      <c r="K53" s="10"/>
      <c r="L53" s="10"/>
    </row>
    <row r="54" spans="1:12" ht="15.75" thickBot="1">
      <c r="A54" s="119" t="s">
        <v>120</v>
      </c>
      <c r="B54" s="988">
        <v>0.1166743337904778</v>
      </c>
      <c r="E54" s="632"/>
      <c r="F54" s="632"/>
    </row>
    <row r="55" spans="1:12">
      <c r="B55"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1" customWidth="1"/>
    <col min="3" max="3" width="70.28515625" style="514" customWidth="1"/>
  </cols>
  <sheetData>
    <row r="1" spans="1:3" s="323" customFormat="1" ht="15.75" thickBot="1">
      <c r="A1" s="356" t="s">
        <v>561</v>
      </c>
      <c r="B1" s="512"/>
      <c r="C1" s="513"/>
    </row>
    <row r="2" spans="1:3" s="323" customFormat="1">
      <c r="A2" s="360"/>
      <c r="B2" s="480"/>
      <c r="C2" s="515"/>
    </row>
    <row r="3" spans="1:3" s="323" customFormat="1">
      <c r="A3" s="358"/>
      <c r="B3" s="516">
        <v>2020</v>
      </c>
      <c r="C3" s="361" t="s">
        <v>175</v>
      </c>
    </row>
    <row r="4" spans="1:3">
      <c r="A4" s="120" t="s">
        <v>288</v>
      </c>
      <c r="B4" s="517">
        <v>4561.0827751850129</v>
      </c>
      <c r="C4" s="138" t="s">
        <v>750</v>
      </c>
    </row>
    <row r="5" spans="1:3" ht="15.75" thickBot="1">
      <c r="A5" s="869" t="s">
        <v>560</v>
      </c>
      <c r="B5" s="875">
        <v>673451.87000000046</v>
      </c>
      <c r="C5" s="876" t="s">
        <v>751</v>
      </c>
    </row>
    <row r="11" spans="1:3">
      <c r="B11" s="74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3" customFormat="1" ht="15.75" thickBot="1">
      <c r="A1" s="356" t="s">
        <v>410</v>
      </c>
      <c r="B1" s="357"/>
    </row>
    <row r="2" spans="1:2" s="323" customFormat="1">
      <c r="A2" s="348"/>
      <c r="B2" s="355"/>
    </row>
    <row r="3" spans="1:2" s="323" customFormat="1" ht="18">
      <c r="A3" s="358"/>
      <c r="B3" s="359" t="s">
        <v>413</v>
      </c>
    </row>
    <row r="4" spans="1:2" ht="18">
      <c r="A4" s="120" t="s">
        <v>411</v>
      </c>
      <c r="B4" s="518">
        <v>310</v>
      </c>
    </row>
    <row r="5" spans="1:2" ht="18.75" thickBot="1">
      <c r="A5" s="115" t="s">
        <v>412</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3"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278</v>
      </c>
    </row>
    <row r="2" spans="1:13" s="323" customFormat="1">
      <c r="A2" s="348" t="s">
        <v>400</v>
      </c>
      <c r="B2" s="329"/>
      <c r="C2" s="329"/>
      <c r="D2" s="329"/>
      <c r="E2" s="329"/>
      <c r="F2" s="329"/>
      <c r="G2" s="329"/>
      <c r="H2" s="329"/>
      <c r="I2" s="329"/>
      <c r="J2" s="329"/>
      <c r="K2" s="329"/>
      <c r="L2" s="329"/>
      <c r="M2" s="355"/>
    </row>
    <row r="3" spans="1:13">
      <c r="A3" s="44"/>
      <c r="B3" s="43"/>
      <c r="C3" s="43"/>
      <c r="D3" s="43"/>
      <c r="E3" s="43"/>
      <c r="F3" s="43"/>
      <c r="G3" s="43"/>
      <c r="H3" s="43"/>
      <c r="I3" s="43"/>
      <c r="J3" s="43"/>
      <c r="K3" s="43"/>
      <c r="L3" s="43"/>
      <c r="M3" s="96"/>
    </row>
    <row r="4" spans="1:13" ht="15.75" thickBot="1">
      <c r="A4" s="206" t="s">
        <v>401</v>
      </c>
      <c r="B4" s="308">
        <v>0.20200000000000001</v>
      </c>
      <c r="C4" s="308">
        <v>0.22700000000000001</v>
      </c>
      <c r="D4" s="308">
        <v>0.26700000000000002</v>
      </c>
      <c r="E4" s="308">
        <v>0.26700000000000002</v>
      </c>
      <c r="F4" s="308">
        <v>0.249</v>
      </c>
      <c r="G4" s="308">
        <v>0.35099999999999998</v>
      </c>
      <c r="H4" s="308">
        <v>0.35399999999999998</v>
      </c>
      <c r="I4" s="308">
        <v>0.26400000000000001</v>
      </c>
      <c r="J4" s="308">
        <v>0</v>
      </c>
      <c r="K4" s="308">
        <v>0</v>
      </c>
      <c r="L4" s="308">
        <v>0</v>
      </c>
      <c r="M4" s="309">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3"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7" t="s">
        <v>452</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469</v>
      </c>
      <c r="B3" s="49">
        <f ca="1">IF(ISERROR('SEAP template'!C27),0,'SEAP template'!C27)</f>
        <v>66292.225734280553</v>
      </c>
      <c r="C3" s="43" t="s">
        <v>163</v>
      </c>
      <c r="D3" s="43"/>
      <c r="E3" s="153"/>
      <c r="F3" s="43"/>
      <c r="G3" s="43"/>
      <c r="H3" s="43"/>
      <c r="I3" s="43"/>
      <c r="J3" s="43"/>
      <c r="K3" s="96"/>
    </row>
    <row r="4" spans="1:11">
      <c r="A4" s="348" t="s">
        <v>164</v>
      </c>
      <c r="B4" s="49">
        <f>IF(ISERROR('SEAP template'!B78+'SEAP template'!C78),0,'SEAP template'!B78+'SEAP template'!C78)</f>
        <v>16813.488235156266</v>
      </c>
      <c r="C4" s="43" t="s">
        <v>163</v>
      </c>
      <c r="D4" s="43"/>
      <c r="E4" s="43"/>
      <c r="F4" s="43"/>
      <c r="G4" s="43"/>
      <c r="H4" s="43"/>
      <c r="I4" s="43"/>
      <c r="J4" s="43"/>
      <c r="K4" s="96"/>
    </row>
    <row r="5" spans="1:11">
      <c r="A5" s="348" t="s">
        <v>497</v>
      </c>
      <c r="B5" s="49">
        <f>IF(ISERROR('Eigen informatie GS &amp; warmtenet'!B4),0,'Eigen informatie GS &amp; warmtenet'!B4)</f>
        <v>0</v>
      </c>
      <c r="C5" s="43" t="s">
        <v>163</v>
      </c>
      <c r="D5" s="43"/>
      <c r="E5" s="43"/>
      <c r="F5" s="43"/>
      <c r="G5" s="43"/>
      <c r="H5" s="43"/>
      <c r="I5" s="43"/>
      <c r="J5" s="43"/>
      <c r="K5" s="96"/>
    </row>
    <row r="6" spans="1:11">
      <c r="A6" s="348" t="s">
        <v>165</v>
      </c>
      <c r="B6" s="521">
        <f>E6</f>
        <v>0.221</v>
      </c>
      <c r="C6" s="43" t="s">
        <v>166</v>
      </c>
      <c r="D6" s="43"/>
      <c r="E6" s="873">
        <v>0.221</v>
      </c>
      <c r="F6" s="43" t="s">
        <v>622</v>
      </c>
      <c r="G6" s="43" t="s">
        <v>627</v>
      </c>
      <c r="H6" s="43"/>
      <c r="I6" s="43"/>
      <c r="J6" s="43"/>
      <c r="K6" s="96"/>
    </row>
    <row r="7" spans="1:11">
      <c r="A7" s="348"/>
      <c r="B7" s="443"/>
      <c r="C7" s="43"/>
      <c r="D7" s="43"/>
      <c r="E7" s="43"/>
      <c r="F7" s="48"/>
      <c r="G7" s="43"/>
      <c r="H7" s="43"/>
      <c r="I7" s="43"/>
      <c r="J7" s="43"/>
      <c r="K7" s="96"/>
    </row>
    <row r="8" spans="1:11">
      <c r="A8" s="348"/>
      <c r="B8" s="443"/>
      <c r="C8" s="43"/>
      <c r="D8" s="43"/>
      <c r="E8" s="43"/>
      <c r="F8" s="48"/>
      <c r="G8" s="43"/>
      <c r="H8" s="872"/>
      <c r="I8" s="154"/>
      <c r="J8" s="43"/>
      <c r="K8" s="96"/>
    </row>
    <row r="9" spans="1:11">
      <c r="A9" s="348" t="s">
        <v>168</v>
      </c>
      <c r="B9" s="49">
        <f>IF(ISERROR('SEAP template'!Q78),0,'SEAP template'!Q78)</f>
        <v>0</v>
      </c>
      <c r="C9" s="43" t="s">
        <v>167</v>
      </c>
      <c r="D9" s="43"/>
      <c r="E9" s="43"/>
      <c r="F9" s="43"/>
      <c r="G9" s="43"/>
      <c r="H9" s="43"/>
      <c r="I9" s="43"/>
      <c r="J9" s="43"/>
      <c r="K9" s="96"/>
    </row>
    <row r="10" spans="1:11">
      <c r="A10" s="348" t="s">
        <v>378</v>
      </c>
      <c r="B10" s="48">
        <v>0</v>
      </c>
      <c r="C10" s="43" t="s">
        <v>167</v>
      </c>
      <c r="D10" s="153"/>
      <c r="E10" s="43"/>
      <c r="F10" s="43"/>
      <c r="G10" s="43"/>
      <c r="H10" s="43"/>
      <c r="I10" s="43"/>
      <c r="J10" s="43"/>
      <c r="K10" s="96"/>
    </row>
    <row r="11" spans="1:11">
      <c r="A11" s="348"/>
      <c r="B11" s="443"/>
      <c r="C11" s="43"/>
      <c r="D11" s="43"/>
      <c r="E11" s="43"/>
      <c r="F11" s="43"/>
      <c r="G11" s="43"/>
      <c r="H11" s="43"/>
      <c r="I11" s="43"/>
      <c r="J11" s="43"/>
      <c r="K11" s="96"/>
    </row>
    <row r="12" spans="1:11">
      <c r="A12" s="349" t="s">
        <v>169</v>
      </c>
      <c r="B12" s="520">
        <f ca="1">IF((B4+B5)&gt;B3,(B9+B10)/(B4+B5),((B3-B4-B5)*B6+B9+B10)/B3)</f>
        <v>0.16494846667445565</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9"/>
    </row>
    <row r="15" spans="1:11">
      <c r="A15" s="351" t="s">
        <v>453</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289</v>
      </c>
      <c r="B19" s="49">
        <f>IF(ISERROR('Eigen informatie GS &amp; warmtenet'!B53),0,'Eigen informatie GS &amp; warmtenet'!B53)</f>
        <v>0</v>
      </c>
      <c r="C19" s="43" t="s">
        <v>167</v>
      </c>
      <c r="D19" s="43"/>
      <c r="E19" s="43"/>
      <c r="F19" s="43"/>
      <c r="G19" s="43"/>
      <c r="H19" s="43"/>
      <c r="I19" s="43"/>
      <c r="J19" s="43"/>
      <c r="K19" s="96"/>
    </row>
    <row r="20" spans="1:11">
      <c r="A20" s="348" t="s">
        <v>470</v>
      </c>
      <c r="B20" s="49">
        <f ca="1">IF(ISERROR('SEAP template'!D27),0,('SEAP template'!D27))</f>
        <v>183.61111112580002</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2">
        <f ca="1">IF(B20=0,0,(B17+B18-B19)/B20)</f>
        <v>0</v>
      </c>
      <c r="C22" s="43" t="s">
        <v>166</v>
      </c>
      <c r="K22" s="96"/>
    </row>
    <row r="23" spans="1:11" ht="15.75" thickBot="1">
      <c r="A23" s="350"/>
      <c r="B23" s="108"/>
      <c r="C23" s="108"/>
      <c r="D23" s="108"/>
      <c r="E23" s="108"/>
      <c r="F23" s="108"/>
      <c r="G23" s="108"/>
      <c r="H23" s="108"/>
      <c r="I23" s="108"/>
      <c r="J23" s="108"/>
      <c r="K23" s="109"/>
    </row>
    <row r="34" spans="1:1">
      <c r="A34" s="323"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election activeCell="B7" sqref="B7"/>
    </sheetView>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365</v>
      </c>
      <c r="B2" s="742"/>
      <c r="C2" s="399"/>
    </row>
    <row r="3" spans="1:3" s="15" customFormat="1" ht="15.75">
      <c r="A3" s="98"/>
      <c r="B3" s="70"/>
      <c r="C3" s="99"/>
    </row>
    <row r="4" spans="1:3" s="323" customFormat="1">
      <c r="A4" s="379" t="s">
        <v>348</v>
      </c>
      <c r="B4" s="401" t="s">
        <v>360</v>
      </c>
      <c r="C4" s="402" t="s">
        <v>359</v>
      </c>
    </row>
    <row r="5" spans="1:3" s="323" customFormat="1">
      <c r="A5" s="403"/>
      <c r="B5" s="329"/>
      <c r="C5" s="355"/>
    </row>
    <row r="6" spans="1:3" s="323" customFormat="1">
      <c r="A6" s="863" t="s">
        <v>587</v>
      </c>
      <c r="B6" s="404" t="s">
        <v>774</v>
      </c>
      <c r="C6" s="405" t="s">
        <v>343</v>
      </c>
    </row>
    <row r="7" spans="1:3" s="323" customFormat="1">
      <c r="A7" s="863" t="s">
        <v>775</v>
      </c>
      <c r="B7" s="406" t="s">
        <v>779</v>
      </c>
      <c r="C7" s="407" t="s">
        <v>542</v>
      </c>
    </row>
    <row r="8" spans="1:3" s="323" customFormat="1">
      <c r="A8" s="1000" t="s">
        <v>704</v>
      </c>
      <c r="B8" s="406" t="s">
        <v>706</v>
      </c>
      <c r="C8" s="407" t="s">
        <v>343</v>
      </c>
    </row>
    <row r="9" spans="1:3" s="323" customFormat="1">
      <c r="A9" s="1000" t="s">
        <v>776</v>
      </c>
      <c r="B9" s="406" t="s">
        <v>707</v>
      </c>
      <c r="C9" s="407" t="s">
        <v>343</v>
      </c>
    </row>
    <row r="10" spans="1:3" s="323" customFormat="1">
      <c r="A10" s="1000" t="s">
        <v>705</v>
      </c>
      <c r="B10" s="406" t="s">
        <v>708</v>
      </c>
      <c r="C10" s="407" t="s">
        <v>343</v>
      </c>
    </row>
    <row r="11" spans="1:3" s="323" customFormat="1">
      <c r="A11" s="436"/>
      <c r="B11" s="406"/>
      <c r="C11" s="407"/>
    </row>
    <row r="12" spans="1:3" ht="21">
      <c r="A12" s="125" t="s">
        <v>436</v>
      </c>
      <c r="B12" s="124"/>
      <c r="C12" s="122"/>
    </row>
  </sheetData>
  <hyperlinks>
    <hyperlink ref="A7" location="'Inventaris 2020'!A1" display="Inventaris 2020'!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20'!A1" display="Lokale energieproductie 2020"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topLeftCell="A13" workbookViewId="0"/>
  </sheetViews>
  <sheetFormatPr defaultColWidth="9.140625" defaultRowHeight="15"/>
  <cols>
    <col min="1" max="1" width="56.85546875" style="837" bestFit="1" customWidth="1"/>
    <col min="2" max="2" width="22.7109375" style="307" customWidth="1"/>
    <col min="3" max="3" width="31.42578125" style="307" customWidth="1"/>
    <col min="4" max="4" width="22.28515625" style="307" customWidth="1"/>
    <col min="5" max="5" width="12.140625" style="307" customWidth="1"/>
    <col min="6" max="6" width="37.28515625" style="228" bestFit="1" customWidth="1"/>
    <col min="7" max="16384" width="9.140625" style="15"/>
  </cols>
  <sheetData>
    <row r="1" spans="1:8" s="307" customFormat="1">
      <c r="A1" s="837" t="s">
        <v>605</v>
      </c>
      <c r="B1" s="837" t="s">
        <v>295</v>
      </c>
      <c r="C1" s="837" t="s">
        <v>299</v>
      </c>
      <c r="D1" s="837" t="s">
        <v>300</v>
      </c>
      <c r="E1" s="837" t="s">
        <v>301</v>
      </c>
      <c r="F1" s="837" t="s">
        <v>302</v>
      </c>
      <c r="H1" s="1035" t="s">
        <v>826</v>
      </c>
    </row>
    <row r="2" spans="1:8">
      <c r="A2" s="307" t="str">
        <f>CONCATENATE(TableECFTransport[[#This Row],[Voertuigtype]],"_",TableECFTransport[[#This Row],[Wegtype]],"_",TableECFTransport[[#This Row],[Brandstoftechnologie]],"_",TableECFTransport[[#This Row],[Brandstof]])</f>
        <v>Tram_gemiddeld_Electric_Electric</v>
      </c>
      <c r="B2" s="307" t="s">
        <v>316</v>
      </c>
      <c r="C2" s="307" t="s">
        <v>327</v>
      </c>
      <c r="D2" s="307" t="s">
        <v>297</v>
      </c>
      <c r="E2" s="307" t="s">
        <v>297</v>
      </c>
      <c r="F2" s="1006">
        <v>1.269E-8</v>
      </c>
    </row>
    <row r="3" spans="1:8">
      <c r="A3" s="307" t="str">
        <f>CONCATENATE(TableECFTransport[[#This Row],[Voertuigtype]],"_",TableECFTransport[[#This Row],[Wegtype]],"_",TableECFTransport[[#This Row],[Brandstoftechnologie]],"_",TableECFTransport[[#This Row],[Brandstof]])</f>
        <v>Lichte voertuigen_Niet-genummerde wegen_Fuel Cell H2_H2</v>
      </c>
      <c r="B3" s="307" t="s">
        <v>588</v>
      </c>
      <c r="C3" s="307" t="s">
        <v>64</v>
      </c>
      <c r="D3" s="307" t="s">
        <v>710</v>
      </c>
      <c r="E3" s="307" t="s">
        <v>711</v>
      </c>
      <c r="F3" s="1006">
        <v>1.5973299999999999E-9</v>
      </c>
    </row>
    <row r="4" spans="1:8">
      <c r="A4" s="307" t="str">
        <f>CONCATENATE(TableECFTransport[[#This Row],[Voertuigtype]],"_",TableECFTransport[[#This Row],[Wegtype]],"_",TableECFTransport[[#This Row],[Brandstoftechnologie]],"_",TableECFTransport[[#This Row],[Brandstof]])</f>
        <v>Lichte voertuigen_Genummerde wegen_Fuel Cell H2_H2</v>
      </c>
      <c r="B4" s="307" t="s">
        <v>588</v>
      </c>
      <c r="C4" s="307" t="s">
        <v>63</v>
      </c>
      <c r="D4" s="307" t="s">
        <v>710</v>
      </c>
      <c r="E4" s="307" t="s">
        <v>711</v>
      </c>
      <c r="F4" s="1006">
        <v>1.5973299999999999E-9</v>
      </c>
    </row>
    <row r="5" spans="1:8">
      <c r="A5" s="307" t="str">
        <f>CONCATENATE(TableECFTransport[[#This Row],[Voertuigtype]],"_",TableECFTransport[[#This Row],[Wegtype]],"_",TableECFTransport[[#This Row],[Brandstoftechnologie]],"_",TableECFTransport[[#This Row],[Brandstof]])</f>
        <v>Lichte voertuigen_Snelwegen_Fuel Cell H2_H2</v>
      </c>
      <c r="B5" s="307" t="s">
        <v>588</v>
      </c>
      <c r="C5" s="307" t="s">
        <v>65</v>
      </c>
      <c r="D5" s="307" t="s">
        <v>710</v>
      </c>
      <c r="E5" s="307" t="s">
        <v>711</v>
      </c>
      <c r="F5" s="1006">
        <v>1.5973299999999999E-9</v>
      </c>
    </row>
    <row r="6" spans="1:8" s="837" customFormat="1">
      <c r="A6" s="307" t="str">
        <f>CONCATENATE(TableECFTransport[[#This Row],[Voertuigtype]],"_",TableECFTransport[[#This Row],[Wegtype]],"_",TableECFTransport[[#This Row],[Brandstoftechnologie]],"_",TableECFTransport[[#This Row],[Brandstof]])</f>
        <v>Lichte voertuigen_Niet-genummerde wegen_Electric_Electric</v>
      </c>
      <c r="B6" s="307" t="s">
        <v>588</v>
      </c>
      <c r="C6" s="307" t="s">
        <v>64</v>
      </c>
      <c r="D6" s="307" t="s">
        <v>297</v>
      </c>
      <c r="E6" s="307" t="s">
        <v>297</v>
      </c>
      <c r="F6" s="1006">
        <v>6.8317179923825825E-10</v>
      </c>
    </row>
    <row r="7" spans="1:8">
      <c r="A7" s="307" t="str">
        <f>CONCATENATE(TableECFTransport[[#This Row],[Voertuigtype]],"_",TableECFTransport[[#This Row],[Wegtype]],"_",TableECFTransport[[#This Row],[Brandstoftechnologie]],"_",TableECFTransport[[#This Row],[Brandstof]])</f>
        <v>Lichte voertuigen_Genummerde wegen_Electric_Electric</v>
      </c>
      <c r="B7" s="307" t="s">
        <v>588</v>
      </c>
      <c r="C7" s="307" t="s">
        <v>63</v>
      </c>
      <c r="D7" s="307" t="s">
        <v>297</v>
      </c>
      <c r="E7" s="307" t="s">
        <v>297</v>
      </c>
      <c r="F7" s="1006">
        <v>6.8317179923825825E-10</v>
      </c>
    </row>
    <row r="8" spans="1:8">
      <c r="A8" s="307" t="str">
        <f>CONCATENATE(TableECFTransport[[#This Row],[Voertuigtype]],"_",TableECFTransport[[#This Row],[Wegtype]],"_",TableECFTransport[[#This Row],[Brandstoftechnologie]],"_",TableECFTransport[[#This Row],[Brandstof]])</f>
        <v>Lichte voertuigen_Snelwegen_Electric_Electric</v>
      </c>
      <c r="B8" s="307" t="s">
        <v>588</v>
      </c>
      <c r="C8" s="307" t="s">
        <v>65</v>
      </c>
      <c r="D8" s="307" t="s">
        <v>297</v>
      </c>
      <c r="E8" s="307" t="s">
        <v>297</v>
      </c>
      <c r="F8" s="1006">
        <v>6.8317179923825825E-10</v>
      </c>
    </row>
    <row r="9" spans="1:8">
      <c r="A9" s="307" t="str">
        <f>CONCATENATE(TableECFTransport[[#This Row],[Voertuigtype]],"_",TableECFTransport[[#This Row],[Wegtype]],"_",TableECFTransport[[#This Row],[Brandstoftechnologie]],"_",TableECFTransport[[#This Row],[Brandstof]])</f>
        <v>Zware voertuigen_Niet-genummerde wegen_Electric_Electric</v>
      </c>
      <c r="B9" s="307" t="s">
        <v>589</v>
      </c>
      <c r="C9" s="307" t="s">
        <v>64</v>
      </c>
      <c r="D9" s="307" t="s">
        <v>297</v>
      </c>
      <c r="E9" s="307" t="s">
        <v>297</v>
      </c>
      <c r="F9" s="1006">
        <v>4.4840405932146692E-9</v>
      </c>
    </row>
    <row r="10" spans="1:8">
      <c r="A10" s="307" t="str">
        <f>CONCATENATE(TableECFTransport[[#This Row],[Voertuigtype]],"_",TableECFTransport[[#This Row],[Wegtype]],"_",TableECFTransport[[#This Row],[Brandstoftechnologie]],"_",TableECFTransport[[#This Row],[Brandstof]])</f>
        <v>Zware voertuigen_Genummerde wegen_Electric_Electric</v>
      </c>
      <c r="B10" s="307" t="s">
        <v>589</v>
      </c>
      <c r="C10" s="307" t="s">
        <v>63</v>
      </c>
      <c r="D10" s="307" t="s">
        <v>297</v>
      </c>
      <c r="E10" s="307" t="s">
        <v>297</v>
      </c>
      <c r="F10" s="1006">
        <v>4.4840405932146692E-9</v>
      </c>
    </row>
    <row r="11" spans="1:8">
      <c r="A11" s="307" t="str">
        <f>CONCATENATE(TableECFTransport[[#This Row],[Voertuigtype]],"_",TableECFTransport[[#This Row],[Wegtype]],"_",TableECFTransport[[#This Row],[Brandstoftechnologie]],"_",TableECFTransport[[#This Row],[Brandstof]])</f>
        <v>Zware voertuigen_Snelwegen_Electric_Electric</v>
      </c>
      <c r="B11" s="307" t="s">
        <v>589</v>
      </c>
      <c r="C11" s="307" t="s">
        <v>65</v>
      </c>
      <c r="D11" s="307" t="s">
        <v>297</v>
      </c>
      <c r="E11" s="307" t="s">
        <v>297</v>
      </c>
      <c r="F11" s="1006">
        <v>4.4840405932146692E-9</v>
      </c>
    </row>
    <row r="12" spans="1:8">
      <c r="A12" s="307" t="str">
        <f>CONCATENATE(TableECFTransport[[#This Row],[Voertuigtype]],"_",TableECFTransport[[#This Row],[Wegtype]],"_",TableECFTransport[[#This Row],[Brandstoftechnologie]],"_",TableECFTransport[[#This Row],[Brandstof]])</f>
        <v>BUS_Niet-genummerde wegen_Electric_Electric</v>
      </c>
      <c r="B12" s="307" t="s">
        <v>604</v>
      </c>
      <c r="C12" s="307" t="s">
        <v>64</v>
      </c>
      <c r="D12" s="307" t="s">
        <v>297</v>
      </c>
      <c r="E12" s="307" t="s">
        <v>297</v>
      </c>
      <c r="F12" s="1006">
        <v>4.6800000000000004E-9</v>
      </c>
    </row>
    <row r="13" spans="1:8">
      <c r="A13" s="307" t="str">
        <f>CONCATENATE(TableECFTransport[[#This Row],[Voertuigtype]],"_",TableECFTransport[[#This Row],[Wegtype]],"_",TableECFTransport[[#This Row],[Brandstoftechnologie]],"_",TableECFTransport[[#This Row],[Brandstof]])</f>
        <v>BUS_Genummerde wegen_Electric_Electric</v>
      </c>
      <c r="B13" s="307" t="s">
        <v>604</v>
      </c>
      <c r="C13" s="307" t="s">
        <v>63</v>
      </c>
      <c r="D13" s="307" t="s">
        <v>297</v>
      </c>
      <c r="E13" s="307" t="s">
        <v>297</v>
      </c>
      <c r="F13" s="1006">
        <v>4.6800000000000004E-9</v>
      </c>
    </row>
    <row r="14" spans="1:8">
      <c r="A14" s="307" t="str">
        <f>CONCATENATE(TableECFTransport[[#This Row],[Voertuigtype]],"_",TableECFTransport[[#This Row],[Wegtype]],"_",TableECFTransport[[#This Row],[Brandstoftechnologie]],"_",TableECFTransport[[#This Row],[Brandstof]])</f>
        <v>BUS_Snelwegen_Electric_Electric</v>
      </c>
      <c r="B14" s="307" t="s">
        <v>604</v>
      </c>
      <c r="C14" s="307" t="s">
        <v>65</v>
      </c>
      <c r="D14" s="307" t="s">
        <v>297</v>
      </c>
      <c r="E14" s="307" t="s">
        <v>297</v>
      </c>
      <c r="F14" s="1006">
        <v>4.6800000000000004E-9</v>
      </c>
    </row>
    <row r="15" spans="1:8">
      <c r="A15" s="307" t="str">
        <f>CONCATENATE(TableECFTransport[[#This Row],[Voertuigtype]],"_",TableECFTransport[[#This Row],[Wegtype]],"_",TableECFTransport[[#This Row],[Brandstoftechnologie]],"_",TableECFTransport[[#This Row],[Brandstof]])</f>
        <v>Lichte voertuigen_Niet-genummerde wegen_CNG_CNG</v>
      </c>
      <c r="B15" s="307" t="s">
        <v>588</v>
      </c>
      <c r="C15" s="307" t="s">
        <v>64</v>
      </c>
      <c r="D15" s="307" t="s">
        <v>296</v>
      </c>
      <c r="E15" s="307" t="s">
        <v>296</v>
      </c>
      <c r="F15" s="1006">
        <v>4.312218057913991E-9</v>
      </c>
    </row>
    <row r="16" spans="1:8">
      <c r="A16" s="307" t="str">
        <f>CONCATENATE(TableECFTransport[[#This Row],[Voertuigtype]],"_",TableECFTransport[[#This Row],[Wegtype]],"_",TableECFTransport[[#This Row],[Brandstoftechnologie]],"_",TableECFTransport[[#This Row],[Brandstof]])</f>
        <v>Lichte voertuigen_Genummerde wegen_CNG_CNG</v>
      </c>
      <c r="B16" s="307" t="s">
        <v>588</v>
      </c>
      <c r="C16" s="307" t="s">
        <v>63</v>
      </c>
      <c r="D16" s="307" t="s">
        <v>296</v>
      </c>
      <c r="E16" s="307" t="s">
        <v>296</v>
      </c>
      <c r="F16" s="1006">
        <v>2.5184355930657334E-9</v>
      </c>
    </row>
    <row r="17" spans="1:7">
      <c r="A17" s="307" t="str">
        <f>CONCATENATE(TableECFTransport[[#This Row],[Voertuigtype]],"_",TableECFTransport[[#This Row],[Wegtype]],"_",TableECFTransport[[#This Row],[Brandstoftechnologie]],"_",TableECFTransport[[#This Row],[Brandstof]])</f>
        <v>Lichte voertuigen_Snelwegen_CNG_CNG</v>
      </c>
      <c r="B17" s="307" t="s">
        <v>588</v>
      </c>
      <c r="C17" s="307" t="s">
        <v>65</v>
      </c>
      <c r="D17" s="307" t="s">
        <v>296</v>
      </c>
      <c r="E17" s="307" t="s">
        <v>296</v>
      </c>
      <c r="F17" s="1006">
        <v>2.5379204968716249E-9</v>
      </c>
    </row>
    <row r="18" spans="1:7">
      <c r="A18" s="307" t="str">
        <f>CONCATENATE(TableECFTransport[[#This Row],[Voertuigtype]],"_",TableECFTransport[[#This Row],[Wegtype]],"_",TableECFTransport[[#This Row],[Brandstoftechnologie]],"_",TableECFTransport[[#This Row],[Brandstof]])</f>
        <v>Lichte voertuigen_Niet-genummerde wegen_Diesel_Diesel</v>
      </c>
      <c r="B18" s="307" t="s">
        <v>588</v>
      </c>
      <c r="C18" s="307" t="s">
        <v>64</v>
      </c>
      <c r="D18" s="307" t="s">
        <v>195</v>
      </c>
      <c r="E18" s="307" t="s">
        <v>195</v>
      </c>
      <c r="F18" s="1006">
        <v>3.332788383065915E-9</v>
      </c>
    </row>
    <row r="19" spans="1:7">
      <c r="A19" s="307" t="str">
        <f>CONCATENATE(TableECFTransport[[#This Row],[Voertuigtype]],"_",TableECFTransport[[#This Row],[Wegtype]],"_",TableECFTransport[[#This Row],[Brandstoftechnologie]],"_",TableECFTransport[[#This Row],[Brandstof]])</f>
        <v>Lichte voertuigen_Genummerde wegen_Diesel_Diesel</v>
      </c>
      <c r="B19" s="307" t="s">
        <v>588</v>
      </c>
      <c r="C19" s="307" t="s">
        <v>63</v>
      </c>
      <c r="D19" s="307" t="s">
        <v>195</v>
      </c>
      <c r="E19" s="307" t="s">
        <v>195</v>
      </c>
      <c r="F19" s="1006">
        <v>2.2274164988527897E-9</v>
      </c>
    </row>
    <row r="20" spans="1:7">
      <c r="A20" s="307" t="str">
        <f>CONCATENATE(TableECFTransport[[#This Row],[Voertuigtype]],"_",TableECFTransport[[#This Row],[Wegtype]],"_",TableECFTransport[[#This Row],[Brandstoftechnologie]],"_",TableECFTransport[[#This Row],[Brandstof]])</f>
        <v>Lichte voertuigen_Snelwegen_Diesel_Diesel</v>
      </c>
      <c r="B20" s="307" t="s">
        <v>588</v>
      </c>
      <c r="C20" s="307" t="s">
        <v>65</v>
      </c>
      <c r="D20" s="307" t="s">
        <v>195</v>
      </c>
      <c r="E20" s="307" t="s">
        <v>195</v>
      </c>
      <c r="F20" s="1006">
        <v>2.4737847035832641E-9</v>
      </c>
    </row>
    <row r="21" spans="1:7">
      <c r="A21" s="307" t="str">
        <f>CONCATENATE(TableECFTransport[[#This Row],[Voertuigtype]],"_",TableECFTransport[[#This Row],[Wegtype]],"_",TableECFTransport[[#This Row],[Brandstoftechnologie]],"_",TableECFTransport[[#This Row],[Brandstof]])</f>
        <v>Lichte voertuigen_Niet-genummerde wegen_Diesel Hybrid PHEV_Diesel</v>
      </c>
      <c r="B21" s="307" t="s">
        <v>588</v>
      </c>
      <c r="C21" s="307" t="s">
        <v>64</v>
      </c>
      <c r="D21" s="307" t="s">
        <v>712</v>
      </c>
      <c r="E21" s="307" t="s">
        <v>195</v>
      </c>
      <c r="F21" s="1006">
        <v>1.9038137812226839E-9</v>
      </c>
    </row>
    <row r="22" spans="1:7">
      <c r="A22" s="307" t="str">
        <f>CONCATENATE(TableECFTransport[[#This Row],[Voertuigtype]],"_",TableECFTransport[[#This Row],[Wegtype]],"_",TableECFTransport[[#This Row],[Brandstoftechnologie]],"_",TableECFTransport[[#This Row],[Brandstof]])</f>
        <v>Lichte voertuigen_Niet-genummerde wegen_Diesel Hybrid PHEV_Electric</v>
      </c>
      <c r="B22" s="307" t="s">
        <v>588</v>
      </c>
      <c r="C22" s="307" t="s">
        <v>64</v>
      </c>
      <c r="D22" s="307" t="s">
        <v>712</v>
      </c>
      <c r="E22" s="307" t="s">
        <v>297</v>
      </c>
      <c r="F22" s="1006">
        <v>6.3460459374089458E-10</v>
      </c>
    </row>
    <row r="23" spans="1:7">
      <c r="A23" s="307" t="str">
        <f>CONCATENATE(TableECFTransport[[#This Row],[Voertuigtype]],"_",TableECFTransport[[#This Row],[Wegtype]],"_",TableECFTransport[[#This Row],[Brandstoftechnologie]],"_",TableECFTransport[[#This Row],[Brandstof]])</f>
        <v>Lichte voertuigen_Genummerde wegen_Diesel Hybrid PHEV_Diesel</v>
      </c>
      <c r="B23" s="307" t="s">
        <v>588</v>
      </c>
      <c r="C23" s="307" t="s">
        <v>63</v>
      </c>
      <c r="D23" s="307" t="s">
        <v>712</v>
      </c>
      <c r="E23" s="307" t="s">
        <v>195</v>
      </c>
      <c r="F23" s="1006">
        <v>1.1728347660398669E-9</v>
      </c>
    </row>
    <row r="24" spans="1:7">
      <c r="A24" s="307" t="str">
        <f>CONCATENATE(TableECFTransport[[#This Row],[Voertuigtype]],"_",TableECFTransport[[#This Row],[Wegtype]],"_",TableECFTransport[[#This Row],[Brandstoftechnologie]],"_",TableECFTransport[[#This Row],[Brandstof]])</f>
        <v>Lichte voertuigen_Genummerde wegen_Diesel Hybrid PHEV_Electric</v>
      </c>
      <c r="B24" s="307" t="s">
        <v>588</v>
      </c>
      <c r="C24" s="307" t="s">
        <v>63</v>
      </c>
      <c r="D24" s="307" t="s">
        <v>712</v>
      </c>
      <c r="E24" s="307" t="s">
        <v>297</v>
      </c>
      <c r="F24" s="1006">
        <v>3.90944922013289E-10</v>
      </c>
    </row>
    <row r="25" spans="1:7">
      <c r="A25" s="307" t="str">
        <f>CONCATENATE(TableECFTransport[[#This Row],[Voertuigtype]],"_",TableECFTransport[[#This Row],[Wegtype]],"_",TableECFTransport[[#This Row],[Brandstoftechnologie]],"_",TableECFTransport[[#This Row],[Brandstof]])</f>
        <v>Lichte voertuigen_Snelwegen_Diesel Hybrid PHEV_Diesel</v>
      </c>
      <c r="B25" s="307" t="s">
        <v>588</v>
      </c>
      <c r="C25" s="307" t="s">
        <v>65</v>
      </c>
      <c r="D25" s="307" t="s">
        <v>712</v>
      </c>
      <c r="E25" s="307" t="s">
        <v>195</v>
      </c>
      <c r="F25" s="1006">
        <v>1.8707511474677618E-9</v>
      </c>
    </row>
    <row r="26" spans="1:7">
      <c r="A26" s="307" t="str">
        <f>CONCATENATE(TableECFTransport[[#This Row],[Voertuigtype]],"_",TableECFTransport[[#This Row],[Wegtype]],"_",TableECFTransport[[#This Row],[Brandstoftechnologie]],"_",TableECFTransport[[#This Row],[Brandstof]])</f>
        <v>Lichte voertuigen_Snelwegen_Diesel Hybrid PHEV_Electric</v>
      </c>
      <c r="B26" s="307" t="s">
        <v>588</v>
      </c>
      <c r="C26" s="307" t="s">
        <v>65</v>
      </c>
      <c r="D26" s="307" t="s">
        <v>712</v>
      </c>
      <c r="E26" s="307" t="s">
        <v>297</v>
      </c>
      <c r="F26" s="1006">
        <v>6.2358371582258732E-10</v>
      </c>
    </row>
    <row r="27" spans="1:7">
      <c r="A27" s="307" t="str">
        <f>CONCATENATE(TableECFTransport[[#This Row],[Voertuigtype]],"_",TableECFTransport[[#This Row],[Wegtype]],"_",TableECFTransport[[#This Row],[Brandstoftechnologie]],"_",TableECFTransport[[#This Row],[Brandstof]])</f>
        <v>Lichte voertuigen_Niet-genummerde wegen_LPG_LPG</v>
      </c>
      <c r="B27" s="307" t="s">
        <v>588</v>
      </c>
      <c r="C27" s="307" t="s">
        <v>64</v>
      </c>
      <c r="D27" s="307" t="s">
        <v>112</v>
      </c>
      <c r="E27" s="307" t="s">
        <v>112</v>
      </c>
      <c r="F27" s="1006">
        <v>3.658150250465686E-9</v>
      </c>
      <c r="G27" s="855"/>
    </row>
    <row r="28" spans="1:7">
      <c r="A28" s="307" t="str">
        <f>CONCATENATE(TableECFTransport[[#This Row],[Voertuigtype]],"_",TableECFTransport[[#This Row],[Wegtype]],"_",TableECFTransport[[#This Row],[Brandstoftechnologie]],"_",TableECFTransport[[#This Row],[Brandstof]])</f>
        <v>Lichte voertuigen_Genummerde wegen_LPG_LPG</v>
      </c>
      <c r="B28" s="307" t="s">
        <v>588</v>
      </c>
      <c r="C28" s="307" t="s">
        <v>63</v>
      </c>
      <c r="D28" s="307" t="s">
        <v>112</v>
      </c>
      <c r="E28" s="307" t="s">
        <v>112</v>
      </c>
      <c r="F28" s="1006">
        <v>2.2371153049493078E-9</v>
      </c>
    </row>
    <row r="29" spans="1:7">
      <c r="A29" s="307" t="str">
        <f>CONCATENATE(TableECFTransport[[#This Row],[Voertuigtype]],"_",TableECFTransport[[#This Row],[Wegtype]],"_",TableECFTransport[[#This Row],[Brandstoftechnologie]],"_",TableECFTransport[[#This Row],[Brandstof]])</f>
        <v>Lichte voertuigen_Snelwegen_LPG_LPG</v>
      </c>
      <c r="B29" s="307" t="s">
        <v>588</v>
      </c>
      <c r="C29" s="307" t="s">
        <v>65</v>
      </c>
      <c r="D29" s="307" t="s">
        <v>112</v>
      </c>
      <c r="E29" s="307" t="s">
        <v>112</v>
      </c>
      <c r="F29" s="1006">
        <v>2.7846696067983819E-9</v>
      </c>
    </row>
    <row r="30" spans="1:7">
      <c r="A30" s="307" t="str">
        <f>CONCATENATE(TableECFTransport[[#This Row],[Voertuigtype]],"_",TableECFTransport[[#This Row],[Wegtype]],"_",TableECFTransport[[#This Row],[Brandstoftechnologie]],"_",TableECFTransport[[#This Row],[Brandstof]])</f>
        <v>Lichte voertuigen_Niet-genummerde wegen_Petrol_Petrol</v>
      </c>
      <c r="B30" s="307" t="s">
        <v>588</v>
      </c>
      <c r="C30" s="307" t="s">
        <v>64</v>
      </c>
      <c r="D30" s="307" t="s">
        <v>298</v>
      </c>
      <c r="E30" s="307" t="s">
        <v>298</v>
      </c>
      <c r="F30" s="1006">
        <v>3.6725948111286583E-9</v>
      </c>
    </row>
    <row r="31" spans="1:7">
      <c r="A31" s="307" t="str">
        <f>CONCATENATE(TableECFTransport[[#This Row],[Voertuigtype]],"_",TableECFTransport[[#This Row],[Wegtype]],"_",TableECFTransport[[#This Row],[Brandstoftechnologie]],"_",TableECFTransport[[#This Row],[Brandstof]])</f>
        <v>Lichte voertuigen_Genummerde wegen_Petrol_Petrol</v>
      </c>
      <c r="B31" s="307" t="s">
        <v>588</v>
      </c>
      <c r="C31" s="307" t="s">
        <v>63</v>
      </c>
      <c r="D31" s="307" t="s">
        <v>298</v>
      </c>
      <c r="E31" s="307" t="s">
        <v>298</v>
      </c>
      <c r="F31" s="1006">
        <v>2.1942097696559979E-9</v>
      </c>
    </row>
    <row r="32" spans="1:7">
      <c r="A32" s="307" t="str">
        <f>CONCATENATE(TableECFTransport[[#This Row],[Voertuigtype]],"_",TableECFTransport[[#This Row],[Wegtype]],"_",TableECFTransport[[#This Row],[Brandstoftechnologie]],"_",TableECFTransport[[#This Row],[Brandstof]])</f>
        <v>Lichte voertuigen_Snelwegen_Petrol_Petrol</v>
      </c>
      <c r="B32" s="307" t="s">
        <v>588</v>
      </c>
      <c r="C32" s="307" t="s">
        <v>65</v>
      </c>
      <c r="D32" s="307" t="s">
        <v>298</v>
      </c>
      <c r="E32" s="307" t="s">
        <v>298</v>
      </c>
      <c r="F32" s="1006">
        <v>2.3136760764428538E-9</v>
      </c>
    </row>
    <row r="33" spans="1:6">
      <c r="A33" s="307" t="str">
        <f>CONCATENATE(TableECFTransport[[#This Row],[Voertuigtype]],"_",TableECFTransport[[#This Row],[Wegtype]],"_",TableECFTransport[[#This Row],[Brandstoftechnologie]],"_",TableECFTransport[[#This Row],[Brandstof]])</f>
        <v>Lichte voertuigen_Niet-genummerde wegen_Petrol Hybrid CS_Petrol</v>
      </c>
      <c r="B33" s="307" t="s">
        <v>588</v>
      </c>
      <c r="C33" s="307" t="s">
        <v>64</v>
      </c>
      <c r="D33" s="307" t="s">
        <v>714</v>
      </c>
      <c r="E33" s="307" t="s">
        <v>298</v>
      </c>
      <c r="F33" s="1006">
        <v>2.7258056046252341E-9</v>
      </c>
    </row>
    <row r="34" spans="1:6">
      <c r="A34" s="307" t="str">
        <f>CONCATENATE(TableECFTransport[[#This Row],[Voertuigtype]],"_",TableECFTransport[[#This Row],[Wegtype]],"_",TableECFTransport[[#This Row],[Brandstoftechnologie]],"_",TableECFTransport[[#This Row],[Brandstof]])</f>
        <v>Lichte voertuigen_Genummerde wegen_Petrol Hybrid CS_Petrol</v>
      </c>
      <c r="B34" s="307" t="s">
        <v>588</v>
      </c>
      <c r="C34" s="307" t="s">
        <v>63</v>
      </c>
      <c r="D34" s="307" t="s">
        <v>714</v>
      </c>
      <c r="E34" s="307" t="s">
        <v>298</v>
      </c>
      <c r="F34" s="1006">
        <v>1.4823207677551146E-9</v>
      </c>
    </row>
    <row r="35" spans="1:6">
      <c r="A35" s="307" t="str">
        <f>CONCATENATE(TableECFTransport[[#This Row],[Voertuigtype]],"_",TableECFTransport[[#This Row],[Wegtype]],"_",TableECFTransport[[#This Row],[Brandstoftechnologie]],"_",TableECFTransport[[#This Row],[Brandstof]])</f>
        <v>Lichte voertuigen_Snelwegen_Petrol Hybrid CS_Petrol</v>
      </c>
      <c r="B35" s="307" t="s">
        <v>588</v>
      </c>
      <c r="C35" s="307" t="s">
        <v>65</v>
      </c>
      <c r="D35" s="307" t="s">
        <v>714</v>
      </c>
      <c r="E35" s="307" t="s">
        <v>298</v>
      </c>
      <c r="F35" s="1006">
        <v>1.8429902535244412E-9</v>
      </c>
    </row>
    <row r="36" spans="1:6">
      <c r="A36" s="307" t="str">
        <f>CONCATENATE(TableECFTransport[[#This Row],[Voertuigtype]],"_",TableECFTransport[[#This Row],[Wegtype]],"_",TableECFTransport[[#This Row],[Brandstoftechnologie]],"_",TableECFTransport[[#This Row],[Brandstof]])</f>
        <v>Lichte voertuigen_Niet-genummerde wegen_Petrol Hybrid PHEV_Electric</v>
      </c>
      <c r="B36" s="307" t="s">
        <v>588</v>
      </c>
      <c r="C36" s="307" t="s">
        <v>64</v>
      </c>
      <c r="D36" s="307" t="s">
        <v>713</v>
      </c>
      <c r="E36" s="307" t="s">
        <v>297</v>
      </c>
      <c r="F36" s="1006">
        <v>6.6047204616132974E-10</v>
      </c>
    </row>
    <row r="37" spans="1:6">
      <c r="A37" s="307" t="str">
        <f>CONCATENATE(TableECFTransport[[#This Row],[Voertuigtype]],"_",TableECFTransport[[#This Row],[Wegtype]],"_",TableECFTransport[[#This Row],[Brandstoftechnologie]],"_",TableECFTransport[[#This Row],[Brandstof]])</f>
        <v>Lichte voertuigen_Niet-genummerde wegen_Petrol Hybrid PHEV_Petrol</v>
      </c>
      <c r="B37" s="307" t="s">
        <v>588</v>
      </c>
      <c r="C37" s="307" t="s">
        <v>64</v>
      </c>
      <c r="D37" s="307" t="s">
        <v>713</v>
      </c>
      <c r="E37" s="307" t="s">
        <v>298</v>
      </c>
      <c r="F37" s="1006">
        <v>1.9814161384839898E-9</v>
      </c>
    </row>
    <row r="38" spans="1:6">
      <c r="A38" s="307" t="str">
        <f>CONCATENATE(TableECFTransport[[#This Row],[Voertuigtype]],"_",TableECFTransport[[#This Row],[Wegtype]],"_",TableECFTransport[[#This Row],[Brandstoftechnologie]],"_",TableECFTransport[[#This Row],[Brandstof]])</f>
        <v>Lichte voertuigen_Genummerde wegen_Petrol Hybrid PHEV_Electric</v>
      </c>
      <c r="B38" s="307" t="s">
        <v>588</v>
      </c>
      <c r="C38" s="307" t="s">
        <v>63</v>
      </c>
      <c r="D38" s="307" t="s">
        <v>713</v>
      </c>
      <c r="E38" s="307" t="s">
        <v>297</v>
      </c>
      <c r="F38" s="1006">
        <v>3.66622961716152E-10</v>
      </c>
    </row>
    <row r="39" spans="1:6">
      <c r="A39" s="307" t="str">
        <f>CONCATENATE(TableECFTransport[[#This Row],[Voertuigtype]],"_",TableECFTransport[[#This Row],[Wegtype]],"_",TableECFTransport[[#This Row],[Brandstoftechnologie]],"_",TableECFTransport[[#This Row],[Brandstof]])</f>
        <v>Lichte voertuigen_Genummerde wegen_Petrol Hybrid PHEV_Petrol</v>
      </c>
      <c r="B39" s="307" t="s">
        <v>588</v>
      </c>
      <c r="C39" s="307" t="s">
        <v>63</v>
      </c>
      <c r="D39" s="307" t="s">
        <v>713</v>
      </c>
      <c r="E39" s="307" t="s">
        <v>298</v>
      </c>
      <c r="F39" s="1006">
        <v>1.0998688851484559E-9</v>
      </c>
    </row>
    <row r="40" spans="1:6">
      <c r="A40" s="307" t="str">
        <f>CONCATENATE(TableECFTransport[[#This Row],[Voertuigtype]],"_",TableECFTransport[[#This Row],[Wegtype]],"_",TableECFTransport[[#This Row],[Brandstoftechnologie]],"_",TableECFTransport[[#This Row],[Brandstof]])</f>
        <v>Lichte voertuigen_Snelwegen_Petrol Hybrid PHEV_Electric</v>
      </c>
      <c r="B40" s="307" t="s">
        <v>588</v>
      </c>
      <c r="C40" s="307" t="s">
        <v>65</v>
      </c>
      <c r="D40" s="307" t="s">
        <v>713</v>
      </c>
      <c r="E40" s="307" t="s">
        <v>297</v>
      </c>
      <c r="F40" s="1006">
        <v>5.7220567290749578E-10</v>
      </c>
    </row>
    <row r="41" spans="1:6">
      <c r="A41" s="307" t="str">
        <f>CONCATENATE(TableECFTransport[[#This Row],[Voertuigtype]],"_",TableECFTransport[[#This Row],[Wegtype]],"_",TableECFTransport[[#This Row],[Brandstoftechnologie]],"_",TableECFTransport[[#This Row],[Brandstof]])</f>
        <v>Lichte voertuigen_Snelwegen_Petrol Hybrid PHEV_Petrol</v>
      </c>
      <c r="B41" s="307" t="s">
        <v>588</v>
      </c>
      <c r="C41" s="307" t="s">
        <v>65</v>
      </c>
      <c r="D41" s="307" t="s">
        <v>713</v>
      </c>
      <c r="E41" s="307" t="s">
        <v>298</v>
      </c>
      <c r="F41" s="1006">
        <v>1.7166170187224876E-9</v>
      </c>
    </row>
    <row r="42" spans="1:6">
      <c r="A42" s="307" t="str">
        <f>CONCATENATE(TableECFTransport[[#This Row],[Voertuigtype]],"_",TableECFTransport[[#This Row],[Wegtype]],"_",TableECFTransport[[#This Row],[Brandstoftechnologie]],"_",TableECFTransport[[#This Row],[Brandstof]])</f>
        <v>Zware voertuigen_Niet-genummerde wegen_Diesel_Diesel</v>
      </c>
      <c r="B42" s="307" t="s">
        <v>589</v>
      </c>
      <c r="C42" s="307" t="s">
        <v>64</v>
      </c>
      <c r="D42" s="307" t="s">
        <v>195</v>
      </c>
      <c r="E42" s="307" t="s">
        <v>195</v>
      </c>
      <c r="F42" s="1006">
        <v>1.3160284642894848E-8</v>
      </c>
    </row>
    <row r="43" spans="1:6">
      <c r="A43" s="307" t="str">
        <f>CONCATENATE(TableECFTransport[[#This Row],[Voertuigtype]],"_",TableECFTransport[[#This Row],[Wegtype]],"_",TableECFTransport[[#This Row],[Brandstoftechnologie]],"_",TableECFTransport[[#This Row],[Brandstof]])</f>
        <v>Zware voertuigen_Genummerde wegen_Diesel_Diesel</v>
      </c>
      <c r="B43" s="307" t="s">
        <v>589</v>
      </c>
      <c r="C43" s="307" t="s">
        <v>63</v>
      </c>
      <c r="D43" s="307" t="s">
        <v>195</v>
      </c>
      <c r="E43" s="307" t="s">
        <v>195</v>
      </c>
      <c r="F43" s="1006">
        <v>1.0222639851734368E-8</v>
      </c>
    </row>
    <row r="44" spans="1:6">
      <c r="A44" s="307" t="str">
        <f>CONCATENATE(TableECFTransport[[#This Row],[Voertuigtype]],"_",TableECFTransport[[#This Row],[Wegtype]],"_",TableECFTransport[[#This Row],[Brandstoftechnologie]],"_",TableECFTransport[[#This Row],[Brandstof]])</f>
        <v>Zware voertuigen_Snelwegen_Diesel_Diesel</v>
      </c>
      <c r="B44" s="307" t="s">
        <v>589</v>
      </c>
      <c r="C44" s="307" t="s">
        <v>65</v>
      </c>
      <c r="D44" s="307" t="s">
        <v>195</v>
      </c>
      <c r="E44" s="307" t="s">
        <v>195</v>
      </c>
      <c r="F44" s="1006">
        <v>9.6166192010654587E-9</v>
      </c>
    </row>
    <row r="45" spans="1:6">
      <c r="A45" s="307" t="str">
        <f>CONCATENATE(TableECFTransport[[#This Row],[Voertuigtype]],"_",TableECFTransport[[#This Row],[Wegtype]],"_",TableECFTransport[[#This Row],[Brandstoftechnologie]],"_",TableECFTransport[[#This Row],[Brandstof]])</f>
        <v>Zware voertuigen_Niet-genummerde wegen_Petrol_Petrol</v>
      </c>
      <c r="B45" s="307" t="s">
        <v>589</v>
      </c>
      <c r="C45" s="307" t="s">
        <v>64</v>
      </c>
      <c r="D45" s="307" t="s">
        <v>298</v>
      </c>
      <c r="E45" s="307" t="s">
        <v>298</v>
      </c>
      <c r="F45" s="1006">
        <v>7.6653519389191348E-9</v>
      </c>
    </row>
    <row r="46" spans="1:6">
      <c r="A46" s="307" t="str">
        <f>CONCATENATE(TableECFTransport[[#This Row],[Voertuigtype]],"_",TableECFTransport[[#This Row],[Wegtype]],"_",TableECFTransport[[#This Row],[Brandstoftechnologie]],"_",TableECFTransport[[#This Row],[Brandstof]])</f>
        <v>Zware voertuigen_Genummerde wegen_Petrol_Petrol</v>
      </c>
      <c r="B46" s="307" t="s">
        <v>589</v>
      </c>
      <c r="C46" s="307" t="s">
        <v>63</v>
      </c>
      <c r="D46" s="307" t="s">
        <v>298</v>
      </c>
      <c r="E46" s="307" t="s">
        <v>298</v>
      </c>
      <c r="F46" s="1006">
        <v>6.3506130742713395E-9</v>
      </c>
    </row>
    <row r="47" spans="1:6">
      <c r="A47" s="307" t="str">
        <f>CONCATENATE(TableECFTransport[[#This Row],[Voertuigtype]],"_",TableECFTransport[[#This Row],[Wegtype]],"_",TableECFTransport[[#This Row],[Brandstoftechnologie]],"_",TableECFTransport[[#This Row],[Brandstof]])</f>
        <v>Zware voertuigen_Snelwegen_Petrol_Petrol</v>
      </c>
      <c r="B47" s="307" t="s">
        <v>589</v>
      </c>
      <c r="C47" s="307" t="s">
        <v>65</v>
      </c>
      <c r="D47" s="307" t="s">
        <v>298</v>
      </c>
      <c r="E47" s="307" t="s">
        <v>298</v>
      </c>
      <c r="F47" s="1006">
        <v>6.5365124469575596E-9</v>
      </c>
    </row>
    <row r="48" spans="1:6">
      <c r="A48" s="307" t="str">
        <f>CONCATENATE(TableECFTransport[[#This Row],[Voertuigtype]],"_",TableECFTransport[[#This Row],[Wegtype]],"_",TableECFTransport[[#This Row],[Brandstoftechnologie]],"_",TableECFTransport[[#This Row],[Brandstof]])</f>
        <v>BUS_Niet-genummerde wegen_CNG_CNG</v>
      </c>
      <c r="B48" s="307" t="s">
        <v>604</v>
      </c>
      <c r="C48" s="307" t="s">
        <v>64</v>
      </c>
      <c r="D48" s="307" t="s">
        <v>296</v>
      </c>
      <c r="E48" s="307" t="s">
        <v>296</v>
      </c>
      <c r="F48" s="1006">
        <v>2.3303083752649972E-8</v>
      </c>
    </row>
    <row r="49" spans="1:6">
      <c r="A49" s="307" t="str">
        <f>CONCATENATE(TableECFTransport[[#This Row],[Voertuigtype]],"_",TableECFTransport[[#This Row],[Wegtype]],"_",TableECFTransport[[#This Row],[Brandstoftechnologie]],"_",TableECFTransport[[#This Row],[Brandstof]])</f>
        <v>BUS_Genummerde wegen_CNG_CNG</v>
      </c>
      <c r="B49" s="307" t="s">
        <v>604</v>
      </c>
      <c r="C49" s="307" t="s">
        <v>63</v>
      </c>
      <c r="D49" s="307" t="s">
        <v>296</v>
      </c>
      <c r="E49" s="307" t="s">
        <v>296</v>
      </c>
      <c r="F49" s="1006">
        <v>1.2452720009185941E-8</v>
      </c>
    </row>
    <row r="50" spans="1:6">
      <c r="A50" s="307" t="str">
        <f>CONCATENATE(TableECFTransport[[#This Row],[Voertuigtype]],"_",TableECFTransport[[#This Row],[Wegtype]],"_",TableECFTransport[[#This Row],[Brandstoftechnologie]],"_",TableECFTransport[[#This Row],[Brandstof]])</f>
        <v>BUS_Niet-genummerde wegen_Diesel_Diesel</v>
      </c>
      <c r="B50" s="307" t="s">
        <v>604</v>
      </c>
      <c r="C50" s="307" t="s">
        <v>64</v>
      </c>
      <c r="D50" s="307" t="s">
        <v>195</v>
      </c>
      <c r="E50" s="307" t="s">
        <v>195</v>
      </c>
      <c r="F50" s="1006">
        <v>1.6578806941730827E-8</v>
      </c>
    </row>
    <row r="51" spans="1:6">
      <c r="A51" s="307" t="str">
        <f>CONCATENATE(TableECFTransport[[#This Row],[Voertuigtype]],"_",TableECFTransport[[#This Row],[Wegtype]],"_",TableECFTransport[[#This Row],[Brandstoftechnologie]],"_",TableECFTransport[[#This Row],[Brandstof]])</f>
        <v>BUS_Genummerde wegen_Diesel_Diesel</v>
      </c>
      <c r="B51" s="307" t="s">
        <v>604</v>
      </c>
      <c r="C51" s="307" t="s">
        <v>63</v>
      </c>
      <c r="D51" s="307" t="s">
        <v>195</v>
      </c>
      <c r="E51" s="307" t="s">
        <v>195</v>
      </c>
      <c r="F51" s="1006">
        <v>9.3252226332534818E-9</v>
      </c>
    </row>
    <row r="52" spans="1:6">
      <c r="A52" s="307" t="str">
        <f>CONCATENATE(TableECFTransport[[#This Row],[Voertuigtype]],"_",TableECFTransport[[#This Row],[Wegtype]],"_",TableECFTransport[[#This Row],[Brandstoftechnologie]],"_",TableECFTransport[[#This Row],[Brandstof]])</f>
        <v>BUS_Niet-genummerde wegen_Diesel Hybrid PHEV_Diesel</v>
      </c>
      <c r="B52" s="307" t="s">
        <v>604</v>
      </c>
      <c r="C52" s="307" t="s">
        <v>64</v>
      </c>
      <c r="D52" s="307" t="s">
        <v>712</v>
      </c>
      <c r="E52" s="307" t="s">
        <v>195</v>
      </c>
      <c r="F52" s="1006">
        <v>1.2122949179999998E-8</v>
      </c>
    </row>
    <row r="53" spans="1:6">
      <c r="A53" s="307" t="str">
        <f>CONCATENATE(TableECFTransport[[#This Row],[Voertuigtype]],"_",TableECFTransport[[#This Row],[Wegtype]],"_",TableECFTransport[[#This Row],[Brandstoftechnologie]],"_",TableECFTransport[[#This Row],[Brandstof]])</f>
        <v>BUS_Niet-genummerde wegen_Diesel Hybrid PHEV_Electric</v>
      </c>
      <c r="B53" s="307" t="s">
        <v>604</v>
      </c>
      <c r="C53" s="307" t="s">
        <v>64</v>
      </c>
      <c r="D53" s="307" t="s">
        <v>712</v>
      </c>
      <c r="E53" s="307" t="s">
        <v>297</v>
      </c>
      <c r="F53" s="1006">
        <v>4.040983059999999E-9</v>
      </c>
    </row>
    <row r="54" spans="1:6">
      <c r="A54" s="307" t="str">
        <f>CONCATENATE(TableECFTransport[[#This Row],[Voertuigtype]],"_",TableECFTransport[[#This Row],[Wegtype]],"_",TableECFTransport[[#This Row],[Brandstoftechnologie]],"_",TableECFTransport[[#This Row],[Brandstof]])</f>
        <v>BUS_Genummerde wegen_Diesel Hybrid PHEV_Diesel</v>
      </c>
      <c r="B54" s="307" t="s">
        <v>604</v>
      </c>
      <c r="C54" s="307" t="s">
        <v>63</v>
      </c>
      <c r="D54" s="307" t="s">
        <v>712</v>
      </c>
      <c r="E54" s="307" t="s">
        <v>195</v>
      </c>
      <c r="F54" s="1006">
        <v>6.0281746425000002E-9</v>
      </c>
    </row>
    <row r="55" spans="1:6">
      <c r="A55" s="307" t="str">
        <f>CONCATENATE(TableECFTransport[[#This Row],[Voertuigtype]],"_",TableECFTransport[[#This Row],[Wegtype]],"_",TableECFTransport[[#This Row],[Brandstoftechnologie]],"_",TableECFTransport[[#This Row],[Brandstof]])</f>
        <v>BUS_Genummerde wegen_Diesel Hybrid PHEV_Electric</v>
      </c>
      <c r="B55" s="307" t="s">
        <v>604</v>
      </c>
      <c r="C55" s="307" t="s">
        <v>63</v>
      </c>
      <c r="D55" s="307" t="s">
        <v>712</v>
      </c>
      <c r="E55" s="307" t="s">
        <v>297</v>
      </c>
      <c r="F55" s="100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C5" sqref="C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2">
        <v>2020</v>
      </c>
      <c r="B1" s="1163"/>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4"/>
      <c r="B2" s="1165"/>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4"/>
      <c r="B3" s="1165"/>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6"/>
      <c r="B4" s="1167"/>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375</v>
      </c>
      <c r="B5" s="862" t="s">
        <v>768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09">
        <v>0</v>
      </c>
      <c r="D7" s="809">
        <v>0.25916393937105869</v>
      </c>
      <c r="E7" s="809">
        <v>0</v>
      </c>
      <c r="F7" s="810">
        <v>0.25916393937105869</v>
      </c>
      <c r="G7" s="809">
        <v>0</v>
      </c>
      <c r="H7" s="809">
        <v>0</v>
      </c>
      <c r="I7" s="809">
        <v>3.269869565217391</v>
      </c>
      <c r="J7" s="809">
        <v>0.86278433240171926</v>
      </c>
      <c r="K7" s="809">
        <v>0</v>
      </c>
      <c r="L7" s="809">
        <v>40.490719876046711</v>
      </c>
      <c r="M7" s="809">
        <v>0</v>
      </c>
      <c r="N7" s="809">
        <v>0</v>
      </c>
      <c r="O7" s="809">
        <v>0</v>
      </c>
      <c r="P7" s="809">
        <v>0</v>
      </c>
      <c r="Q7" s="809">
        <v>0</v>
      </c>
      <c r="R7" s="810">
        <v>44.623373773665818</v>
      </c>
      <c r="S7" s="809">
        <v>84.824640504853193</v>
      </c>
      <c r="T7" s="809">
        <v>0</v>
      </c>
      <c r="U7" s="809">
        <v>0</v>
      </c>
      <c r="V7" s="810">
        <v>84.824640504853193</v>
      </c>
      <c r="W7" s="810">
        <v>129.70717821789006</v>
      </c>
      <c r="X7" s="809">
        <v>0</v>
      </c>
      <c r="Y7" s="809">
        <v>12.243210792762955</v>
      </c>
      <c r="Z7" s="809">
        <v>38.716709110579785</v>
      </c>
      <c r="AA7" s="811">
        <v>4.7337901142895946</v>
      </c>
      <c r="AB7" s="811">
        <v>0</v>
      </c>
      <c r="AC7" s="810">
        <v>185.40088823552239</v>
      </c>
    </row>
    <row r="8" spans="1:29">
      <c r="A8" s="212" t="s">
        <v>149</v>
      </c>
      <c r="B8" s="213"/>
      <c r="C8" s="812">
        <v>0</v>
      </c>
      <c r="D8" s="812">
        <v>8.7900000000000009E-5</v>
      </c>
      <c r="E8" s="812">
        <v>0</v>
      </c>
      <c r="F8" s="813">
        <v>8.7900000000000009E-5</v>
      </c>
      <c r="G8" s="812">
        <v>0</v>
      </c>
      <c r="H8" s="812">
        <v>0</v>
      </c>
      <c r="I8" s="812">
        <v>0.10230047625115243</v>
      </c>
      <c r="J8" s="812">
        <v>4.1060608066187318E-3</v>
      </c>
      <c r="K8" s="812">
        <v>0</v>
      </c>
      <c r="L8" s="812">
        <v>9.1348191778354639</v>
      </c>
      <c r="M8" s="812">
        <v>0</v>
      </c>
      <c r="N8" s="812">
        <v>0</v>
      </c>
      <c r="O8" s="812">
        <v>0</v>
      </c>
      <c r="P8" s="812">
        <v>0</v>
      </c>
      <c r="Q8" s="812">
        <v>0</v>
      </c>
      <c r="R8" s="813">
        <v>9.2412257148932344</v>
      </c>
      <c r="S8" s="812">
        <v>46.26684147501706</v>
      </c>
      <c r="T8" s="812">
        <v>0</v>
      </c>
      <c r="U8" s="812">
        <v>0</v>
      </c>
      <c r="V8" s="813">
        <v>46.26684147501706</v>
      </c>
      <c r="W8" s="813">
        <v>55.508155089910289</v>
      </c>
      <c r="X8" s="812">
        <v>1.8187573944000002</v>
      </c>
      <c r="Y8" s="812">
        <v>3.2678236043418498</v>
      </c>
      <c r="Z8" s="812">
        <v>40.034863145324564</v>
      </c>
      <c r="AA8" s="814">
        <v>1.5555238186655875</v>
      </c>
      <c r="AB8" s="814">
        <v>0</v>
      </c>
      <c r="AC8" s="813">
        <v>102.1851230526423</v>
      </c>
    </row>
    <row r="9" spans="1:29">
      <c r="A9" s="3"/>
      <c r="B9" s="6" t="s">
        <v>150</v>
      </c>
      <c r="C9" s="815">
        <v>0</v>
      </c>
      <c r="D9" s="815">
        <v>0</v>
      </c>
      <c r="E9" s="815">
        <v>0</v>
      </c>
      <c r="F9" s="816">
        <v>0</v>
      </c>
      <c r="G9" s="815">
        <v>0</v>
      </c>
      <c r="H9" s="815">
        <v>0</v>
      </c>
      <c r="I9" s="815">
        <v>0</v>
      </c>
      <c r="J9" s="815">
        <v>0</v>
      </c>
      <c r="K9" s="815">
        <v>0</v>
      </c>
      <c r="L9" s="815">
        <v>0.46607278075817082</v>
      </c>
      <c r="M9" s="815">
        <v>0</v>
      </c>
      <c r="N9" s="815">
        <v>0</v>
      </c>
      <c r="O9" s="815">
        <v>0</v>
      </c>
      <c r="P9" s="815">
        <v>0</v>
      </c>
      <c r="Q9" s="815">
        <v>0</v>
      </c>
      <c r="R9" s="816">
        <v>0.46607278075817082</v>
      </c>
      <c r="S9" s="815">
        <v>6.5641448426147999</v>
      </c>
      <c r="T9" s="815">
        <v>0</v>
      </c>
      <c r="U9" s="815">
        <v>0</v>
      </c>
      <c r="V9" s="816">
        <v>6.5641448426147999</v>
      </c>
      <c r="W9" s="816">
        <v>7.0302176233729705</v>
      </c>
      <c r="X9" s="815">
        <v>9.6119640000000002E-4</v>
      </c>
      <c r="Y9" s="815">
        <v>4.9942101265484651E-2</v>
      </c>
      <c r="Z9" s="815">
        <v>4.4335823080469945</v>
      </c>
      <c r="AA9" s="817">
        <v>0</v>
      </c>
      <c r="AB9" s="817">
        <v>0</v>
      </c>
      <c r="AC9" s="816">
        <v>11.514703229085448</v>
      </c>
    </row>
    <row r="10" spans="1:29">
      <c r="A10" s="3"/>
      <c r="B10" s="6" t="s">
        <v>151</v>
      </c>
      <c r="C10" s="815">
        <v>0</v>
      </c>
      <c r="D10" s="815">
        <v>0</v>
      </c>
      <c r="E10" s="815">
        <v>0</v>
      </c>
      <c r="F10" s="816">
        <v>0</v>
      </c>
      <c r="G10" s="815">
        <v>0</v>
      </c>
      <c r="H10" s="815">
        <v>0</v>
      </c>
      <c r="I10" s="815">
        <v>0</v>
      </c>
      <c r="J10" s="815">
        <v>0</v>
      </c>
      <c r="K10" s="815">
        <v>0</v>
      </c>
      <c r="L10" s="815">
        <v>0.10047064708355911</v>
      </c>
      <c r="M10" s="815">
        <v>0</v>
      </c>
      <c r="N10" s="815">
        <v>0</v>
      </c>
      <c r="O10" s="815">
        <v>0</v>
      </c>
      <c r="P10" s="815">
        <v>0</v>
      </c>
      <c r="Q10" s="815">
        <v>0</v>
      </c>
      <c r="R10" s="816">
        <v>0.10047064708355911</v>
      </c>
      <c r="S10" s="815">
        <v>6.2392645430150484</v>
      </c>
      <c r="T10" s="815">
        <v>0</v>
      </c>
      <c r="U10" s="815">
        <v>0</v>
      </c>
      <c r="V10" s="816">
        <v>6.2392645430150484</v>
      </c>
      <c r="W10" s="816">
        <v>6.3397351900986072</v>
      </c>
      <c r="X10" s="815">
        <v>4.0490280000000001E-4</v>
      </c>
      <c r="Y10" s="815">
        <v>2.3392564320000003E-2</v>
      </c>
      <c r="Z10" s="815">
        <v>3.6896675089626001</v>
      </c>
      <c r="AA10" s="817">
        <v>0</v>
      </c>
      <c r="AB10" s="817">
        <v>0</v>
      </c>
      <c r="AC10" s="816">
        <v>10.053200166181206</v>
      </c>
    </row>
    <row r="11" spans="1:29">
      <c r="A11" s="3"/>
      <c r="B11" s="6" t="s">
        <v>152</v>
      </c>
      <c r="C11" s="815">
        <v>0</v>
      </c>
      <c r="D11" s="815">
        <v>0</v>
      </c>
      <c r="E11" s="815">
        <v>0</v>
      </c>
      <c r="F11" s="816">
        <v>0</v>
      </c>
      <c r="G11" s="815">
        <v>0</v>
      </c>
      <c r="H11" s="815">
        <v>0</v>
      </c>
      <c r="I11" s="815">
        <v>0</v>
      </c>
      <c r="J11" s="815">
        <v>0</v>
      </c>
      <c r="K11" s="815">
        <v>0</v>
      </c>
      <c r="L11" s="815">
        <v>4.3915108357027575E-2</v>
      </c>
      <c r="M11" s="815">
        <v>0</v>
      </c>
      <c r="N11" s="815">
        <v>0</v>
      </c>
      <c r="O11" s="815">
        <v>0</v>
      </c>
      <c r="P11" s="815">
        <v>0</v>
      </c>
      <c r="Q11" s="815">
        <v>0</v>
      </c>
      <c r="R11" s="816">
        <v>4.3915108357027575E-2</v>
      </c>
      <c r="S11" s="815">
        <v>2.7356421253643992</v>
      </c>
      <c r="T11" s="815">
        <v>0</v>
      </c>
      <c r="U11" s="815">
        <v>0</v>
      </c>
      <c r="V11" s="816">
        <v>2.7356421253643992</v>
      </c>
      <c r="W11" s="816">
        <v>2.7795572337214267</v>
      </c>
      <c r="X11" s="815">
        <v>0</v>
      </c>
      <c r="Y11" s="815">
        <v>2.6118360000000002E-3</v>
      </c>
      <c r="Z11" s="815">
        <v>1.0508381351999998</v>
      </c>
      <c r="AA11" s="817">
        <v>0</v>
      </c>
      <c r="AB11" s="817">
        <v>0</v>
      </c>
      <c r="AC11" s="816">
        <v>3.8330072049214263</v>
      </c>
    </row>
    <row r="12" spans="1:29">
      <c r="A12" s="3"/>
      <c r="B12" s="6" t="s">
        <v>153</v>
      </c>
      <c r="C12" s="815">
        <v>0</v>
      </c>
      <c r="D12" s="815">
        <v>0</v>
      </c>
      <c r="E12" s="815">
        <v>0</v>
      </c>
      <c r="F12" s="816">
        <v>0</v>
      </c>
      <c r="G12" s="815">
        <v>0</v>
      </c>
      <c r="H12" s="815">
        <v>0</v>
      </c>
      <c r="I12" s="815">
        <v>0</v>
      </c>
      <c r="J12" s="815">
        <v>0</v>
      </c>
      <c r="K12" s="815">
        <v>0</v>
      </c>
      <c r="L12" s="815">
        <v>1.3389250632438576</v>
      </c>
      <c r="M12" s="815">
        <v>0</v>
      </c>
      <c r="N12" s="815">
        <v>0</v>
      </c>
      <c r="O12" s="815">
        <v>0</v>
      </c>
      <c r="P12" s="815">
        <v>0</v>
      </c>
      <c r="Q12" s="815">
        <v>0</v>
      </c>
      <c r="R12" s="816">
        <v>1.3389250632438576</v>
      </c>
      <c r="S12" s="815">
        <v>14.988598705430517</v>
      </c>
      <c r="T12" s="815">
        <v>0</v>
      </c>
      <c r="U12" s="815">
        <v>0</v>
      </c>
      <c r="V12" s="816">
        <v>14.988598705430517</v>
      </c>
      <c r="W12" s="816">
        <v>16.327523768674375</v>
      </c>
      <c r="X12" s="815">
        <v>8.9142840000000002E-4</v>
      </c>
      <c r="Y12" s="815">
        <v>1.3264597177199999E-2</v>
      </c>
      <c r="Z12" s="815">
        <v>11.711106912425898</v>
      </c>
      <c r="AA12" s="817">
        <v>0</v>
      </c>
      <c r="AB12" s="817">
        <v>0</v>
      </c>
      <c r="AC12" s="816">
        <v>28.052786706677473</v>
      </c>
    </row>
    <row r="13" spans="1:29">
      <c r="A13" s="3"/>
      <c r="B13" s="6" t="s">
        <v>154</v>
      </c>
      <c r="C13" s="815">
        <v>0</v>
      </c>
      <c r="D13" s="815">
        <v>0</v>
      </c>
      <c r="E13" s="815">
        <v>0</v>
      </c>
      <c r="F13" s="816">
        <v>0</v>
      </c>
      <c r="G13" s="815">
        <v>0</v>
      </c>
      <c r="H13" s="815">
        <v>0</v>
      </c>
      <c r="I13" s="815">
        <v>2.3599998428046778E-3</v>
      </c>
      <c r="J13" s="815">
        <v>7.7432811699999987E-4</v>
      </c>
      <c r="K13" s="815">
        <v>0</v>
      </c>
      <c r="L13" s="815">
        <v>1.5396968535237732</v>
      </c>
      <c r="M13" s="815">
        <v>0</v>
      </c>
      <c r="N13" s="815">
        <v>0</v>
      </c>
      <c r="O13" s="815">
        <v>0</v>
      </c>
      <c r="P13" s="815">
        <v>0</v>
      </c>
      <c r="Q13" s="815">
        <v>0</v>
      </c>
      <c r="R13" s="816">
        <v>1.5428311814835778</v>
      </c>
      <c r="S13" s="815">
        <v>8.5913000858753676</v>
      </c>
      <c r="T13" s="815">
        <v>0</v>
      </c>
      <c r="U13" s="815">
        <v>0</v>
      </c>
      <c r="V13" s="816">
        <v>8.5913000858753676</v>
      </c>
      <c r="W13" s="816">
        <v>10.134131267358946</v>
      </c>
      <c r="X13" s="815">
        <v>9.6260399999999983E-4</v>
      </c>
      <c r="Y13" s="815">
        <v>1.0505262000000001E-2</v>
      </c>
      <c r="Z13" s="815">
        <v>10.948469535444822</v>
      </c>
      <c r="AA13" s="817">
        <v>0</v>
      </c>
      <c r="AB13" s="817">
        <v>0</v>
      </c>
      <c r="AC13" s="816">
        <v>21.094068668803768</v>
      </c>
    </row>
    <row r="14" spans="1:29">
      <c r="A14" s="214"/>
      <c r="B14" s="215" t="s">
        <v>155</v>
      </c>
      <c r="C14" s="818">
        <v>0</v>
      </c>
      <c r="D14" s="818">
        <v>8.7900000000000009E-5</v>
      </c>
      <c r="E14" s="818">
        <v>0</v>
      </c>
      <c r="F14" s="819">
        <v>8.7900000000000009E-5</v>
      </c>
      <c r="G14" s="815">
        <v>0</v>
      </c>
      <c r="H14" s="815">
        <v>0</v>
      </c>
      <c r="I14" s="815">
        <v>9.9940476408347745E-2</v>
      </c>
      <c r="J14" s="815">
        <v>3.3317326896187319E-3</v>
      </c>
      <c r="K14" s="815">
        <v>0</v>
      </c>
      <c r="L14" s="815">
        <v>5.6457387248690738</v>
      </c>
      <c r="M14" s="815">
        <v>0</v>
      </c>
      <c r="N14" s="815">
        <v>0</v>
      </c>
      <c r="O14" s="815">
        <v>0</v>
      </c>
      <c r="P14" s="815">
        <v>0</v>
      </c>
      <c r="Q14" s="815">
        <v>0</v>
      </c>
      <c r="R14" s="819">
        <v>5.7490109339670399</v>
      </c>
      <c r="S14" s="815">
        <v>7.1478911727169301</v>
      </c>
      <c r="T14" s="818">
        <v>0</v>
      </c>
      <c r="U14" s="818">
        <v>0</v>
      </c>
      <c r="V14" s="819">
        <v>7.1478911727169301</v>
      </c>
      <c r="W14" s="819">
        <v>12.89699000668397</v>
      </c>
      <c r="X14" s="815">
        <v>1.8155372627999999</v>
      </c>
      <c r="Y14" s="815">
        <v>3.1681072435791648</v>
      </c>
      <c r="Z14" s="815">
        <v>8.2011987452442465</v>
      </c>
      <c r="AA14" s="820">
        <v>0</v>
      </c>
      <c r="AB14" s="820">
        <v>0</v>
      </c>
      <c r="AC14" s="819">
        <v>26.081833258307384</v>
      </c>
    </row>
    <row r="15" spans="1:29">
      <c r="A15" s="212" t="s">
        <v>156</v>
      </c>
      <c r="B15" s="216"/>
      <c r="C15" s="821">
        <v>0</v>
      </c>
      <c r="D15" s="821">
        <v>3.4418339422940175E-2</v>
      </c>
      <c r="E15" s="821">
        <v>0.18223</v>
      </c>
      <c r="F15" s="822">
        <v>0.21664833942294018</v>
      </c>
      <c r="G15" s="821">
        <v>0</v>
      </c>
      <c r="H15" s="821">
        <v>0</v>
      </c>
      <c r="I15" s="821">
        <v>2.0367271797967117</v>
      </c>
      <c r="J15" s="821">
        <v>0.13875755155477112</v>
      </c>
      <c r="K15" s="821">
        <v>0</v>
      </c>
      <c r="L15" s="821">
        <v>6.8287029216163626</v>
      </c>
      <c r="M15" s="821">
        <v>0</v>
      </c>
      <c r="N15" s="821">
        <v>0.80201206994595342</v>
      </c>
      <c r="O15" s="821">
        <v>0</v>
      </c>
      <c r="P15" s="821">
        <v>2.4089787500000005E-2</v>
      </c>
      <c r="Q15" s="821">
        <v>0</v>
      </c>
      <c r="R15" s="989">
        <v>9.8302895104137988</v>
      </c>
      <c r="S15" s="821">
        <v>29.929960712406974</v>
      </c>
      <c r="T15" s="821">
        <v>0</v>
      </c>
      <c r="U15" s="821">
        <v>0</v>
      </c>
      <c r="V15" s="989">
        <v>29.929960712406974</v>
      </c>
      <c r="W15" s="989">
        <v>39.976898562243719</v>
      </c>
      <c r="X15" s="998">
        <v>0</v>
      </c>
      <c r="Y15" s="821">
        <v>1.3425682790638056</v>
      </c>
      <c r="Z15" s="821">
        <v>39.105472475045495</v>
      </c>
      <c r="AA15" s="823">
        <v>1.4190262959575506</v>
      </c>
      <c r="AB15" s="823">
        <v>0</v>
      </c>
      <c r="AC15" s="822">
        <v>81.843965612310555</v>
      </c>
    </row>
    <row r="16" spans="1:29">
      <c r="A16" s="5"/>
      <c r="B16" s="6" t="s">
        <v>34</v>
      </c>
      <c r="C16" s="824">
        <v>0</v>
      </c>
      <c r="D16" s="824">
        <v>0</v>
      </c>
      <c r="E16" s="824">
        <v>0</v>
      </c>
      <c r="F16" s="816">
        <v>0</v>
      </c>
      <c r="G16" s="824">
        <v>0</v>
      </c>
      <c r="H16" s="824">
        <v>0</v>
      </c>
      <c r="I16" s="824">
        <v>1.0295999999999999E-3</v>
      </c>
      <c r="J16" s="824">
        <v>0</v>
      </c>
      <c r="K16" s="824">
        <v>0</v>
      </c>
      <c r="L16" s="824">
        <v>9.9835354640000068E-3</v>
      </c>
      <c r="M16" s="824">
        <v>0</v>
      </c>
      <c r="N16" s="824">
        <v>3.4694469519536142E-18</v>
      </c>
      <c r="O16" s="824">
        <v>0</v>
      </c>
      <c r="P16" s="824">
        <v>0</v>
      </c>
      <c r="Q16" s="824">
        <v>0</v>
      </c>
      <c r="R16" s="816">
        <v>1.1013135464000011E-2</v>
      </c>
      <c r="S16" s="824">
        <v>0.12439936075292124</v>
      </c>
      <c r="T16" s="824">
        <v>0</v>
      </c>
      <c r="U16" s="824">
        <v>0</v>
      </c>
      <c r="V16" s="825">
        <v>0.12439936075292124</v>
      </c>
      <c r="W16" s="816">
        <v>0.13541249621692125</v>
      </c>
      <c r="X16" s="999">
        <v>0</v>
      </c>
      <c r="Y16" s="824">
        <v>0</v>
      </c>
      <c r="Z16" s="824">
        <v>0.38981043010799965</v>
      </c>
      <c r="AA16" s="817">
        <v>0</v>
      </c>
      <c r="AB16" s="817">
        <v>0</v>
      </c>
      <c r="AC16" s="816">
        <v>0.52522292632492085</v>
      </c>
    </row>
    <row r="17" spans="1:31">
      <c r="A17" s="5"/>
      <c r="B17" s="6" t="s">
        <v>37</v>
      </c>
      <c r="C17" s="824">
        <v>0</v>
      </c>
      <c r="D17" s="824">
        <v>0</v>
      </c>
      <c r="E17" s="824">
        <v>0.18223</v>
      </c>
      <c r="F17" s="816">
        <v>0.18223</v>
      </c>
      <c r="G17" s="824">
        <v>0</v>
      </c>
      <c r="H17" s="824">
        <v>0</v>
      </c>
      <c r="I17" s="824">
        <v>4.3590409542000001E-3</v>
      </c>
      <c r="J17" s="824">
        <v>0</v>
      </c>
      <c r="K17" s="824">
        <v>0</v>
      </c>
      <c r="L17" s="824">
        <v>6.1917124019701023E-2</v>
      </c>
      <c r="M17" s="824">
        <v>0</v>
      </c>
      <c r="N17" s="824">
        <v>0</v>
      </c>
      <c r="O17" s="824">
        <v>0</v>
      </c>
      <c r="P17" s="824">
        <v>6.9150000000000001E-3</v>
      </c>
      <c r="Q17" s="824">
        <v>0</v>
      </c>
      <c r="R17" s="816">
        <v>7.3191164973901032E-2</v>
      </c>
      <c r="S17" s="824">
        <v>0.66781720078309537</v>
      </c>
      <c r="T17" s="824">
        <v>0</v>
      </c>
      <c r="U17" s="824">
        <v>0</v>
      </c>
      <c r="V17" s="825">
        <v>0.66781720078309537</v>
      </c>
      <c r="W17" s="816">
        <v>0.92323836575699636</v>
      </c>
      <c r="X17" s="999">
        <v>0</v>
      </c>
      <c r="Y17" s="824">
        <v>0</v>
      </c>
      <c r="Z17" s="824">
        <v>0.51028535460600022</v>
      </c>
      <c r="AA17" s="817">
        <v>0</v>
      </c>
      <c r="AB17" s="817">
        <v>0</v>
      </c>
      <c r="AC17" s="816">
        <v>1.4335237203629965</v>
      </c>
    </row>
    <row r="18" spans="1:31">
      <c r="A18" s="5"/>
      <c r="B18" s="6" t="s">
        <v>35</v>
      </c>
      <c r="C18" s="824">
        <v>0</v>
      </c>
      <c r="D18" s="824">
        <v>0</v>
      </c>
      <c r="E18" s="824">
        <v>1.3877787807814457E-17</v>
      </c>
      <c r="F18" s="816">
        <v>1.3877787807814457E-17</v>
      </c>
      <c r="G18" s="824">
        <v>0</v>
      </c>
      <c r="H18" s="824">
        <v>0</v>
      </c>
      <c r="I18" s="824">
        <v>1.4954927988451683E-2</v>
      </c>
      <c r="J18" s="824">
        <v>3.0957283000000003E-4</v>
      </c>
      <c r="K18" s="824">
        <v>0</v>
      </c>
      <c r="L18" s="824">
        <v>0.19738328536348912</v>
      </c>
      <c r="M18" s="824">
        <v>0</v>
      </c>
      <c r="N18" s="824">
        <v>0</v>
      </c>
      <c r="O18" s="824">
        <v>0</v>
      </c>
      <c r="P18" s="824">
        <v>0</v>
      </c>
      <c r="Q18" s="824">
        <v>0</v>
      </c>
      <c r="R18" s="816">
        <v>0.2126477861819408</v>
      </c>
      <c r="S18" s="824">
        <v>4.4303217230387872</v>
      </c>
      <c r="T18" s="824">
        <v>0</v>
      </c>
      <c r="U18" s="824">
        <v>0</v>
      </c>
      <c r="V18" s="825">
        <v>4.4303217230387872</v>
      </c>
      <c r="W18" s="816">
        <v>4.6429695092207277</v>
      </c>
      <c r="X18" s="999">
        <v>0</v>
      </c>
      <c r="Y18" s="824">
        <v>7.6177575600000005E-2</v>
      </c>
      <c r="Z18" s="824">
        <v>5.1359022552795279</v>
      </c>
      <c r="AA18" s="817">
        <v>0</v>
      </c>
      <c r="AB18" s="817">
        <v>0</v>
      </c>
      <c r="AC18" s="816">
        <v>9.8550493401002548</v>
      </c>
    </row>
    <row r="19" spans="1:31">
      <c r="A19" s="5"/>
      <c r="B19" s="6" t="s">
        <v>32</v>
      </c>
      <c r="C19" s="824">
        <v>0</v>
      </c>
      <c r="D19" s="824">
        <v>0</v>
      </c>
      <c r="E19" s="824">
        <v>0</v>
      </c>
      <c r="F19" s="816">
        <v>0</v>
      </c>
      <c r="G19" s="824">
        <v>0</v>
      </c>
      <c r="H19" s="824">
        <v>0</v>
      </c>
      <c r="I19" s="824">
        <v>3.8964977555594506E-2</v>
      </c>
      <c r="J19" s="824">
        <v>0.13844717952477112</v>
      </c>
      <c r="K19" s="824">
        <v>0</v>
      </c>
      <c r="L19" s="824">
        <v>5.798826510721435</v>
      </c>
      <c r="M19" s="824">
        <v>0</v>
      </c>
      <c r="N19" s="824">
        <v>1.6297897885953344E-2</v>
      </c>
      <c r="O19" s="824">
        <v>0</v>
      </c>
      <c r="P19" s="824">
        <v>0</v>
      </c>
      <c r="Q19" s="824">
        <v>0</v>
      </c>
      <c r="R19" s="816">
        <v>5.9925365656877538</v>
      </c>
      <c r="S19" s="824">
        <v>4.6516606784655155</v>
      </c>
      <c r="T19" s="824">
        <v>0</v>
      </c>
      <c r="U19" s="824">
        <v>0</v>
      </c>
      <c r="V19" s="825">
        <v>4.6516606784655155</v>
      </c>
      <c r="W19" s="816">
        <v>10.644197244153268</v>
      </c>
      <c r="X19" s="999">
        <v>0</v>
      </c>
      <c r="Y19" s="824">
        <v>0.2828444058690136</v>
      </c>
      <c r="Z19" s="824">
        <v>7.6836525281865704</v>
      </c>
      <c r="AA19" s="817">
        <v>0</v>
      </c>
      <c r="AB19" s="817">
        <v>0</v>
      </c>
      <c r="AC19" s="816">
        <v>18.610694178208853</v>
      </c>
    </row>
    <row r="20" spans="1:31">
      <c r="A20" s="5"/>
      <c r="B20" s="6" t="s">
        <v>40</v>
      </c>
      <c r="C20" s="824">
        <v>0</v>
      </c>
      <c r="D20" s="824">
        <v>0</v>
      </c>
      <c r="E20" s="824">
        <v>0</v>
      </c>
      <c r="F20" s="816">
        <v>0</v>
      </c>
      <c r="G20" s="824">
        <v>0</v>
      </c>
      <c r="H20" s="824">
        <v>0</v>
      </c>
      <c r="I20" s="824">
        <v>1.2753989776034459E-2</v>
      </c>
      <c r="J20" s="824">
        <v>0</v>
      </c>
      <c r="K20" s="824">
        <v>0</v>
      </c>
      <c r="L20" s="824">
        <v>0.50332422262189247</v>
      </c>
      <c r="M20" s="824">
        <v>0</v>
      </c>
      <c r="N20" s="824">
        <v>5.9573839999999996E-3</v>
      </c>
      <c r="O20" s="824">
        <v>0</v>
      </c>
      <c r="P20" s="824">
        <v>0</v>
      </c>
      <c r="Q20" s="824">
        <v>0</v>
      </c>
      <c r="R20" s="816">
        <v>0.52203559639792696</v>
      </c>
      <c r="S20" s="824">
        <v>13.365596678506133</v>
      </c>
      <c r="T20" s="824">
        <v>0</v>
      </c>
      <c r="U20" s="824">
        <v>0</v>
      </c>
      <c r="V20" s="825">
        <v>13.365596678506133</v>
      </c>
      <c r="W20" s="816">
        <v>13.88763227490406</v>
      </c>
      <c r="X20" s="999">
        <v>0</v>
      </c>
      <c r="Y20" s="824">
        <v>0.62548148025640005</v>
      </c>
      <c r="Z20" s="824">
        <v>10.906392992358469</v>
      </c>
      <c r="AA20" s="817">
        <v>0</v>
      </c>
      <c r="AB20" s="817">
        <v>0</v>
      </c>
      <c r="AC20" s="816">
        <v>25.41950674751893</v>
      </c>
    </row>
    <row r="21" spans="1:31">
      <c r="A21" s="5"/>
      <c r="B21" s="6" t="s">
        <v>39</v>
      </c>
      <c r="C21" s="824">
        <v>0</v>
      </c>
      <c r="D21" s="824">
        <v>0</v>
      </c>
      <c r="E21" s="824">
        <v>0</v>
      </c>
      <c r="F21" s="816">
        <v>0</v>
      </c>
      <c r="G21" s="824">
        <v>0</v>
      </c>
      <c r="H21" s="824">
        <v>0</v>
      </c>
      <c r="I21" s="824">
        <v>2.6986409054718882E-2</v>
      </c>
      <c r="J21" s="824">
        <v>0</v>
      </c>
      <c r="K21" s="824">
        <v>0</v>
      </c>
      <c r="L21" s="824">
        <v>6.1437421363009295E-2</v>
      </c>
      <c r="M21" s="824">
        <v>0</v>
      </c>
      <c r="N21" s="824">
        <v>0</v>
      </c>
      <c r="O21" s="824">
        <v>0</v>
      </c>
      <c r="P21" s="824">
        <v>0</v>
      </c>
      <c r="Q21" s="824">
        <v>0</v>
      </c>
      <c r="R21" s="816">
        <v>8.842383041772818E-2</v>
      </c>
      <c r="S21" s="824">
        <v>1.7487802642902297</v>
      </c>
      <c r="T21" s="824">
        <v>0</v>
      </c>
      <c r="U21" s="824">
        <v>0</v>
      </c>
      <c r="V21" s="825">
        <v>1.7487802642902297</v>
      </c>
      <c r="W21" s="816">
        <v>1.837204094707958</v>
      </c>
      <c r="X21" s="999">
        <v>0</v>
      </c>
      <c r="Y21" s="824">
        <v>0</v>
      </c>
      <c r="Z21" s="824">
        <v>1.940371966125745</v>
      </c>
      <c r="AA21" s="817">
        <v>0</v>
      </c>
      <c r="AB21" s="817">
        <v>0</v>
      </c>
      <c r="AC21" s="816">
        <v>3.7775760608337032</v>
      </c>
    </row>
    <row r="22" spans="1:31">
      <c r="A22" s="5"/>
      <c r="B22" s="6" t="s">
        <v>36</v>
      </c>
      <c r="C22" s="824">
        <v>0</v>
      </c>
      <c r="D22" s="824">
        <v>2.9240999999999989E-2</v>
      </c>
      <c r="E22" s="824">
        <v>0</v>
      </c>
      <c r="F22" s="816">
        <v>2.9240999999999989E-2</v>
      </c>
      <c r="G22" s="824">
        <v>0</v>
      </c>
      <c r="H22" s="824">
        <v>0</v>
      </c>
      <c r="I22" s="824">
        <v>9.0394703957121271E-3</v>
      </c>
      <c r="J22" s="824">
        <v>7.9920000000000001E-7</v>
      </c>
      <c r="K22" s="824">
        <v>0</v>
      </c>
      <c r="L22" s="824">
        <v>4.8921421896017281E-2</v>
      </c>
      <c r="M22" s="824">
        <v>0</v>
      </c>
      <c r="N22" s="824">
        <v>4.847638806E-2</v>
      </c>
      <c r="O22" s="824">
        <v>0</v>
      </c>
      <c r="P22" s="824">
        <v>1.7174787500000004E-2</v>
      </c>
      <c r="Q22" s="824">
        <v>0</v>
      </c>
      <c r="R22" s="816">
        <v>0.12361286705172941</v>
      </c>
      <c r="S22" s="824">
        <v>1.396786622886327</v>
      </c>
      <c r="T22" s="824">
        <v>0</v>
      </c>
      <c r="U22" s="824">
        <v>0</v>
      </c>
      <c r="V22" s="825">
        <v>1.396786622886327</v>
      </c>
      <c r="W22" s="816">
        <v>1.5496404899380565</v>
      </c>
      <c r="X22" s="999">
        <v>0</v>
      </c>
      <c r="Y22" s="824">
        <v>0.42039424257431879</v>
      </c>
      <c r="Z22" s="824">
        <v>0.85790852517200045</v>
      </c>
      <c r="AA22" s="817">
        <v>0</v>
      </c>
      <c r="AB22" s="817">
        <v>0</v>
      </c>
      <c r="AC22" s="816">
        <v>2.8279432576843755</v>
      </c>
    </row>
    <row r="23" spans="1:31">
      <c r="A23" s="5"/>
      <c r="B23" s="6" t="s">
        <v>38</v>
      </c>
      <c r="C23" s="824">
        <v>0</v>
      </c>
      <c r="D23" s="824">
        <v>5.1773394229401859E-3</v>
      </c>
      <c r="E23" s="824">
        <v>0</v>
      </c>
      <c r="F23" s="816">
        <v>5.1773394229401859E-3</v>
      </c>
      <c r="G23" s="824">
        <v>0</v>
      </c>
      <c r="H23" s="824">
        <v>0</v>
      </c>
      <c r="I23" s="824">
        <v>0</v>
      </c>
      <c r="J23" s="824">
        <v>0</v>
      </c>
      <c r="K23" s="824">
        <v>0</v>
      </c>
      <c r="L23" s="824">
        <v>0.10249487988838223</v>
      </c>
      <c r="M23" s="824">
        <v>0</v>
      </c>
      <c r="N23" s="824">
        <v>0</v>
      </c>
      <c r="O23" s="824">
        <v>0</v>
      </c>
      <c r="P23" s="824">
        <v>0</v>
      </c>
      <c r="Q23" s="824">
        <v>0</v>
      </c>
      <c r="R23" s="816">
        <v>0.10249487988838223</v>
      </c>
      <c r="S23" s="824">
        <v>0.31072482279244573</v>
      </c>
      <c r="T23" s="824">
        <v>0</v>
      </c>
      <c r="U23" s="824">
        <v>0</v>
      </c>
      <c r="V23" s="825">
        <v>0.31072482279244573</v>
      </c>
      <c r="W23" s="816">
        <v>0.41839704210376816</v>
      </c>
      <c r="X23" s="999">
        <v>0</v>
      </c>
      <c r="Y23" s="824">
        <v>-6.8947524480926781E-2</v>
      </c>
      <c r="Z23" s="824">
        <v>0.49994406104000011</v>
      </c>
      <c r="AA23" s="817">
        <v>0</v>
      </c>
      <c r="AB23" s="817">
        <v>0</v>
      </c>
      <c r="AC23" s="816">
        <v>0.84939357866284149</v>
      </c>
    </row>
    <row r="24" spans="1:31">
      <c r="A24" s="217"/>
      <c r="B24" s="215" t="s">
        <v>33</v>
      </c>
      <c r="C24" s="824">
        <v>0</v>
      </c>
      <c r="D24" s="824">
        <v>0</v>
      </c>
      <c r="E24" s="824">
        <v>0</v>
      </c>
      <c r="F24" s="816">
        <v>0</v>
      </c>
      <c r="G24" s="824">
        <v>0</v>
      </c>
      <c r="H24" s="824">
        <v>0</v>
      </c>
      <c r="I24" s="824">
        <v>1.928638764072</v>
      </c>
      <c r="J24" s="824">
        <v>0</v>
      </c>
      <c r="K24" s="824">
        <v>0</v>
      </c>
      <c r="L24" s="824">
        <v>4.4414520278435982E-2</v>
      </c>
      <c r="M24" s="824">
        <v>0</v>
      </c>
      <c r="N24" s="824">
        <v>0.73128040000000005</v>
      </c>
      <c r="O24" s="824">
        <v>0</v>
      </c>
      <c r="P24" s="824">
        <v>0</v>
      </c>
      <c r="Q24" s="824">
        <v>0</v>
      </c>
      <c r="R24" s="816">
        <v>2.704333684350436</v>
      </c>
      <c r="S24" s="824">
        <v>3.233873360891522</v>
      </c>
      <c r="T24" s="824">
        <v>0</v>
      </c>
      <c r="U24" s="824">
        <v>0</v>
      </c>
      <c r="V24" s="825">
        <v>3.233873360891522</v>
      </c>
      <c r="W24" s="816">
        <v>5.938207045241958</v>
      </c>
      <c r="X24" s="999">
        <v>0</v>
      </c>
      <c r="Y24" s="824">
        <v>6.6180992449999532E-3</v>
      </c>
      <c r="Z24" s="824">
        <v>11.181204362169179</v>
      </c>
      <c r="AA24" s="817">
        <v>0</v>
      </c>
      <c r="AB24" s="817">
        <v>0</v>
      </c>
      <c r="AC24" s="816">
        <v>17.126029506656138</v>
      </c>
    </row>
    <row r="25" spans="1:31">
      <c r="A25" s="5" t="s">
        <v>586</v>
      </c>
      <c r="B25" s="127"/>
      <c r="C25" s="821">
        <f>SUM(C27:C32)</f>
        <v>0</v>
      </c>
      <c r="D25" s="821">
        <f t="shared" ref="D25:E25" si="0">SUM(D27:D32)</f>
        <v>0.54700399882025252</v>
      </c>
      <c r="E25" s="821">
        <f t="shared" si="0"/>
        <v>0</v>
      </c>
      <c r="F25" s="822">
        <f>SUM(F27:F32)</f>
        <v>0.54700399882025252</v>
      </c>
      <c r="G25" s="812">
        <f>SUM(G27:G32)</f>
        <v>0</v>
      </c>
      <c r="H25" s="812">
        <f t="shared" ref="H25:Q25" si="1">SUM(H27:H32)</f>
        <v>0</v>
      </c>
      <c r="I25" s="812">
        <f t="shared" si="1"/>
        <v>8.4982799092779462E-2</v>
      </c>
      <c r="J25" s="812">
        <f t="shared" si="1"/>
        <v>8.5524613962797952E-2</v>
      </c>
      <c r="K25" s="812">
        <f t="shared" si="1"/>
        <v>0</v>
      </c>
      <c r="L25" s="812">
        <f t="shared" si="1"/>
        <v>8.4542309479199886</v>
      </c>
      <c r="M25" s="812">
        <f t="shared" si="1"/>
        <v>0.21953439918725159</v>
      </c>
      <c r="N25" s="812">
        <f t="shared" si="1"/>
        <v>0.2772607581468467</v>
      </c>
      <c r="O25" s="812">
        <f t="shared" si="1"/>
        <v>0</v>
      </c>
      <c r="P25" s="812">
        <f t="shared" si="1"/>
        <v>0</v>
      </c>
      <c r="Q25" s="812">
        <f t="shared" si="1"/>
        <v>0</v>
      </c>
      <c r="R25" s="822">
        <f>SUM(R27:R32)</f>
        <v>9.1215335183096649</v>
      </c>
      <c r="S25" s="812">
        <f>SUM(S27:S32)</f>
        <v>22.314056085335999</v>
      </c>
      <c r="T25" s="812">
        <f t="shared" ref="T25:U25" si="2">SUM(T27:T32)</f>
        <v>0</v>
      </c>
      <c r="U25" s="812">
        <f t="shared" si="2"/>
        <v>0</v>
      </c>
      <c r="V25" s="822">
        <f>SUM(V27:V32)</f>
        <v>22.314056085335999</v>
      </c>
      <c r="W25" s="822">
        <f>SUM(W27:W32)</f>
        <v>31.982593602465915</v>
      </c>
      <c r="X25" s="821">
        <f>SUM(X27:X32)</f>
        <v>0</v>
      </c>
      <c r="Y25" s="812">
        <f>SUM(Y27:Y32)</f>
        <v>2.6422396252950073</v>
      </c>
      <c r="Z25" s="814">
        <v>-3.7483705204708513</v>
      </c>
      <c r="AA25" s="823">
        <v>4.0460539062215126E-2</v>
      </c>
      <c r="AB25" s="823">
        <v>0</v>
      </c>
      <c r="AC25" s="822">
        <f>SUM(W25:AB25)</f>
        <v>30.91692324635229</v>
      </c>
      <c r="AE25" s="38"/>
    </row>
    <row r="26" spans="1:31">
      <c r="A26" s="5"/>
      <c r="B26" s="127"/>
      <c r="C26" s="826"/>
      <c r="D26" s="827"/>
      <c r="E26" s="826"/>
      <c r="F26" s="816"/>
      <c r="G26" s="827"/>
      <c r="H26" s="827"/>
      <c r="I26" s="827"/>
      <c r="J26" s="827"/>
      <c r="K26" s="827"/>
      <c r="L26" s="827"/>
      <c r="M26" s="827"/>
      <c r="N26" s="827"/>
      <c r="O26" s="827"/>
      <c r="P26" s="827"/>
      <c r="Q26" s="827"/>
      <c r="R26" s="816"/>
      <c r="S26" s="827"/>
      <c r="T26" s="826"/>
      <c r="U26" s="826"/>
      <c r="V26" s="816"/>
      <c r="W26" s="816"/>
      <c r="X26" s="826"/>
      <c r="Y26" s="830"/>
      <c r="Z26" s="830">
        <v>2.5201346004</v>
      </c>
      <c r="AA26" s="831"/>
      <c r="AB26" s="828"/>
      <c r="AC26" s="829"/>
      <c r="AE26" s="38"/>
    </row>
    <row r="27" spans="1:31">
      <c r="A27" s="3"/>
      <c r="B27" s="6" t="s">
        <v>157</v>
      </c>
      <c r="C27" s="815">
        <v>0</v>
      </c>
      <c r="D27" s="815">
        <v>0</v>
      </c>
      <c r="E27" s="815">
        <v>0</v>
      </c>
      <c r="F27" s="816">
        <v>0</v>
      </c>
      <c r="G27" s="815">
        <v>0</v>
      </c>
      <c r="H27" s="815">
        <v>0</v>
      </c>
      <c r="I27" s="815">
        <v>6.4731758920594781E-2</v>
      </c>
      <c r="J27" s="815">
        <v>1.3261994403934133E-3</v>
      </c>
      <c r="K27" s="815">
        <v>0</v>
      </c>
      <c r="L27" s="815">
        <v>4.9809135885072067</v>
      </c>
      <c r="M27" s="815">
        <v>0.1769558525521589</v>
      </c>
      <c r="N27" s="815">
        <v>0</v>
      </c>
      <c r="O27" s="815">
        <v>0</v>
      </c>
      <c r="P27" s="815">
        <v>0</v>
      </c>
      <c r="Q27" s="815">
        <v>0</v>
      </c>
      <c r="R27" s="816">
        <v>5.2239273994203543</v>
      </c>
      <c r="S27" s="815">
        <v>0.11528075649239999</v>
      </c>
      <c r="T27" s="815">
        <v>0</v>
      </c>
      <c r="U27" s="815">
        <v>0</v>
      </c>
      <c r="V27" s="816">
        <v>0.11528075649239999</v>
      </c>
      <c r="W27" s="816">
        <v>5.339208155912754</v>
      </c>
      <c r="X27" s="815">
        <v>0</v>
      </c>
      <c r="Y27" s="815">
        <v>1.2938519912246071</v>
      </c>
      <c r="Z27" s="815">
        <v>2.4292583126529852</v>
      </c>
      <c r="AA27" s="817">
        <v>0</v>
      </c>
      <c r="AB27" s="817">
        <v>0</v>
      </c>
      <c r="AC27" s="816">
        <v>9.0623184597903474</v>
      </c>
    </row>
    <row r="28" spans="1:31">
      <c r="A28" s="3"/>
      <c r="B28" s="6" t="s">
        <v>158</v>
      </c>
      <c r="C28" s="815">
        <v>0</v>
      </c>
      <c r="D28" s="815">
        <v>0</v>
      </c>
      <c r="E28" s="815">
        <v>0</v>
      </c>
      <c r="F28" s="816">
        <v>0</v>
      </c>
      <c r="G28" s="815">
        <v>0</v>
      </c>
      <c r="H28" s="815">
        <v>0</v>
      </c>
      <c r="I28" s="815">
        <v>3.4337216861374353E-3</v>
      </c>
      <c r="J28" s="815">
        <v>5.5900168248238533E-4</v>
      </c>
      <c r="K28" s="815">
        <v>0</v>
      </c>
      <c r="L28" s="815">
        <v>2.2097759799521892</v>
      </c>
      <c r="M28" s="815">
        <v>7.0111137601937962E-5</v>
      </c>
      <c r="N28" s="815">
        <v>0</v>
      </c>
      <c r="O28" s="815">
        <v>0</v>
      </c>
      <c r="P28" s="815">
        <v>0</v>
      </c>
      <c r="Q28" s="815">
        <v>0</v>
      </c>
      <c r="R28" s="816">
        <v>2.2138388144584109</v>
      </c>
      <c r="S28" s="815">
        <v>0</v>
      </c>
      <c r="T28" s="815">
        <v>0</v>
      </c>
      <c r="U28" s="815">
        <v>0</v>
      </c>
      <c r="V28" s="816">
        <v>0</v>
      </c>
      <c r="W28" s="816">
        <v>2.2138388144584109</v>
      </c>
      <c r="X28" s="815">
        <v>0</v>
      </c>
      <c r="Y28" s="815">
        <v>0.94785268174656001</v>
      </c>
      <c r="Z28" s="815">
        <v>0.47863916631644304</v>
      </c>
      <c r="AA28" s="817">
        <v>0</v>
      </c>
      <c r="AB28" s="817">
        <v>0</v>
      </c>
      <c r="AC28" s="816">
        <v>3.6403306625214138</v>
      </c>
    </row>
    <row r="29" spans="1:31">
      <c r="A29" s="3"/>
      <c r="B29" s="6" t="s">
        <v>159</v>
      </c>
      <c r="C29" s="815">
        <v>0</v>
      </c>
      <c r="D29" s="815">
        <v>0.46018171439999994</v>
      </c>
      <c r="E29" s="815">
        <v>0</v>
      </c>
      <c r="F29" s="816">
        <v>0.46018171439999994</v>
      </c>
      <c r="G29" s="815">
        <v>0</v>
      </c>
      <c r="H29" s="815">
        <v>0</v>
      </c>
      <c r="I29" s="815">
        <v>9.8786382839580796E-3</v>
      </c>
      <c r="J29" s="815">
        <v>2.8998283485522748E-3</v>
      </c>
      <c r="K29" s="815">
        <v>0</v>
      </c>
      <c r="L29" s="815">
        <v>0.42115584379954896</v>
      </c>
      <c r="M29" s="815">
        <v>3.9208661037301772E-2</v>
      </c>
      <c r="N29" s="815">
        <v>0.25488888882361327</v>
      </c>
      <c r="O29" s="815">
        <v>0</v>
      </c>
      <c r="P29" s="815">
        <v>0</v>
      </c>
      <c r="Q29" s="815">
        <v>0</v>
      </c>
      <c r="R29" s="816">
        <v>0.72803186029297429</v>
      </c>
      <c r="S29" s="815">
        <v>22.198775328843599</v>
      </c>
      <c r="T29" s="815">
        <v>0</v>
      </c>
      <c r="U29" s="815">
        <v>0</v>
      </c>
      <c r="V29" s="816">
        <v>22.198775328843599</v>
      </c>
      <c r="W29" s="816">
        <v>23.386988903536576</v>
      </c>
      <c r="X29" s="815">
        <v>0</v>
      </c>
      <c r="Y29" s="815">
        <v>0.39653486632384</v>
      </c>
      <c r="Z29" s="815">
        <v>-7.850239436748188</v>
      </c>
      <c r="AA29" s="817">
        <v>0</v>
      </c>
      <c r="AB29" s="817">
        <v>0</v>
      </c>
      <c r="AC29" s="816">
        <v>15.933284333112228</v>
      </c>
    </row>
    <row r="30" spans="1:31">
      <c r="A30" s="3"/>
      <c r="B30" s="6" t="s">
        <v>160</v>
      </c>
      <c r="C30" s="815">
        <v>0</v>
      </c>
      <c r="D30" s="815">
        <v>8.6822284420252568E-2</v>
      </c>
      <c r="E30" s="815">
        <v>0</v>
      </c>
      <c r="F30" s="816">
        <v>8.6822284420252568E-2</v>
      </c>
      <c r="G30" s="815">
        <v>0</v>
      </c>
      <c r="H30" s="815">
        <v>0</v>
      </c>
      <c r="I30" s="815">
        <v>6.9367571747591473E-3</v>
      </c>
      <c r="J30" s="815">
        <v>6.2512587186432551E-3</v>
      </c>
      <c r="K30" s="815">
        <v>0</v>
      </c>
      <c r="L30" s="815">
        <v>0.83270803464954313</v>
      </c>
      <c r="M30" s="815">
        <v>3.2997744601889712E-3</v>
      </c>
      <c r="N30" s="815">
        <v>2.2371869323233404E-2</v>
      </c>
      <c r="O30" s="815">
        <v>0</v>
      </c>
      <c r="P30" s="815">
        <v>0</v>
      </c>
      <c r="Q30" s="815">
        <v>0</v>
      </c>
      <c r="R30" s="816">
        <v>0.87156769432636783</v>
      </c>
      <c r="S30" s="815">
        <v>0</v>
      </c>
      <c r="T30" s="815">
        <v>0</v>
      </c>
      <c r="U30" s="815">
        <v>0</v>
      </c>
      <c r="V30" s="816">
        <v>0</v>
      </c>
      <c r="W30" s="816">
        <v>0.95838997874662035</v>
      </c>
      <c r="X30" s="815">
        <v>0</v>
      </c>
      <c r="Y30" s="815">
        <v>4.0000859999999999E-3</v>
      </c>
      <c r="Z30" s="815">
        <v>1.1939336090119086</v>
      </c>
      <c r="AA30" s="817">
        <v>0</v>
      </c>
      <c r="AB30" s="817">
        <v>0</v>
      </c>
      <c r="AC30" s="816">
        <v>2.156323673758529</v>
      </c>
    </row>
    <row r="31" spans="1:31">
      <c r="A31" s="3"/>
      <c r="B31" s="6" t="s">
        <v>161</v>
      </c>
      <c r="C31" s="815">
        <v>0</v>
      </c>
      <c r="D31" s="815">
        <v>0</v>
      </c>
      <c r="E31" s="815">
        <v>0</v>
      </c>
      <c r="F31" s="816">
        <v>0</v>
      </c>
      <c r="G31" s="815">
        <v>0</v>
      </c>
      <c r="H31" s="815">
        <v>0</v>
      </c>
      <c r="I31" s="815">
        <v>1.9230273300137108E-6</v>
      </c>
      <c r="J31" s="815">
        <v>7.2344552789736991E-2</v>
      </c>
      <c r="K31" s="815">
        <v>0</v>
      </c>
      <c r="L31" s="815">
        <v>7.1629119091797238E-3</v>
      </c>
      <c r="M31" s="815">
        <v>0</v>
      </c>
      <c r="N31" s="815">
        <v>0</v>
      </c>
      <c r="O31" s="815">
        <v>0</v>
      </c>
      <c r="P31" s="815">
        <v>0</v>
      </c>
      <c r="Q31" s="815">
        <v>0</v>
      </c>
      <c r="R31" s="816">
        <v>7.950938772624673E-2</v>
      </c>
      <c r="S31" s="815">
        <v>0</v>
      </c>
      <c r="T31" s="815">
        <v>0</v>
      </c>
      <c r="U31" s="815">
        <v>0</v>
      </c>
      <c r="V31" s="816">
        <v>0</v>
      </c>
      <c r="W31" s="816">
        <v>7.950938772624673E-2</v>
      </c>
      <c r="X31" s="815">
        <v>0</v>
      </c>
      <c r="Y31" s="815">
        <v>0</v>
      </c>
      <c r="Z31" s="815">
        <v>0</v>
      </c>
      <c r="AA31" s="817">
        <v>0</v>
      </c>
      <c r="AB31" s="817">
        <v>0</v>
      </c>
      <c r="AC31" s="816">
        <v>7.950938772624673E-2</v>
      </c>
    </row>
    <row r="32" spans="1:31">
      <c r="A32" s="4"/>
      <c r="B32" s="126" t="s">
        <v>162</v>
      </c>
      <c r="C32" s="833">
        <v>0</v>
      </c>
      <c r="D32" s="833">
        <v>0</v>
      </c>
      <c r="E32" s="833">
        <v>0</v>
      </c>
      <c r="F32" s="832">
        <v>0</v>
      </c>
      <c r="G32" s="833">
        <v>0</v>
      </c>
      <c r="H32" s="833">
        <v>0</v>
      </c>
      <c r="I32" s="833">
        <v>0</v>
      </c>
      <c r="J32" s="833">
        <v>2.1437729829896406E-3</v>
      </c>
      <c r="K32" s="833">
        <v>0</v>
      </c>
      <c r="L32" s="833">
        <v>2.5145891023198568E-3</v>
      </c>
      <c r="M32" s="833">
        <v>0</v>
      </c>
      <c r="N32" s="833">
        <v>0</v>
      </c>
      <c r="O32" s="833">
        <v>0</v>
      </c>
      <c r="P32" s="833">
        <v>0</v>
      </c>
      <c r="Q32" s="833">
        <v>0</v>
      </c>
      <c r="R32" s="832">
        <v>4.6583620853094974E-3</v>
      </c>
      <c r="S32" s="833">
        <v>0</v>
      </c>
      <c r="T32" s="833">
        <v>0</v>
      </c>
      <c r="U32" s="833">
        <v>0</v>
      </c>
      <c r="V32" s="832">
        <v>0</v>
      </c>
      <c r="W32" s="832">
        <v>4.6583620853094974E-3</v>
      </c>
      <c r="X32" s="833">
        <v>0</v>
      </c>
      <c r="Y32" s="833">
        <v>0</v>
      </c>
      <c r="Z32" s="833">
        <v>3.7828296000000008E-5</v>
      </c>
      <c r="AA32" s="834">
        <v>0</v>
      </c>
      <c r="AB32" s="834">
        <v>0</v>
      </c>
      <c r="AC32" s="832">
        <v>4.6961903813094973E-3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8" t="s">
        <v>438</v>
      </c>
      <c r="B2" s="1169"/>
      <c r="C2" s="111"/>
    </row>
    <row r="3" spans="1:3" s="15" customFormat="1" ht="15.75">
      <c r="A3" s="98"/>
      <c r="B3" s="70"/>
      <c r="C3" s="99"/>
    </row>
    <row r="4" spans="1:3">
      <c r="A4" s="95" t="s">
        <v>348</v>
      </c>
      <c r="B4" s="69" t="s">
        <v>360</v>
      </c>
      <c r="C4" s="100" t="s">
        <v>359</v>
      </c>
    </row>
    <row r="5" spans="1:3">
      <c r="A5" s="112"/>
      <c r="B5" s="43"/>
      <c r="C5" s="96"/>
    </row>
    <row r="6" spans="1:3" s="11" customFormat="1" ht="30">
      <c r="A6" s="113" t="s">
        <v>187</v>
      </c>
      <c r="B6" s="129" t="s">
        <v>440</v>
      </c>
      <c r="C6" s="160" t="s">
        <v>455</v>
      </c>
    </row>
    <row r="7" spans="1:3" s="11" customFormat="1">
      <c r="A7" s="131"/>
      <c r="B7" s="132"/>
      <c r="C7" s="133"/>
    </row>
    <row r="8" spans="1:3" s="11" customFormat="1" ht="60">
      <c r="A8" s="113" t="s">
        <v>148</v>
      </c>
      <c r="B8" s="129" t="s">
        <v>440</v>
      </c>
      <c r="C8" s="304" t="s">
        <v>456</v>
      </c>
    </row>
    <row r="9" spans="1:3" s="11" customFormat="1">
      <c r="A9" s="131"/>
      <c r="B9" s="132"/>
      <c r="C9" s="133"/>
    </row>
    <row r="10" spans="1:3" s="11" customFormat="1" ht="60">
      <c r="A10" s="113" t="s">
        <v>149</v>
      </c>
      <c r="B10" s="129" t="s">
        <v>440</v>
      </c>
      <c r="C10" s="304" t="s">
        <v>456</v>
      </c>
    </row>
    <row r="11" spans="1:3" s="11" customFormat="1">
      <c r="A11" s="131"/>
      <c r="B11" s="132"/>
      <c r="C11" s="133"/>
    </row>
    <row r="12" spans="1:3" s="11" customFormat="1" ht="60">
      <c r="A12" s="113" t="s">
        <v>370</v>
      </c>
      <c r="B12" s="129" t="s">
        <v>440</v>
      </c>
      <c r="C12" s="304" t="s">
        <v>456</v>
      </c>
    </row>
    <row r="13" spans="1:3" s="11" customFormat="1">
      <c r="A13" s="131"/>
      <c r="B13" s="132"/>
      <c r="C13" s="133"/>
    </row>
    <row r="14" spans="1:3" s="11" customFormat="1" ht="60">
      <c r="A14" s="113" t="s">
        <v>105</v>
      </c>
      <c r="B14" s="129" t="s">
        <v>457</v>
      </c>
      <c r="C14" s="304" t="s">
        <v>456</v>
      </c>
    </row>
    <row r="15" spans="1:3" s="11" customFormat="1" ht="63">
      <c r="A15" s="123"/>
      <c r="B15" s="129" t="s">
        <v>458</v>
      </c>
      <c r="C15" s="304" t="s">
        <v>462</v>
      </c>
    </row>
    <row r="16" spans="1:3" s="11" customFormat="1">
      <c r="A16" s="131"/>
      <c r="B16" s="132"/>
      <c r="C16" s="133"/>
    </row>
    <row r="17" spans="1:3" s="11" customFormat="1" ht="45">
      <c r="A17" s="113" t="s">
        <v>439</v>
      </c>
      <c r="B17" s="129" t="s">
        <v>503</v>
      </c>
      <c r="C17" s="160" t="s">
        <v>504</v>
      </c>
    </row>
    <row r="18" spans="1:3" s="11" customFormat="1">
      <c r="A18" s="131"/>
      <c r="B18" s="132"/>
      <c r="C18" s="133"/>
    </row>
    <row r="19" spans="1:3" s="11" customFormat="1" ht="60">
      <c r="A19" s="113" t="s">
        <v>373</v>
      </c>
      <c r="B19" s="303" t="s">
        <v>501</v>
      </c>
      <c r="C19" s="160" t="s">
        <v>502</v>
      </c>
    </row>
    <row r="20" spans="1:3" s="11" customFormat="1">
      <c r="A20" s="113"/>
      <c r="B20" s="129"/>
      <c r="C20" s="130"/>
    </row>
    <row r="21" spans="1:3" ht="21">
      <c r="A21" s="125" t="s">
        <v>442</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3" customFormat="1" ht="17.25" thickTop="1" thickBot="1">
      <c r="A1" s="1170" t="s">
        <v>187</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498</v>
      </c>
      <c r="B5" s="30">
        <f>SUM(OV_ov_ele_kWh,OV_rest_ele_kWh)/1000</f>
        <v>1089.04430528634</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499</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443</v>
      </c>
      <c r="B8" s="21">
        <f>MAX((B5+B6),0)</f>
        <v>1089.04430528634</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0.16494846667445565</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179.63618829752954</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3" customFormat="1" ht="17.25" thickTop="1" thickBot="1">
      <c r="A1" s="1170" t="s">
        <v>148</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500</v>
      </c>
      <c r="B5" s="30">
        <f>IF(ISERROR(SUM(HH_hh_ele_kWh,HH_rest_kWh)/1000),0,SUM(HH_hh_ele_kWh,HH_rest_kWh)/1000)</f>
        <v>19046.2174722522</v>
      </c>
      <c r="C5" s="17">
        <f>IF(ISERROR('Eigen informatie GS &amp; warmtenet'!B59),0,'Eigen informatie GS &amp; warmtenet'!B59)</f>
        <v>0</v>
      </c>
      <c r="D5" s="30">
        <f>(SUM(HH_hh_gas_kWh,HH_rest_gas_kWh)/1000)*0.903</f>
        <v>42035.503836551397</v>
      </c>
      <c r="E5" s="17">
        <f>B32*B41</f>
        <v>3001.937894297841</v>
      </c>
      <c r="F5" s="17">
        <f>B36*B45</f>
        <v>38030.165472902554</v>
      </c>
      <c r="G5" s="18"/>
      <c r="H5" s="17"/>
      <c r="I5" s="17"/>
      <c r="J5" s="17">
        <f>B35*B44+C35*C44</f>
        <v>243.41497333371038</v>
      </c>
      <c r="K5" s="17"/>
      <c r="L5" s="17"/>
      <c r="M5" s="17"/>
      <c r="N5" s="17">
        <f>B34*B43+C34*C43</f>
        <v>8747.8721309065622</v>
      </c>
      <c r="O5" s="17">
        <f>B52*B53*B54</f>
        <v>718.19287541810547</v>
      </c>
      <c r="P5" s="17">
        <f>B60*B61*B62/1000-B60*B61*B62/1000/B63</f>
        <v>1759.1712043833986</v>
      </c>
    </row>
    <row r="6" spans="1:16">
      <c r="A6" s="16" t="s">
        <v>556</v>
      </c>
      <c r="B6" s="734">
        <f>kWh_PV_kleiner_dan_10kW</f>
        <v>12224.720347612016</v>
      </c>
      <c r="C6" s="735"/>
      <c r="D6" s="735"/>
      <c r="E6" s="736"/>
      <c r="F6" s="736"/>
      <c r="G6" s="736"/>
      <c r="H6" s="736"/>
      <c r="I6" s="736"/>
      <c r="J6" s="736"/>
      <c r="K6" s="736"/>
      <c r="L6" s="736"/>
      <c r="M6" s="736"/>
      <c r="N6" s="736"/>
      <c r="O6" s="736"/>
      <c r="P6" s="736"/>
    </row>
    <row r="7" spans="1:16">
      <c r="B7" s="19"/>
      <c r="C7" s="19"/>
      <c r="D7" s="19"/>
      <c r="E7" s="19"/>
      <c r="F7" s="19"/>
      <c r="G7" s="19"/>
      <c r="H7" s="19"/>
      <c r="I7" s="19"/>
      <c r="J7" s="19"/>
      <c r="K7" s="19"/>
      <c r="L7" s="19"/>
      <c r="M7" s="19"/>
      <c r="N7" s="19"/>
      <c r="O7" s="19"/>
      <c r="P7" s="19"/>
    </row>
    <row r="8" spans="1:16" s="8" customFormat="1">
      <c r="A8" s="20" t="s">
        <v>205</v>
      </c>
      <c r="B8" s="21">
        <f>B5+B6</f>
        <v>31270.937819864215</v>
      </c>
      <c r="C8" s="21">
        <f>C5</f>
        <v>0</v>
      </c>
      <c r="D8" s="21">
        <f>D5</f>
        <v>42035.503836551397</v>
      </c>
      <c r="E8" s="21">
        <f>E5</f>
        <v>3001.937894297841</v>
      </c>
      <c r="F8" s="21">
        <f>F5</f>
        <v>38030.165472902554</v>
      </c>
      <c r="G8" s="21"/>
      <c r="H8" s="21"/>
      <c r="I8" s="21"/>
      <c r="J8" s="21">
        <f>J5</f>
        <v>243.41497333371038</v>
      </c>
      <c r="K8" s="21"/>
      <c r="L8" s="21">
        <f>L5</f>
        <v>0</v>
      </c>
      <c r="M8" s="21">
        <f>M5</f>
        <v>0</v>
      </c>
      <c r="N8" s="21">
        <f>N5</f>
        <v>8747.8721309065622</v>
      </c>
      <c r="O8" s="21">
        <f>O5</f>
        <v>718.19287541810547</v>
      </c>
      <c r="P8" s="21">
        <f>P5</f>
        <v>1759.1712043833986</v>
      </c>
    </row>
    <row r="9" spans="1:16">
      <c r="B9" s="19"/>
      <c r="C9" s="19"/>
      <c r="D9" s="253"/>
      <c r="E9" s="19"/>
      <c r="F9" s="19"/>
      <c r="G9" s="19"/>
      <c r="H9" s="19"/>
      <c r="I9" s="19"/>
      <c r="J9" s="19"/>
      <c r="K9" s="19"/>
      <c r="L9" s="19"/>
      <c r="M9" s="19"/>
      <c r="N9" s="19"/>
      <c r="O9" s="19"/>
      <c r="P9" s="19"/>
    </row>
    <row r="10" spans="1:16">
      <c r="A10" s="24" t="s">
        <v>207</v>
      </c>
      <c r="B10" s="25">
        <f ca="1">'EF ele_warmte'!B12</f>
        <v>0.16494846667445565</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5158.0932448588474</v>
      </c>
      <c r="C12" s="23">
        <f ca="1">C10*C8</f>
        <v>0</v>
      </c>
      <c r="D12" s="23">
        <f>D8*D10</f>
        <v>8491.1717749833824</v>
      </c>
      <c r="E12" s="23">
        <f>E10*E8</f>
        <v>681.43990200560995</v>
      </c>
      <c r="F12" s="23">
        <f>F10*F8</f>
        <v>10154.054181264983</v>
      </c>
      <c r="G12" s="23"/>
      <c r="H12" s="23"/>
      <c r="I12" s="23"/>
      <c r="J12" s="23">
        <f>J10*J8</f>
        <v>86.168900560133466</v>
      </c>
      <c r="K12" s="23"/>
      <c r="L12" s="23">
        <f>L10*L8</f>
        <v>0</v>
      </c>
      <c r="M12" s="23">
        <f>M10*M8</f>
        <v>0</v>
      </c>
      <c r="N12" s="23">
        <f>N10*N8</f>
        <v>0</v>
      </c>
      <c r="O12" s="23">
        <f>O10*O8</f>
        <v>0</v>
      </c>
      <c r="P12" s="23">
        <f>P10*P8</f>
        <v>0</v>
      </c>
    </row>
    <row r="15" spans="1:16">
      <c r="A15" s="189" t="s">
        <v>454</v>
      </c>
      <c r="B15" s="199"/>
      <c r="C15" s="199"/>
      <c r="D15" s="221"/>
    </row>
    <row r="16" spans="1:16">
      <c r="A16" s="3"/>
      <c r="B16" s="43"/>
      <c r="C16" s="43"/>
      <c r="D16" s="170"/>
    </row>
    <row r="17" spans="1:5">
      <c r="A17" s="222" t="s">
        <v>745</v>
      </c>
      <c r="B17" s="198" t="s">
        <v>741</v>
      </c>
      <c r="C17" s="198" t="s">
        <v>740</v>
      </c>
      <c r="D17" s="223" t="s">
        <v>175</v>
      </c>
      <c r="E17" s="15"/>
    </row>
    <row r="18" spans="1:5">
      <c r="A18" s="167" t="s">
        <v>77</v>
      </c>
      <c r="B18" s="1011">
        <v>0.59532996692331042</v>
      </c>
      <c r="C18" s="1011"/>
      <c r="D18" s="293" t="s">
        <v>765</v>
      </c>
      <c r="E18" s="15"/>
    </row>
    <row r="19" spans="1:5">
      <c r="A19" s="167" t="s">
        <v>734</v>
      </c>
      <c r="B19" s="1011">
        <v>7.1008684322337902E-3</v>
      </c>
      <c r="C19" s="1011"/>
      <c r="D19" s="225"/>
      <c r="E19" s="15"/>
    </row>
    <row r="20" spans="1:5">
      <c r="A20" s="167" t="s">
        <v>735</v>
      </c>
      <c r="B20" s="1011"/>
      <c r="C20" s="1011"/>
      <c r="D20" s="225"/>
      <c r="E20" s="15"/>
    </row>
    <row r="21" spans="1:5">
      <c r="A21" s="167" t="s">
        <v>736</v>
      </c>
      <c r="B21" s="1011">
        <v>1.6335190651930662E-2</v>
      </c>
      <c r="C21" s="1011"/>
      <c r="D21" s="225"/>
      <c r="E21" s="15"/>
    </row>
    <row r="22" spans="1:5">
      <c r="A22" s="167" t="s">
        <v>737</v>
      </c>
      <c r="B22" s="1011">
        <v>0.2652511439871737</v>
      </c>
      <c r="C22" s="1011"/>
      <c r="D22" s="225"/>
      <c r="E22" s="15"/>
    </row>
    <row r="23" spans="1:5">
      <c r="A23" s="167" t="s">
        <v>78</v>
      </c>
      <c r="B23" s="1011"/>
      <c r="C23" s="1011"/>
      <c r="D23" s="224"/>
      <c r="E23" s="52"/>
    </row>
    <row r="24" spans="1:5">
      <c r="A24" s="167" t="s">
        <v>738</v>
      </c>
      <c r="B24" s="1011">
        <v>0.11598283000535101</v>
      </c>
      <c r="C24" s="1011">
        <v>0.16799975976739334</v>
      </c>
      <c r="D24" s="224"/>
      <c r="E24" s="15"/>
    </row>
    <row r="25" spans="1:5" s="15" customFormat="1">
      <c r="A25" s="167"/>
      <c r="B25" s="29"/>
      <c r="C25" s="29"/>
      <c r="D25" s="224"/>
    </row>
    <row r="26" spans="1:5" s="15" customFormat="1">
      <c r="A26" s="226" t="s">
        <v>769</v>
      </c>
      <c r="B26" s="37">
        <f>aantalHuishoudens</f>
        <v>6810</v>
      </c>
      <c r="C26" s="36"/>
      <c r="D26" s="224"/>
    </row>
    <row r="27" spans="1:5" s="15" customFormat="1">
      <c r="A27" s="226" t="s">
        <v>770</v>
      </c>
      <c r="B27" s="37">
        <f>SUM(HH_hh_gas_aantal,HH_rest_gas_aantal)</f>
        <v>3653</v>
      </c>
      <c r="C27" s="36"/>
      <c r="D27" s="224"/>
    </row>
    <row r="28" spans="1:5" s="15" customFormat="1">
      <c r="A28" s="227"/>
      <c r="B28" s="29"/>
      <c r="C28" s="36"/>
      <c r="D28" s="228"/>
    </row>
    <row r="29" spans="1:5">
      <c r="A29" s="3"/>
      <c r="B29" s="43"/>
      <c r="C29" s="43"/>
      <c r="D29" s="170"/>
    </row>
    <row r="30" spans="1:5">
      <c r="A30" s="168" t="s">
        <v>446</v>
      </c>
      <c r="B30" s="165" t="s">
        <v>762</v>
      </c>
      <c r="C30" s="165" t="s">
        <v>763</v>
      </c>
      <c r="D30" s="170"/>
    </row>
    <row r="31" spans="1:5">
      <c r="A31" s="167" t="s">
        <v>739</v>
      </c>
      <c r="B31" s="33">
        <f>B27-(0.05*B27)</f>
        <v>3470.35</v>
      </c>
      <c r="C31" s="34" t="s">
        <v>104</v>
      </c>
      <c r="D31" s="170"/>
    </row>
    <row r="32" spans="1:5">
      <c r="A32" s="167" t="s">
        <v>72</v>
      </c>
      <c r="B32" s="33">
        <f>IF((B21*($B$26-($B$27-0.05*$B$27)-$B$60))&lt;0,0,(B21*($B$26-($B$27-0.05*$B$27)-$B$60)))</f>
        <v>51.825842621847812</v>
      </c>
      <c r="C32" s="34" t="s">
        <v>104</v>
      </c>
      <c r="D32" s="170"/>
    </row>
    <row r="33" spans="1:6">
      <c r="A33" s="167" t="s">
        <v>73</v>
      </c>
      <c r="B33" s="33">
        <f>IF((B22*($B$26-($B$27-0.05*$B$27)-$B$60))&lt;0,0,B22*($B$26-($B$27-0.05*$B$27)-$B$60))</f>
        <v>841.54904197090661</v>
      </c>
      <c r="C33" s="34" t="s">
        <v>104</v>
      </c>
      <c r="D33" s="170"/>
    </row>
    <row r="34" spans="1:6">
      <c r="A34" s="167" t="s">
        <v>74</v>
      </c>
      <c r="B34" s="33">
        <f>IF((B24*($B$26-($B$27-0.05*$B$27)-$B$60))&lt;0,0,B24*($B$26-($B$27-0.05*$B$27)-$B$60))</f>
        <v>367.97292561647686</v>
      </c>
      <c r="C34" s="33">
        <f>B26*C24</f>
        <v>1144.0783640159486</v>
      </c>
      <c r="D34" s="229"/>
    </row>
    <row r="35" spans="1:6">
      <c r="A35" s="167" t="s">
        <v>76</v>
      </c>
      <c r="B35" s="33">
        <f>IF((B19*($B$26-($B$27-0.05*$B$27)-$B$60))&lt;0,0,B19*($B$26-($B$27-0.05*$B$27)-$B$60))</f>
        <v>22.528570231526537</v>
      </c>
      <c r="C35" s="33">
        <f>B35/2</f>
        <v>11.264285115763268</v>
      </c>
      <c r="D35" s="229"/>
    </row>
    <row r="36" spans="1:6">
      <c r="A36" s="167" t="s">
        <v>77</v>
      </c>
      <c r="B36" s="33">
        <f>IF((B18*($B$26-($B$27-0.05*$B$27)-$B$60))&lt;0,0,B18*($B$26-($B$27-0.05*$B$27)-$B$60))</f>
        <v>1888.7736195592408</v>
      </c>
      <c r="C36" s="34" t="s">
        <v>104</v>
      </c>
      <c r="D36" s="170"/>
    </row>
    <row r="37" spans="1:6">
      <c r="A37" s="167" t="s">
        <v>78</v>
      </c>
      <c r="B37" s="33">
        <f>B60</f>
        <v>167</v>
      </c>
      <c r="C37" s="34" t="s">
        <v>104</v>
      </c>
      <c r="D37" s="170"/>
    </row>
    <row r="38" spans="1:6">
      <c r="A38" s="3"/>
      <c r="B38" s="43"/>
      <c r="C38" s="43"/>
      <c r="D38" s="170"/>
    </row>
    <row r="39" spans="1:6">
      <c r="A39" s="168" t="s">
        <v>449</v>
      </c>
      <c r="B39" s="164" t="s">
        <v>761</v>
      </c>
      <c r="C39" s="164" t="s">
        <v>764</v>
      </c>
      <c r="D39" s="293" t="s">
        <v>765</v>
      </c>
      <c r="E39" s="161"/>
      <c r="F39" s="161"/>
    </row>
    <row r="40" spans="1:6">
      <c r="A40" s="167" t="s">
        <v>70</v>
      </c>
      <c r="B40" s="162">
        <v>12.514355462013905</v>
      </c>
      <c r="C40" s="166" t="s">
        <v>104</v>
      </c>
      <c r="D40" s="169"/>
      <c r="E40" s="162"/>
      <c r="F40" s="162"/>
    </row>
    <row r="41" spans="1:6">
      <c r="A41" s="167" t="s">
        <v>72</v>
      </c>
      <c r="B41" s="162">
        <v>57.923571377348672</v>
      </c>
      <c r="C41" s="166" t="s">
        <v>104</v>
      </c>
      <c r="D41" s="169"/>
      <c r="E41" s="162"/>
      <c r="F41" s="162"/>
    </row>
    <row r="42" spans="1:6">
      <c r="A42" s="167" t="s">
        <v>73</v>
      </c>
      <c r="B42" s="162">
        <v>8.1128657100079504</v>
      </c>
      <c r="C42" s="166" t="s">
        <v>104</v>
      </c>
      <c r="D42" s="169"/>
      <c r="E42" s="162"/>
      <c r="F42" s="162"/>
    </row>
    <row r="43" spans="1:6">
      <c r="A43" s="167" t="s">
        <v>74</v>
      </c>
      <c r="B43" s="166">
        <v>8.4267190523919169</v>
      </c>
      <c r="C43" s="166">
        <v>4.9359098515135287</v>
      </c>
      <c r="D43" s="169"/>
      <c r="E43" s="162"/>
      <c r="F43" s="162"/>
    </row>
    <row r="44" spans="1:6">
      <c r="A44" s="167" t="s">
        <v>76</v>
      </c>
      <c r="B44" s="162">
        <v>10.168690195300186</v>
      </c>
      <c r="C44" s="166">
        <v>1.2720667098707295</v>
      </c>
      <c r="D44" s="169"/>
      <c r="E44" s="162"/>
      <c r="F44" s="162"/>
    </row>
    <row r="45" spans="1:6">
      <c r="A45" s="167" t="s">
        <v>77</v>
      </c>
      <c r="B45" s="166">
        <v>20.134845742803826</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447</v>
      </c>
      <c r="B49" s="199"/>
      <c r="C49" s="199"/>
      <c r="D49" s="200"/>
    </row>
    <row r="50" spans="1:4" s="15" customFormat="1">
      <c r="A50" s="168"/>
      <c r="B50" s="32"/>
      <c r="C50" s="32"/>
      <c r="D50" s="201"/>
    </row>
    <row r="51" spans="1:4" s="15" customFormat="1">
      <c r="A51" s="202"/>
      <c r="B51" s="203"/>
      <c r="C51" s="204" t="s">
        <v>362</v>
      </c>
      <c r="D51" s="218" t="s">
        <v>175</v>
      </c>
    </row>
    <row r="52" spans="1:4">
      <c r="A52" s="167" t="s">
        <v>255</v>
      </c>
      <c r="B52" s="310">
        <f>aantalZB_NB_wonen+aantalZB_NB_wonen_met_kantoor+ZB_HH_bestaande_bouw</f>
        <v>362</v>
      </c>
      <c r="C52" s="43"/>
      <c r="D52" s="169"/>
    </row>
    <row r="53" spans="1:4">
      <c r="A53" s="167" t="s">
        <v>444</v>
      </c>
      <c r="B53" s="306">
        <v>5.3300370073084435</v>
      </c>
      <c r="C53" s="43"/>
      <c r="D53" s="300" t="s">
        <v>686</v>
      </c>
    </row>
    <row r="54" spans="1:4">
      <c r="A54" s="240" t="s">
        <v>445</v>
      </c>
      <c r="B54" s="311">
        <f>1.34/3.6</f>
        <v>0.37222222222222223</v>
      </c>
      <c r="C54" s="43" t="s">
        <v>208</v>
      </c>
      <c r="D54" s="300" t="s">
        <v>687</v>
      </c>
    </row>
    <row r="55" spans="1:4">
      <c r="A55" s="171"/>
      <c r="B55" s="241"/>
      <c r="C55" s="174"/>
      <c r="D55" s="175"/>
    </row>
    <row r="56" spans="1:4">
      <c r="D56" s="163"/>
    </row>
    <row r="57" spans="1:4">
      <c r="A57" s="190" t="s">
        <v>448</v>
      </c>
      <c r="B57" s="199"/>
      <c r="C57" s="199"/>
      <c r="D57" s="200"/>
    </row>
    <row r="58" spans="1:4">
      <c r="A58" s="168"/>
      <c r="B58" s="32"/>
      <c r="C58" s="32"/>
      <c r="D58" s="205"/>
    </row>
    <row r="59" spans="1:4">
      <c r="A59" s="179"/>
      <c r="B59" s="178"/>
      <c r="C59" s="204" t="s">
        <v>362</v>
      </c>
      <c r="D59" s="219" t="s">
        <v>175</v>
      </c>
    </row>
    <row r="60" spans="1:4">
      <c r="A60" s="167" t="s">
        <v>255</v>
      </c>
      <c r="B60" s="310">
        <f>aantalWP_NB_wonen+aantalWP_NB_wonen_met_kantoor+WP_HH_bestaande_bouw</f>
        <v>167</v>
      </c>
      <c r="C60" s="32"/>
      <c r="D60" s="173"/>
    </row>
    <row r="61" spans="1:4">
      <c r="A61" s="167" t="s">
        <v>414</v>
      </c>
      <c r="B61" s="306">
        <v>8.5956185892968069</v>
      </c>
      <c r="C61" s="32" t="s">
        <v>252</v>
      </c>
      <c r="D61" s="300" t="s">
        <v>686</v>
      </c>
    </row>
    <row r="62" spans="1:4">
      <c r="A62" s="167" t="s">
        <v>415</v>
      </c>
      <c r="B62" s="306">
        <v>1671.14092090028</v>
      </c>
      <c r="C62" s="32" t="s">
        <v>254</v>
      </c>
      <c r="D62" s="300" t="s">
        <v>686</v>
      </c>
    </row>
    <row r="63" spans="1:4">
      <c r="A63" s="167" t="s">
        <v>379</v>
      </c>
      <c r="B63" s="306">
        <v>3.75</v>
      </c>
      <c r="C63" s="43"/>
      <c r="D63" s="300" t="s">
        <v>687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149</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21430.019382814582</v>
      </c>
      <c r="C5" s="17">
        <f>IF(ISERROR('Eigen informatie GS &amp; warmtenet'!B60),0,'Eigen informatie GS &amp; warmtenet'!B60)</f>
        <v>0</v>
      </c>
      <c r="D5" s="30">
        <f>SUM(D6:D12)</f>
        <v>31436.859660277551</v>
      </c>
      <c r="E5" s="17">
        <f>SUM(E6:E12)</f>
        <v>43.953008577626228</v>
      </c>
      <c r="F5" s="17">
        <f>SUM(F6:F12)</f>
        <v>4394.8847957296121</v>
      </c>
      <c r="G5" s="18"/>
      <c r="H5" s="17"/>
      <c r="I5" s="17"/>
      <c r="J5" s="17">
        <f>SUM(J6:J12)</f>
        <v>3.748439021373131E-2</v>
      </c>
      <c r="K5" s="17"/>
      <c r="L5" s="17"/>
      <c r="M5" s="17"/>
      <c r="N5" s="17">
        <f>SUM(N6:N12)</f>
        <v>1437.830149118678</v>
      </c>
      <c r="O5" s="17">
        <f>B38*B39*B40</f>
        <v>14.691782297523464</v>
      </c>
      <c r="P5" s="17">
        <f>B46*B47*B48/1000-B46*B47*B48/1000/B49</f>
        <v>262.69569153247511</v>
      </c>
      <c r="R5" s="32"/>
    </row>
    <row r="6" spans="1:18">
      <c r="A6" s="32" t="s">
        <v>53</v>
      </c>
      <c r="B6" s="37">
        <f>B26</f>
        <v>4046.4860382122797</v>
      </c>
      <c r="C6" s="33"/>
      <c r="D6" s="37">
        <f>IF(ISERROR(TER_kantoor_gas_kWh/1000),0,TER_kantoor_gas_kWh/1000)*0.903</f>
        <v>3090.3538286305957</v>
      </c>
      <c r="E6" s="33">
        <f>$C$26*'E Balans VL '!I12/100/3.6*1000000</f>
        <v>0</v>
      </c>
      <c r="F6" s="33">
        <f>$C$26*('E Balans VL '!L12+'E Balans VL '!N12)/100/3.6*1000000</f>
        <v>462.63274813759381</v>
      </c>
      <c r="G6" s="34"/>
      <c r="H6" s="33"/>
      <c r="I6" s="33"/>
      <c r="J6" s="33">
        <f>$C$26*('E Balans VL '!D12+'E Balans VL '!E12)/100/3.6*1000000</f>
        <v>0</v>
      </c>
      <c r="K6" s="33"/>
      <c r="L6" s="33"/>
      <c r="M6" s="33"/>
      <c r="N6" s="33">
        <f>$C$26*'E Balans VL '!Y12/100/3.6*1000000</f>
        <v>4.5832565342818912</v>
      </c>
      <c r="O6" s="33"/>
      <c r="P6" s="33"/>
      <c r="R6" s="32"/>
    </row>
    <row r="7" spans="1:18">
      <c r="A7" s="32" t="s">
        <v>52</v>
      </c>
      <c r="B7" s="37">
        <f t="shared" ref="B7:B12" si="0">B27</f>
        <v>5684.7976555845898</v>
      </c>
      <c r="C7" s="33"/>
      <c r="D7" s="37">
        <f>IF(ISERROR(TER_horeca_gas_kWh/1000),0,TER_horeca_gas_kWh/1000)*0.903</f>
        <v>18929.175952220361</v>
      </c>
      <c r="E7" s="33">
        <f>$C$27*'E Balans VL '!I9/100/3.6*1000000</f>
        <v>0</v>
      </c>
      <c r="F7" s="33">
        <f>$C$27*('E Balans VL '!L9+'E Balans VL '!N9)/100/3.6*1000000</f>
        <v>597.60466081275149</v>
      </c>
      <c r="G7" s="34"/>
      <c r="H7" s="33"/>
      <c r="I7" s="33"/>
      <c r="J7" s="33">
        <f>$C$27*('E Balans VL '!D9+'E Balans VL '!E9)/100/3.6*1000000</f>
        <v>0</v>
      </c>
      <c r="K7" s="33"/>
      <c r="L7" s="33"/>
      <c r="M7" s="33"/>
      <c r="N7" s="33">
        <f>$C$27*'E Balans VL '!Y9/100/3.6*1000000</f>
        <v>64.036420317199173</v>
      </c>
      <c r="O7" s="33"/>
      <c r="P7" s="33"/>
      <c r="R7" s="32"/>
    </row>
    <row r="8" spans="1:18">
      <c r="A8" s="6" t="s">
        <v>51</v>
      </c>
      <c r="B8" s="37">
        <f t="shared" si="0"/>
        <v>6188.82955558713</v>
      </c>
      <c r="C8" s="33"/>
      <c r="D8" s="37">
        <f>IF(ISERROR(TER_handel_gas_kWh/1000),0,TER_handel_gas_kWh/1000)*0.903</f>
        <v>3591.96024680247</v>
      </c>
      <c r="E8" s="33">
        <f>$C$28*'E Balans VL '!I13/100/3.6*1000000</f>
        <v>1.3340345635566648</v>
      </c>
      <c r="F8" s="33">
        <f>$C$28*('E Balans VL '!L13+'E Balans VL '!N13)/100/3.6*1000000</f>
        <v>870.34277831100428</v>
      </c>
      <c r="G8" s="34"/>
      <c r="H8" s="33"/>
      <c r="I8" s="33"/>
      <c r="J8" s="33">
        <f>$C$28*('E Balans VL '!D13+'E Balans VL '!E13)/100/3.6*1000000</f>
        <v>0</v>
      </c>
      <c r="K8" s="33"/>
      <c r="L8" s="33"/>
      <c r="M8" s="33"/>
      <c r="N8" s="33">
        <f>$C$28*'E Balans VL '!Y13/100/3.6*1000000</f>
        <v>5.9382981104623296</v>
      </c>
      <c r="O8" s="33"/>
      <c r="P8" s="33"/>
      <c r="R8" s="32"/>
    </row>
    <row r="9" spans="1:18">
      <c r="A9" s="32" t="s">
        <v>50</v>
      </c>
      <c r="B9" s="37">
        <f t="shared" si="0"/>
        <v>1881.1649213642102</v>
      </c>
      <c r="C9" s="33"/>
      <c r="D9" s="37">
        <f>IF(ISERROR(TER_gezond_gas_kWh/1000),0,TER_gezond_gas_kWh/1000)*0.903</f>
        <v>3656.698156463854</v>
      </c>
      <c r="E9" s="33">
        <f>$C$29*'E Balans VL '!I10/100/3.6*1000000</f>
        <v>0</v>
      </c>
      <c r="F9" s="33">
        <f>$C$29*('E Balans VL '!L10+'E Balans VL '!N10)/100/3.6*1000000</f>
        <v>51.224631070753368</v>
      </c>
      <c r="G9" s="34"/>
      <c r="H9" s="33"/>
      <c r="I9" s="33"/>
      <c r="J9" s="33">
        <f>$C$29*('E Balans VL '!D10+'E Balans VL '!E10)/100/3.6*1000000</f>
        <v>0</v>
      </c>
      <c r="K9" s="33"/>
      <c r="L9" s="33"/>
      <c r="M9" s="33"/>
      <c r="N9" s="33">
        <f>$C$29*'E Balans VL '!Y10/100/3.6*1000000</f>
        <v>11.926622470086121</v>
      </c>
      <c r="O9" s="33"/>
      <c r="P9" s="33"/>
      <c r="R9" s="32"/>
    </row>
    <row r="10" spans="1:18">
      <c r="A10" s="32" t="s">
        <v>49</v>
      </c>
      <c r="B10" s="37">
        <f t="shared" si="0"/>
        <v>3497.34850952331</v>
      </c>
      <c r="C10" s="33"/>
      <c r="D10" s="37">
        <f>IF(ISERROR(TER_ander_gas_kWh/1000),0,TER_ander_gas_kWh/1000)*0.903</f>
        <v>1157.7642000121843</v>
      </c>
      <c r="E10" s="33">
        <f>$C$30*'E Balans VL '!I14/100/3.6*1000000</f>
        <v>42.618974014069565</v>
      </c>
      <c r="F10" s="33">
        <f>$C$30*('E Balans VL '!L14+'E Balans VL '!N14)/100/3.6*1000000</f>
        <v>2407.5890035013222</v>
      </c>
      <c r="G10" s="34"/>
      <c r="H10" s="33"/>
      <c r="I10" s="33"/>
      <c r="J10" s="33">
        <f>$C$30*('E Balans VL '!D14+'E Balans VL '!E14)/100/3.6*1000000</f>
        <v>3.748439021373131E-2</v>
      </c>
      <c r="K10" s="33"/>
      <c r="L10" s="33"/>
      <c r="M10" s="33"/>
      <c r="N10" s="33">
        <f>$C$30*'E Balans VL '!Y14/100/3.6*1000000</f>
        <v>1351.0189778984086</v>
      </c>
      <c r="O10" s="33"/>
      <c r="P10" s="33"/>
      <c r="R10" s="32"/>
    </row>
    <row r="11" spans="1:18">
      <c r="A11" s="32" t="s">
        <v>54</v>
      </c>
      <c r="B11" s="37">
        <f t="shared" si="0"/>
        <v>131.392702543063</v>
      </c>
      <c r="C11" s="33"/>
      <c r="D11" s="37">
        <f>IF(ISERROR(TER_onderwijs_gas_kWh/1000),0,TER_onderwijs_gas_kWh/1000)*0.903</f>
        <v>1010.9072761480808</v>
      </c>
      <c r="E11" s="33">
        <f>$C$31*'E Balans VL '!I11/100/3.6*1000000</f>
        <v>0</v>
      </c>
      <c r="F11" s="33">
        <f>$C$31*('E Balans VL '!L11+'E Balans VL '!N11)/100/3.6*1000000</f>
        <v>5.4909738961872669</v>
      </c>
      <c r="G11" s="34"/>
      <c r="H11" s="33"/>
      <c r="I11" s="33"/>
      <c r="J11" s="33">
        <f>$C$31*('E Balans VL '!D11+'E Balans VL '!E11)/100/3.6*1000000</f>
        <v>0</v>
      </c>
      <c r="K11" s="33"/>
      <c r="L11" s="33"/>
      <c r="M11" s="33"/>
      <c r="N11" s="33">
        <f>$C$31*'E Balans VL '!Y11/100/3.6*1000000</f>
        <v>0.3265737882399451</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807</v>
      </c>
      <c r="B13" s="242">
        <f ca="1">'lokale energieproductie'!N38+'lokale energieproductie'!N31</f>
        <v>0</v>
      </c>
      <c r="C13" s="242">
        <f ca="1">'lokale energieproductie'!O38+'lokale energieproductie'!O31</f>
        <v>0</v>
      </c>
      <c r="D13" s="301">
        <f ca="1">('lokale energieproductie'!P31+'lokale energieproductie'!P38)*(-1)</f>
        <v>0</v>
      </c>
      <c r="E13" s="301">
        <f ca="1">('lokale energieproductie'!X31+'lokale energieproductie'!X38)*(-1)</f>
        <v>0</v>
      </c>
      <c r="F13" s="301">
        <f ca="1">('lokale energieproductie'!S31+'lokale energieproductie'!S38)*(-1)</f>
        <v>0</v>
      </c>
      <c r="G13" s="244"/>
      <c r="H13" s="243"/>
      <c r="I13" s="243"/>
      <c r="J13" s="243"/>
      <c r="K13" s="243"/>
      <c r="L13" s="301">
        <f ca="1">('lokale energieproductie'!U31+'lokale energieproductie'!T31+'lokale energieproductie'!U38+'lokale energieproductie'!T38)*(-1)</f>
        <v>0</v>
      </c>
      <c r="M13" s="243"/>
      <c r="N13" s="301">
        <f ca="1">('lokale energieproductie'!Q31+'lokale energieproductie'!R31+'lokale energieproductie'!V31+'lokale energieproductie'!Q38+'lokale energieproductie'!R38+'lokale energieproductie'!V38)*(-1)</f>
        <v>0</v>
      </c>
      <c r="O13" s="243"/>
      <c r="P13" s="243"/>
      <c r="R13" s="32"/>
    </row>
    <row r="14" spans="1:18">
      <c r="A14" s="16" t="s">
        <v>468</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21430.019382814582</v>
      </c>
      <c r="C16" s="21">
        <f t="shared" ca="1" si="1"/>
        <v>0</v>
      </c>
      <c r="D16" s="21">
        <f t="shared" ca="1" si="1"/>
        <v>31436.859660277551</v>
      </c>
      <c r="E16" s="21">
        <f t="shared" ca="1" si="1"/>
        <v>43.953008577626228</v>
      </c>
      <c r="F16" s="21">
        <f t="shared" ca="1" si="1"/>
        <v>4394.8847957296121</v>
      </c>
      <c r="G16" s="21">
        <f t="shared" si="1"/>
        <v>0</v>
      </c>
      <c r="H16" s="21">
        <f t="shared" si="1"/>
        <v>0</v>
      </c>
      <c r="I16" s="21">
        <f t="shared" si="1"/>
        <v>0</v>
      </c>
      <c r="J16" s="21">
        <f t="shared" si="1"/>
        <v>3.748439021373131E-2</v>
      </c>
      <c r="K16" s="21">
        <f t="shared" si="1"/>
        <v>0</v>
      </c>
      <c r="L16" s="21">
        <f t="shared" ca="1" si="1"/>
        <v>0</v>
      </c>
      <c r="M16" s="21">
        <f t="shared" si="1"/>
        <v>0</v>
      </c>
      <c r="N16" s="21">
        <f t="shared" ca="1" si="1"/>
        <v>1437.830149118678</v>
      </c>
      <c r="O16" s="21">
        <f>O5</f>
        <v>14.691782297523464</v>
      </c>
      <c r="P16" s="21">
        <f>P5</f>
        <v>262.69569153247511</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0.16494846667445565</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3534.8488379991295</v>
      </c>
      <c r="C20" s="23">
        <f t="shared" ref="C20:P20" ca="1" si="2">C16*C18</f>
        <v>0</v>
      </c>
      <c r="D20" s="23">
        <f t="shared" ca="1" si="2"/>
        <v>6350.2456513760653</v>
      </c>
      <c r="E20" s="23">
        <f t="shared" ca="1" si="2"/>
        <v>9.9773329471211536</v>
      </c>
      <c r="F20" s="23">
        <f t="shared" ca="1" si="2"/>
        <v>1173.4342404598065</v>
      </c>
      <c r="G20" s="23">
        <f t="shared" si="2"/>
        <v>0</v>
      </c>
      <c r="H20" s="23">
        <f t="shared" si="2"/>
        <v>0</v>
      </c>
      <c r="I20" s="23">
        <f t="shared" si="2"/>
        <v>0</v>
      </c>
      <c r="J20" s="23">
        <f t="shared" si="2"/>
        <v>1.3269474135660883E-2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454</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4046.4860382122797</v>
      </c>
      <c r="C26" s="39">
        <f>IF(ISERROR(B26*3.6/1000000/'E Balans VL '!Z12*100),0,B26*3.6/1000000/'E Balans VL '!Z12*100)</f>
        <v>0.12438917897767406</v>
      </c>
      <c r="D26" s="232" t="s">
        <v>768</v>
      </c>
      <c r="F26" s="6"/>
    </row>
    <row r="27" spans="1:18" ht="30">
      <c r="A27" s="227" t="s">
        <v>52</v>
      </c>
      <c r="B27" s="33">
        <f>IF(ISERROR(TER_horeca_ele_kWh/1000),0,TER_horeca_ele_kWh/1000)</f>
        <v>5684.7976555845898</v>
      </c>
      <c r="C27" s="39">
        <f>IF(ISERROR(B27*3.6/1000000/'E Balans VL '!Z9*100),0,B27*3.6/1000000/'E Balans VL '!Z9*100)</f>
        <v>0.46159674363008579</v>
      </c>
      <c r="D27" s="232" t="s">
        <v>768</v>
      </c>
      <c r="F27" s="6"/>
    </row>
    <row r="28" spans="1:18" ht="30">
      <c r="A28" s="167" t="s">
        <v>51</v>
      </c>
      <c r="B28" s="33">
        <f>IF(ISERROR(TER_handel_ele_kWh/1000),0,TER_handel_ele_kWh/1000)</f>
        <v>6188.82955558713</v>
      </c>
      <c r="C28" s="39">
        <f>IF(ISERROR(B28*3.6/1000000/'E Balans VL '!Z13*100),0,B28*3.6/1000000/'E Balans VL '!Z13*100)</f>
        <v>0.2034968113852314</v>
      </c>
      <c r="D28" s="232" t="s">
        <v>768</v>
      </c>
      <c r="F28" s="6"/>
    </row>
    <row r="29" spans="1:18" ht="30">
      <c r="A29" s="227" t="s">
        <v>50</v>
      </c>
      <c r="B29" s="33">
        <f>IF(ISERROR(TER_gezond_ele_kWh/1000),0,TER_gezond_ele_kWh/1000)</f>
        <v>1881.1649213642102</v>
      </c>
      <c r="C29" s="39">
        <f>IF(ISERROR(B29*3.6/1000000/'E Balans VL '!Z10*100),0,B29*3.6/1000000/'E Balans VL '!Z10*100)</f>
        <v>0.18354482349590495</v>
      </c>
      <c r="D29" s="232" t="s">
        <v>768</v>
      </c>
      <c r="F29" s="6"/>
    </row>
    <row r="30" spans="1:18" ht="30">
      <c r="A30" s="227" t="s">
        <v>49</v>
      </c>
      <c r="B30" s="33">
        <f>IF(ISERROR(TER_ander_ele_kWh/1000),0,TER_ander_ele_kWh/1000)</f>
        <v>3497.34850952331</v>
      </c>
      <c r="C30" s="39">
        <f>IF(ISERROR(B30*3.6/1000000/'E Balans VL '!Z14*100),0,B30*3.6/1000000/'E Balans VL '!Z14*100)</f>
        <v>0.15351968688217602</v>
      </c>
      <c r="D30" s="232" t="s">
        <v>768</v>
      </c>
      <c r="F30" s="6"/>
    </row>
    <row r="31" spans="1:18" ht="30">
      <c r="A31" s="227" t="s">
        <v>54</v>
      </c>
      <c r="B31" s="33">
        <f>IF(ISERROR(TER_onderwijs_ele_kWh/1000),0,TER_onderwijs_ele_kWh/1000)</f>
        <v>131.392702543063</v>
      </c>
      <c r="C31" s="39">
        <f>IF(ISERROR(B31*3.6/1000000/'E Balans VL '!Z11*100),0,B31*3.6/1000000/'E Balans VL '!Z11*100)</f>
        <v>4.5012996132368276E-2</v>
      </c>
      <c r="D31" s="232" t="s">
        <v>768</v>
      </c>
    </row>
    <row r="32" spans="1:18" ht="30">
      <c r="A32" s="227" t="s">
        <v>249</v>
      </c>
      <c r="B32" s="33">
        <f>IF(ISERROR(TER_rest_ele_kWh/1000),0,TER_rest_ele_kWh/1000)</f>
        <v>0</v>
      </c>
      <c r="C32" s="39">
        <f>IF(ISERROR(B32*3.6/1000000/'E Balans VL '!Z8*100),0,B32*3.6/1000000/'E Balans VL '!Z8*100)</f>
        <v>0</v>
      </c>
      <c r="D32" s="232" t="s">
        <v>768</v>
      </c>
    </row>
    <row r="33" spans="1:4">
      <c r="A33" s="235"/>
      <c r="B33" s="176"/>
      <c r="C33" s="176"/>
      <c r="D33" s="236"/>
    </row>
    <row r="34" spans="1:4">
      <c r="A34" s="32"/>
      <c r="B34" s="32"/>
      <c r="C34" s="32"/>
    </row>
    <row r="35" spans="1:4">
      <c r="A35" s="189" t="s">
        <v>447</v>
      </c>
      <c r="B35" s="199"/>
      <c r="C35" s="199"/>
      <c r="D35" s="221"/>
    </row>
    <row r="36" spans="1:4">
      <c r="A36" s="231"/>
      <c r="B36" s="32"/>
      <c r="C36" s="32"/>
      <c r="D36" s="228"/>
    </row>
    <row r="37" spans="1:4">
      <c r="A37" s="237"/>
      <c r="B37" s="238"/>
      <c r="C37" s="220" t="s">
        <v>362</v>
      </c>
      <c r="D37" s="239" t="s">
        <v>175</v>
      </c>
    </row>
    <row r="38" spans="1:4">
      <c r="A38" s="167" t="s">
        <v>255</v>
      </c>
      <c r="B38" s="310">
        <f>aantalZB_NB_ander+aantalZB_NB_ander_met_kantoor+aantalZB_NB_kantoor+aantalZB_NB_school+ZB_NHH_bestaande_bouw+aantalZB_NB_NIET_RESIDENTIEEL_EPN</f>
        <v>3</v>
      </c>
      <c r="C38" s="43"/>
      <c r="D38" s="228"/>
    </row>
    <row r="39" spans="1:4">
      <c r="A39" s="167" t="s">
        <v>444</v>
      </c>
      <c r="B39" s="306">
        <v>13.15681996793146</v>
      </c>
      <c r="C39" s="43"/>
      <c r="D39" s="300" t="s">
        <v>686</v>
      </c>
    </row>
    <row r="40" spans="1:4">
      <c r="A40" s="6" t="s">
        <v>445</v>
      </c>
      <c r="B40" s="311">
        <f>1.34/3.6</f>
        <v>0.37222222222222223</v>
      </c>
      <c r="C40" s="43" t="s">
        <v>208</v>
      </c>
      <c r="D40" s="300" t="s">
        <v>687</v>
      </c>
    </row>
    <row r="41" spans="1:4">
      <c r="A41" s="235"/>
      <c r="B41" s="176"/>
      <c r="C41" s="176"/>
      <c r="D41" s="236"/>
    </row>
    <row r="43" spans="1:4">
      <c r="A43" s="190" t="s">
        <v>448</v>
      </c>
      <c r="B43" s="199"/>
      <c r="C43" s="199"/>
      <c r="D43" s="221"/>
    </row>
    <row r="44" spans="1:4">
      <c r="A44" s="226"/>
      <c r="B44" s="32"/>
      <c r="C44" s="32"/>
      <c r="D44" s="228"/>
    </row>
    <row r="45" spans="1:4">
      <c r="A45" s="237"/>
      <c r="B45" s="238"/>
      <c r="C45" s="220" t="s">
        <v>362</v>
      </c>
      <c r="D45" s="239" t="s">
        <v>175</v>
      </c>
    </row>
    <row r="46" spans="1:4">
      <c r="A46" s="167" t="s">
        <v>255</v>
      </c>
      <c r="B46" s="523">
        <f>aantalWP_NB_ander+antalWP_NB_ander_met_kantoor+aantalWP_NB_kantoor+aantalWP_NB_school+WP_NHH_bestaande_bouw+aantalWP_NB_NIET_RESIDENTIEEL_EPN</f>
        <v>5</v>
      </c>
      <c r="C46" s="32"/>
      <c r="D46" s="228"/>
    </row>
    <row r="47" spans="1:4">
      <c r="A47" s="167" t="s">
        <v>414</v>
      </c>
      <c r="B47" s="524">
        <v>37.963784638354454</v>
      </c>
      <c r="C47" s="32" t="s">
        <v>252</v>
      </c>
      <c r="D47" s="300" t="s">
        <v>686</v>
      </c>
    </row>
    <row r="48" spans="1:4">
      <c r="A48" s="167" t="s">
        <v>415</v>
      </c>
      <c r="B48" s="524">
        <v>1887.1743212997605</v>
      </c>
      <c r="C48" s="32" t="s">
        <v>254</v>
      </c>
      <c r="D48" s="300" t="s">
        <v>686</v>
      </c>
    </row>
    <row r="49" spans="1:4">
      <c r="A49" s="167" t="s">
        <v>379</v>
      </c>
      <c r="B49" s="524">
        <v>3.75</v>
      </c>
      <c r="C49" s="32"/>
      <c r="D49" s="300" t="s">
        <v>687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156</v>
      </c>
      <c r="B1" s="1171" t="s">
        <v>188</v>
      </c>
      <c r="C1" s="1172"/>
      <c r="D1" s="1172"/>
      <c r="E1" s="1172"/>
      <c r="F1" s="1172"/>
      <c r="G1" s="1172"/>
      <c r="H1" s="1172"/>
      <c r="I1" s="1172"/>
      <c r="J1" s="1172"/>
      <c r="K1" s="1172"/>
      <c r="L1" s="1172"/>
      <c r="M1" s="1172"/>
      <c r="N1" s="1172"/>
      <c r="O1" s="1172"/>
      <c r="P1" s="1172"/>
      <c r="R1" s="719"/>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c r="R2" s="719"/>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19"/>
    </row>
    <row r="4" spans="1:18" ht="15.75">
      <c r="A4" s="13"/>
      <c r="B4" s="14"/>
      <c r="C4" s="14"/>
      <c r="D4" s="14"/>
      <c r="E4" s="14"/>
      <c r="F4" s="14"/>
      <c r="G4" s="14"/>
      <c r="H4" s="14"/>
      <c r="I4" s="14"/>
      <c r="J4" s="14"/>
      <c r="K4" s="14"/>
      <c r="L4" s="14"/>
      <c r="M4" s="14"/>
      <c r="N4" s="14"/>
      <c r="O4" s="14"/>
      <c r="P4" s="14"/>
      <c r="R4" s="6"/>
    </row>
    <row r="5" spans="1:18">
      <c r="A5" s="16" t="s">
        <v>258</v>
      </c>
      <c r="B5" s="30">
        <f>SUM(B6:B15)</f>
        <v>6699.069502024855</v>
      </c>
      <c r="C5" s="17">
        <f>IF(ISERROR('Eigen informatie GS &amp; warmtenet'!B61),0,'Eigen informatie GS &amp; warmtenet'!B61)</f>
        <v>0</v>
      </c>
      <c r="D5" s="30">
        <f>SUM(D6:D15)</f>
        <v>1971.308226776383</v>
      </c>
      <c r="E5" s="17">
        <f>SUM(E6:E15)</f>
        <v>144.8357254389791</v>
      </c>
      <c r="F5" s="17">
        <f>SUM(F6:F15)</f>
        <v>2261.9542582876311</v>
      </c>
      <c r="G5" s="18"/>
      <c r="H5" s="17"/>
      <c r="I5" s="17"/>
      <c r="J5" s="17">
        <f>SUM(J6:J15)</f>
        <v>27.889793029830379</v>
      </c>
      <c r="K5" s="17"/>
      <c r="L5" s="17"/>
      <c r="M5" s="17"/>
      <c r="N5" s="17">
        <f>SUM(N6:N15)</f>
        <v>54.690814080107188</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12.460756535120399</v>
      </c>
      <c r="C7" s="33"/>
      <c r="D7" s="37">
        <f>IF( ISERROR(IND_nonf_gas_kWhh/1000),0,IND_nonf_gas_kWh/1000)*0.903</f>
        <v>0</v>
      </c>
      <c r="E7" s="33">
        <f>C29*'E Balans VL '!I17/100/3.6*1000000</f>
        <v>0.10644426214983992</v>
      </c>
      <c r="F7" s="33">
        <f>C29*'E Balans VL '!L17/100/3.6*1000000+C29*'E Balans VL '!N17/100/3.6*1000000</f>
        <v>1.5119661985205595</v>
      </c>
      <c r="G7" s="34"/>
      <c r="H7" s="33"/>
      <c r="I7" s="33"/>
      <c r="J7" s="40">
        <f>C29*'E Balans VL '!D17/100/3.6*1000000+C29*'E Balans VL '!E17/100/3.6*1000000</f>
        <v>4.4499095317917829</v>
      </c>
      <c r="K7" s="33"/>
      <c r="L7" s="33"/>
      <c r="M7" s="33"/>
      <c r="N7" s="33">
        <f>C29*'E Balans VL '!Y17/100/3.6*1000000</f>
        <v>0</v>
      </c>
      <c r="O7" s="33"/>
      <c r="P7" s="33"/>
      <c r="R7" s="32"/>
    </row>
    <row r="8" spans="1:18">
      <c r="A8" s="6" t="s">
        <v>35</v>
      </c>
      <c r="B8" s="37">
        <f t="shared" si="0"/>
        <v>370.95366798666703</v>
      </c>
      <c r="C8" s="33"/>
      <c r="D8" s="37">
        <f>IF( ISERROR(IND_metaal_Gas_kWH/1000),0,IND_metaal_Gas_kWH/1000)*0.903</f>
        <v>154.37589549485793</v>
      </c>
      <c r="E8" s="33">
        <f>C30*'E Balans VL '!I18/100/3.6*1000000</f>
        <v>1.0801578994401415</v>
      </c>
      <c r="F8" s="33">
        <f>C30*'E Balans VL '!L18/100/3.6*1000000+C30*'E Balans VL '!N18/100/3.6*1000000</f>
        <v>14.256512306007702</v>
      </c>
      <c r="G8" s="34"/>
      <c r="H8" s="33"/>
      <c r="I8" s="33"/>
      <c r="J8" s="40">
        <f>C30*'E Balans VL '!D18/100/3.6*1000000+C30*'E Balans VL '!E18/100/3.6*1000000</f>
        <v>1.0023586966744624E-15</v>
      </c>
      <c r="K8" s="33"/>
      <c r="L8" s="33"/>
      <c r="M8" s="33"/>
      <c r="N8" s="33">
        <f>C30*'E Balans VL '!Y18/100/3.6*1000000</f>
        <v>5.5021201110482645</v>
      </c>
      <c r="O8" s="33"/>
      <c r="P8" s="33"/>
      <c r="R8" s="32"/>
    </row>
    <row r="9" spans="1:18">
      <c r="A9" s="6" t="s">
        <v>32</v>
      </c>
      <c r="B9" s="37">
        <f t="shared" si="0"/>
        <v>2056.1519217303498</v>
      </c>
      <c r="C9" s="33"/>
      <c r="D9" s="37">
        <f>IF( ISERROR(IND_andere_gas_kWh/1000),0,IND_andere_gas_kWh/1000)*0.903</f>
        <v>1317.5343134868274</v>
      </c>
      <c r="E9" s="33">
        <f>C31*'E Balans VL '!I19/100/3.6*1000000</f>
        <v>10.42706098267881</v>
      </c>
      <c r="F9" s="33">
        <f>C31*'E Balans VL '!L19/100/3.6*1000000+C31*'E Balans VL '!N19/100/3.6*1000000</f>
        <v>1556.1322149846203</v>
      </c>
      <c r="G9" s="34"/>
      <c r="H9" s="33"/>
      <c r="I9" s="33"/>
      <c r="J9" s="40">
        <f>C31*'E Balans VL '!D19/100/3.6*1000000+C31*'E Balans VL '!E19/100/3.6*1000000</f>
        <v>0</v>
      </c>
      <c r="K9" s="33"/>
      <c r="L9" s="33"/>
      <c r="M9" s="33"/>
      <c r="N9" s="33">
        <f>C31*'E Balans VL '!Y19/100/3.6*1000000</f>
        <v>75.689402474256454</v>
      </c>
      <c r="O9" s="33"/>
      <c r="P9" s="33"/>
      <c r="R9" s="32"/>
    </row>
    <row r="10" spans="1:18">
      <c r="A10" s="6" t="s">
        <v>40</v>
      </c>
      <c r="B10" s="37">
        <f t="shared" si="0"/>
        <v>166.01902202282298</v>
      </c>
      <c r="C10" s="33"/>
      <c r="D10" s="37">
        <f>IF( ISERROR(IND_voed_gas_kWh/1000),0,IND_voed_gas_kWh/1000)*0.903</f>
        <v>161.62975145105102</v>
      </c>
      <c r="E10" s="33">
        <f>C32*'E Balans VL '!I20/100/3.6*1000000</f>
        <v>0.19414346347045047</v>
      </c>
      <c r="F10" s="33">
        <f>C32*'E Balans VL '!L20/100/3.6*1000000+C32*'E Balans VL '!N20/100/3.6*1000000</f>
        <v>7.7523737063957476</v>
      </c>
      <c r="G10" s="34"/>
      <c r="H10" s="33"/>
      <c r="I10" s="33"/>
      <c r="J10" s="40">
        <f>C32*'E Balans VL '!D20/100/3.6*1000000+C32*'E Balans VL '!E20/100/3.6*1000000</f>
        <v>0</v>
      </c>
      <c r="K10" s="33"/>
      <c r="L10" s="33"/>
      <c r="M10" s="33"/>
      <c r="N10" s="33">
        <f>C32*'E Balans VL '!Y20/100/3.6*1000000</f>
        <v>9.5211885101070202</v>
      </c>
      <c r="O10" s="33"/>
      <c r="P10" s="33"/>
      <c r="R10" s="32"/>
    </row>
    <row r="11" spans="1:18">
      <c r="A11" s="6" t="s">
        <v>39</v>
      </c>
      <c r="B11" s="37">
        <f t="shared" si="0"/>
        <v>0</v>
      </c>
      <c r="C11" s="33"/>
      <c r="D11" s="37">
        <f>IF( ISERROR(IND_textiel_gas_kWh/1000),0,IND_textiel_gas_kWh/1000)*0.903</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ISERROR(IND_min_gas_kWh/1000),0,IND_min_gas_kWh/1000)*0.903</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1539.3278039920399</v>
      </c>
      <c r="C13" s="33"/>
      <c r="D13" s="37">
        <f>IF( ISERROR(IND_papier_gas_kWh/1000),0,IND_papier_gas_kWh/1000)*0.903</f>
        <v>0</v>
      </c>
      <c r="E13" s="33">
        <f>C35*'E Balans VL '!I23/100/3.6*1000000</f>
        <v>0</v>
      </c>
      <c r="F13" s="33">
        <f>C35*'E Balans VL '!L23/100/3.6*1000000+C35*'E Balans VL '!N23/100/3.6*1000000</f>
        <v>183.90447670091595</v>
      </c>
      <c r="G13" s="34"/>
      <c r="H13" s="33"/>
      <c r="I13" s="33"/>
      <c r="J13" s="40">
        <f>C35*'E Balans VL '!D23/100/3.6*1000000+C35*'E Balans VL '!E23/100/3.6*1000000</f>
        <v>9.2895947418614551</v>
      </c>
      <c r="K13" s="33"/>
      <c r="L13" s="33"/>
      <c r="M13" s="33"/>
      <c r="N13" s="33">
        <f>C35*'E Balans VL '!Y23/100/3.6*1000000</f>
        <v>-123.71113974958352</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2554.156329757855</v>
      </c>
      <c r="C15" s="33"/>
      <c r="D15" s="37">
        <f>IF( ISERROR(IND_rest_gas_kWh/1000),0,IND_rest_gas_kWh/1000)*0.903</f>
        <v>337.76826634364642</v>
      </c>
      <c r="E15" s="33">
        <f>C37*'E Balans VL '!I15/100/3.6*1000000</f>
        <v>133.02791883123984</v>
      </c>
      <c r="F15" s="33">
        <f>C37*'E Balans VL '!L15/100/3.6*1000000+C37*'E Balans VL '!N15/100/3.6*1000000</f>
        <v>498.39671439117092</v>
      </c>
      <c r="G15" s="34"/>
      <c r="H15" s="33"/>
      <c r="I15" s="33"/>
      <c r="J15" s="40">
        <f>C37*'E Balans VL '!D15/100/3.6*1000000+C37*'E Balans VL '!E15/100/3.6*1000000</f>
        <v>14.15028875617714</v>
      </c>
      <c r="K15" s="33"/>
      <c r="L15" s="33"/>
      <c r="M15" s="33"/>
      <c r="N15" s="33">
        <f>C37*'E Balans VL '!Y15/100/3.6*1000000</f>
        <v>87.689242734278963</v>
      </c>
      <c r="O15" s="33"/>
      <c r="P15" s="33"/>
      <c r="R15" s="32"/>
    </row>
    <row r="16" spans="1:18">
      <c r="A16" s="16" t="s">
        <v>808</v>
      </c>
      <c r="B16" s="242">
        <f>'lokale energieproductie'!N37+'lokale energieproductie'!N30</f>
        <v>0</v>
      </c>
      <c r="C16" s="242">
        <f>'lokale energieproductie'!O37+'lokale energieproductie'!O30</f>
        <v>0</v>
      </c>
      <c r="D16" s="301">
        <f>('lokale energieproductie'!P30+'lokale energieproductie'!P37)*(-1)</f>
        <v>0</v>
      </c>
      <c r="E16" s="301">
        <f>('lokale energieproductie'!X30+'lokale energieproductie'!X37)*(-1)</f>
        <v>0</v>
      </c>
      <c r="F16" s="301">
        <f>('lokale energieproductie'!S30+'lokale energieproductie'!S37)*(-1)</f>
        <v>0</v>
      </c>
      <c r="G16" s="244"/>
      <c r="H16" s="243"/>
      <c r="I16" s="243"/>
      <c r="J16" s="243"/>
      <c r="K16" s="243"/>
      <c r="L16" s="301">
        <f>('lokale energieproductie'!T30+'lokale energieproductie'!U30+'lokale energieproductie'!T37+'lokale energieproductie'!U37)*(-1)</f>
        <v>0</v>
      </c>
      <c r="M16" s="243"/>
      <c r="N16" s="301">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6699.069502024855</v>
      </c>
      <c r="C18" s="21">
        <f>C5+C16</f>
        <v>0</v>
      </c>
      <c r="D18" s="21">
        <f>MAX((D5+D16),0)</f>
        <v>1971.308226776383</v>
      </c>
      <c r="E18" s="21">
        <f>MAX((E5+E16),0)</f>
        <v>144.8357254389791</v>
      </c>
      <c r="F18" s="21">
        <f>MAX((F5+F16),0)</f>
        <v>2261.9542582876311</v>
      </c>
      <c r="G18" s="21"/>
      <c r="H18" s="21"/>
      <c r="I18" s="21"/>
      <c r="J18" s="21">
        <f>MAX((J5+J16),0)</f>
        <v>27.889793029830379</v>
      </c>
      <c r="K18" s="21"/>
      <c r="L18" s="21">
        <f>MAX((L5+L16),0)</f>
        <v>0</v>
      </c>
      <c r="M18" s="21"/>
      <c r="N18" s="21">
        <f>MAX((N5+N16),0)</f>
        <v>54.690814080107188</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0.16494846667445565</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1105.0012425046091</v>
      </c>
      <c r="C22" s="23">
        <f ca="1">C18*C20</f>
        <v>0</v>
      </c>
      <c r="D22" s="23">
        <f>D18*D20</f>
        <v>398.20426180882941</v>
      </c>
      <c r="E22" s="23">
        <f>E18*E20</f>
        <v>32.877709674648258</v>
      </c>
      <c r="F22" s="23">
        <f>F18*F20</f>
        <v>603.94178696279755</v>
      </c>
      <c r="G22" s="23"/>
      <c r="H22" s="23"/>
      <c r="I22" s="23"/>
      <c r="J22" s="23">
        <f>J18*J20</f>
        <v>9.8729867325599532</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454</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768</v>
      </c>
    </row>
    <row r="29" spans="1:18" ht="30">
      <c r="A29" s="167" t="s">
        <v>37</v>
      </c>
      <c r="B29" s="37">
        <f>IF( ISERROR(IND_nonf_ele_kWh/1000),0,IND_nonf_ele_kWh/1000)</f>
        <v>12.460756535120399</v>
      </c>
      <c r="C29" s="39">
        <f>IF(ISERROR(B29*3.6/1000000/'E Balans VL '!Z17*100),0,B29*3.6/1000000/'E Balans VL '!Z17*100)</f>
        <v>8.7909094630140034E-3</v>
      </c>
      <c r="D29" s="232" t="s">
        <v>768</v>
      </c>
    </row>
    <row r="30" spans="1:18" ht="30">
      <c r="A30" s="167" t="s">
        <v>35</v>
      </c>
      <c r="B30" s="37">
        <f>IF( ISERROR(IND_metaal_ele_kWh/1000),0,IND_metaal_ele_kWh/1000)</f>
        <v>370.95366798666703</v>
      </c>
      <c r="C30" s="39">
        <f>IF(ISERROR(B30*3.6/1000000/'E Balans VL '!Z18*100),0,B30*3.6/1000000/'E Balans VL '!Z18*100)</f>
        <v>2.6001920176327787E-2</v>
      </c>
      <c r="D30" s="232" t="s">
        <v>768</v>
      </c>
    </row>
    <row r="31" spans="1:18" ht="30">
      <c r="A31" s="6" t="s">
        <v>32</v>
      </c>
      <c r="B31" s="37">
        <f>IF( ISERROR(IND_ander_ele_kWh/1000),0,IND_ander_ele_kWh/1000)</f>
        <v>2056.1519217303498</v>
      </c>
      <c r="C31" s="39">
        <f>IF(ISERROR(B31*3.6/1000000/'E Balans VL '!Z19*100),0,B31*3.6/1000000/'E Balans VL '!Z19*100)</f>
        <v>9.6336304785716934E-2</v>
      </c>
      <c r="D31" s="232" t="s">
        <v>768</v>
      </c>
    </row>
    <row r="32" spans="1:18" ht="30">
      <c r="A32" s="167" t="s">
        <v>40</v>
      </c>
      <c r="B32" s="37">
        <f>IF( ISERROR(IND_voed_ele_kWh/1000),0,IND_voed_ele_kWh/1000)</f>
        <v>166.01902202282298</v>
      </c>
      <c r="C32" s="39">
        <f>IF(ISERROR(B32*3.6/1000000/'E Balans VL '!Z20*100),0,B32*3.6/1000000/'E Balans VL '!Z20*100)</f>
        <v>5.4799829760482427E-3</v>
      </c>
      <c r="D32" s="232" t="s">
        <v>768</v>
      </c>
    </row>
    <row r="33" spans="1:5" ht="30">
      <c r="A33" s="167" t="s">
        <v>39</v>
      </c>
      <c r="B33" s="37">
        <f>IF( ISERROR(IND_textiel_ele_kWh/1000),0,IND_textiel_ele_kWh/1000)</f>
        <v>0</v>
      </c>
      <c r="C33" s="39">
        <f>IF(ISERROR(B33*3.6/1000000/'E Balans VL '!Z21*100),0,B33*3.6/1000000/'E Balans VL '!Z21*100)</f>
        <v>0</v>
      </c>
      <c r="D33" s="232" t="s">
        <v>768</v>
      </c>
    </row>
    <row r="34" spans="1:5" ht="30">
      <c r="A34" s="167" t="s">
        <v>36</v>
      </c>
      <c r="B34" s="37">
        <f>IF( ISERROR(IND_min_ele_kWh/1000),0,IND_min_ele_kWh/1000)</f>
        <v>0</v>
      </c>
      <c r="C34" s="39">
        <f>IF(ISERROR(B34*3.6/1000000/'E Balans VL '!Z22*100),0,B34*3.6/1000000/'E Balans VL '!Z22*100)</f>
        <v>0</v>
      </c>
      <c r="D34" s="232" t="s">
        <v>768</v>
      </c>
    </row>
    <row r="35" spans="1:5" ht="30">
      <c r="A35" s="167" t="s">
        <v>38</v>
      </c>
      <c r="B35" s="37">
        <f>IF( ISERROR(IND_papier_ele_kWh/1000),0,IND_papier_ele_kWh/1000)</f>
        <v>1539.3278039920399</v>
      </c>
      <c r="C35" s="39">
        <f>IF(ISERROR(B35*3.6/1000000/'E Balans VL '!Z22*100),0,B35*3.6/1000000/'E Balans VL '!Z22*100)</f>
        <v>0.6459406722016573</v>
      </c>
      <c r="D35" s="232" t="s">
        <v>768</v>
      </c>
    </row>
    <row r="36" spans="1:5" ht="30">
      <c r="A36" s="167" t="s">
        <v>33</v>
      </c>
      <c r="B36" s="37">
        <f>IF( ISERROR(IND_chemie_ele_kWh/1000),0,IND_chemie_ele_kWh/1000)</f>
        <v>0</v>
      </c>
      <c r="C36" s="39">
        <f>IF(ISERROR(B36*3.6/1000000/'E Balans VL '!Z24*100),0,B36*3.6/1000000/'E Balans VL '!Z24*100)</f>
        <v>0</v>
      </c>
      <c r="D36" s="232" t="s">
        <v>768</v>
      </c>
    </row>
    <row r="37" spans="1:5" ht="30">
      <c r="A37" s="167" t="s">
        <v>259</v>
      </c>
      <c r="B37" s="37">
        <f>IF( ISERROR(IND_rest_ele_kWh/1000),0,IND_rest_ele_kWh/1000)</f>
        <v>2554.156329757855</v>
      </c>
      <c r="C37" s="39">
        <f>IF(ISERROR(B37*3.6/1000000/'E Balans VL '!Z15*100),0,B37*3.6/1000000/'E Balans VL '!Z15*100)</f>
        <v>2.3513237931074456E-2</v>
      </c>
      <c r="D37" s="232" t="s">
        <v>768</v>
      </c>
    </row>
    <row r="38" spans="1:5">
      <c r="A38" s="235"/>
      <c r="B38" s="176"/>
      <c r="C38" s="176"/>
      <c r="D38" s="236"/>
    </row>
    <row r="39" spans="1:5">
      <c r="A39" s="227"/>
      <c r="B39" s="32"/>
      <c r="C39" s="32"/>
      <c r="D39" s="32"/>
      <c r="E39" s="32"/>
    </row>
    <row r="40" spans="1:5">
      <c r="A40" s="189" t="s">
        <v>447</v>
      </c>
      <c r="B40" s="199"/>
      <c r="C40" s="199"/>
      <c r="D40" s="221"/>
    </row>
    <row r="41" spans="1:5">
      <c r="A41" s="231"/>
      <c r="B41" s="32"/>
      <c r="C41" s="32"/>
      <c r="D41" s="228"/>
    </row>
    <row r="42" spans="1:5">
      <c r="A42" s="237"/>
      <c r="B42" s="238"/>
      <c r="C42" s="220" t="s">
        <v>362</v>
      </c>
      <c r="D42" s="239" t="s">
        <v>175</v>
      </c>
    </row>
    <row r="43" spans="1:5">
      <c r="A43" s="167" t="s">
        <v>255</v>
      </c>
      <c r="B43" s="310">
        <f>aantalZB_NB_industrie+aantalZB_NB_industrie_met_kantoor</f>
        <v>0</v>
      </c>
      <c r="C43" s="43"/>
      <c r="D43" s="228"/>
    </row>
    <row r="44" spans="1:5">
      <c r="A44" s="167" t="s">
        <v>444</v>
      </c>
      <c r="B44" s="306">
        <v>13.15681996793146</v>
      </c>
      <c r="C44" s="43"/>
      <c r="D44" s="300" t="s">
        <v>686</v>
      </c>
    </row>
    <row r="45" spans="1:5">
      <c r="A45" s="6" t="s">
        <v>445</v>
      </c>
      <c r="B45" s="311">
        <f>1.34/3.6</f>
        <v>0.37222222222222223</v>
      </c>
      <c r="C45" s="43" t="s">
        <v>208</v>
      </c>
      <c r="D45" s="300" t="s">
        <v>687</v>
      </c>
    </row>
    <row r="46" spans="1:5" s="32" customFormat="1">
      <c r="A46" s="171"/>
      <c r="B46" s="241"/>
      <c r="C46" s="176"/>
      <c r="D46" s="236"/>
    </row>
    <row r="48" spans="1:5">
      <c r="A48" s="190" t="s">
        <v>448</v>
      </c>
      <c r="B48" s="199"/>
      <c r="C48" s="199"/>
      <c r="D48" s="221"/>
    </row>
    <row r="49" spans="1:4">
      <c r="A49" s="226"/>
      <c r="B49" s="32"/>
      <c r="C49" s="32"/>
      <c r="D49" s="228"/>
    </row>
    <row r="50" spans="1:4">
      <c r="A50" s="237"/>
      <c r="B50" s="238"/>
      <c r="C50" s="220" t="s">
        <v>362</v>
      </c>
      <c r="D50" s="239" t="s">
        <v>175</v>
      </c>
    </row>
    <row r="51" spans="1:4">
      <c r="A51" s="167" t="s">
        <v>255</v>
      </c>
      <c r="B51" s="310">
        <f>aantalWP_NB_industrie+AantalWP_NB_industrie_met_kantoor</f>
        <v>0</v>
      </c>
      <c r="C51" s="32"/>
      <c r="D51" s="228"/>
    </row>
    <row r="52" spans="1:4">
      <c r="A52" s="167" t="s">
        <v>251</v>
      </c>
      <c r="B52" s="306">
        <v>42.166215685288535</v>
      </c>
      <c r="C52" s="32" t="s">
        <v>252</v>
      </c>
      <c r="D52" s="300" t="s">
        <v>686</v>
      </c>
    </row>
    <row r="53" spans="1:4">
      <c r="A53" s="167" t="s">
        <v>253</v>
      </c>
      <c r="B53" s="306">
        <v>1870.3471198212708</v>
      </c>
      <c r="C53" s="32" t="s">
        <v>254</v>
      </c>
      <c r="D53" s="300" t="s">
        <v>686</v>
      </c>
    </row>
    <row r="54" spans="1:4">
      <c r="A54" s="167" t="s">
        <v>379</v>
      </c>
      <c r="B54" s="306">
        <v>3.75</v>
      </c>
      <c r="C54" s="32"/>
      <c r="D54" s="300" t="s">
        <v>687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260</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3985.03426618512</v>
      </c>
      <c r="C5" s="17">
        <f>'Eigen informatie GS &amp; warmtenet'!B62</f>
        <v>0</v>
      </c>
      <c r="D5" s="30">
        <f>IF(ISERROR(SUM(LB_lb_gas_kWh,LB_rest_gas_kWh)/1000),0,SUM(LB_lb_gas_kWh,LB_rest_gas_kWh)/1000)*0.903</f>
        <v>337.2775347673462</v>
      </c>
      <c r="E5" s="17">
        <f>B17*'E Balans VL '!I25/3.6*1000000/100</f>
        <v>134.38145977095803</v>
      </c>
      <c r="F5" s="17">
        <f>B17*('E Balans VL '!L25/3.6*1000000+'E Balans VL '!N25/3.6*1000000)/100</f>
        <v>13806.918740794539</v>
      </c>
      <c r="G5" s="18"/>
      <c r="H5" s="17"/>
      <c r="I5" s="17"/>
      <c r="J5" s="17">
        <f>('E Balans VL '!D25+'E Balans VL '!E25)/3.6*1000000*landbouw!B17/100</f>
        <v>864.96557711362141</v>
      </c>
      <c r="K5" s="17"/>
      <c r="L5" s="17">
        <f>L6*(-1)</f>
        <v>0</v>
      </c>
      <c r="M5" s="17"/>
      <c r="N5" s="17">
        <f>N6*(-1)</f>
        <v>251.58888890901602</v>
      </c>
      <c r="O5" s="17"/>
      <c r="P5" s="17"/>
      <c r="R5" s="32"/>
    </row>
    <row r="6" spans="1:18">
      <c r="A6" s="16" t="s">
        <v>808</v>
      </c>
      <c r="B6" s="17" t="s">
        <v>204</v>
      </c>
      <c r="C6" s="17">
        <f>'lokale energieproductie'!O39+'lokale energieproductie'!O32</f>
        <v>183.61111112580002</v>
      </c>
      <c r="D6" s="301">
        <f>('lokale energieproductie'!P32+'lokale energieproductie'!P39)*(-1)</f>
        <v>0</v>
      </c>
      <c r="E6" s="301">
        <f>('lokale energieproductie'!X32+'lokale energieproductie'!X39)*(-1)</f>
        <v>0</v>
      </c>
      <c r="F6" s="301">
        <f>('lokale energieproductie'!S32+'lokale energieproductie'!S39)*(-1)</f>
        <v>0</v>
      </c>
      <c r="G6" s="244"/>
      <c r="H6" s="243"/>
      <c r="I6" s="243"/>
      <c r="J6" s="243"/>
      <c r="K6" s="243"/>
      <c r="L6" s="301">
        <f>('lokale energieproductie'!T32+'lokale energieproductie'!U32+'lokale energieproductie'!T39+'lokale energieproductie'!U39)*(-1)</f>
        <v>0</v>
      </c>
      <c r="M6" s="243"/>
      <c r="N6" s="301">
        <f>('lokale energieproductie'!V32+'lokale energieproductie'!R32+'lokale energieproductie'!Q32+'lokale energieproductie'!Q39+'lokale energieproductie'!R39+'lokale energieproductie'!V39)*(-1)</f>
        <v>-251.58888890901602</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3985.03426618512</v>
      </c>
      <c r="C8" s="21">
        <f>C5+C6</f>
        <v>183.61111112580002</v>
      </c>
      <c r="D8" s="21">
        <f>MAX((D5+D6),0)</f>
        <v>337.2775347673462</v>
      </c>
      <c r="E8" s="21">
        <f>MAX((E5+E6),0)</f>
        <v>134.38145977095803</v>
      </c>
      <c r="F8" s="21">
        <f>MAX((F5+F6),0)</f>
        <v>13806.918740794539</v>
      </c>
      <c r="G8" s="21"/>
      <c r="H8" s="21"/>
      <c r="I8" s="21"/>
      <c r="J8" s="21">
        <f>MAX((J5+J6),0)</f>
        <v>864.96557711362141</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0.16494846667445565</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657.32529185240003</v>
      </c>
      <c r="C12" s="23">
        <f ca="1">C8*C10</f>
        <v>0</v>
      </c>
      <c r="D12" s="23">
        <f>D8*D10</f>
        <v>68.13006202300393</v>
      </c>
      <c r="E12" s="23">
        <f>E8*E10</f>
        <v>30.504591368007475</v>
      </c>
      <c r="F12" s="23">
        <f>F8*F10</f>
        <v>3686.4473037921421</v>
      </c>
      <c r="G12" s="23"/>
      <c r="H12" s="23"/>
      <c r="I12" s="23"/>
      <c r="J12" s="23">
        <f>J8*J10</f>
        <v>306.19781429822194</v>
      </c>
      <c r="K12" s="23"/>
      <c r="L12" s="23">
        <f>L8*L10</f>
        <v>0</v>
      </c>
      <c r="M12" s="23">
        <f>M8*M10</f>
        <v>0</v>
      </c>
      <c r="N12" s="23">
        <f>N8*N10</f>
        <v>0</v>
      </c>
      <c r="O12" s="23"/>
      <c r="P12" s="23"/>
    </row>
    <row r="14" spans="1:18">
      <c r="A14" s="189" t="s">
        <v>460</v>
      </c>
      <c r="B14" s="199"/>
      <c r="C14" s="221"/>
    </row>
    <row r="15" spans="1:18">
      <c r="A15" s="231"/>
      <c r="B15" s="32"/>
      <c r="C15" s="232"/>
    </row>
    <row r="16" spans="1:18">
      <c r="A16" s="250"/>
      <c r="B16" s="42" t="s">
        <v>279</v>
      </c>
      <c r="C16" s="234" t="s">
        <v>175</v>
      </c>
    </row>
    <row r="17" spans="1:4" ht="30">
      <c r="A17" s="251" t="s">
        <v>105</v>
      </c>
      <c r="B17" s="249">
        <f>IF(ISERROR(SUM(LB_lb_ele_kWh,LB_rest_ele_kWh)*3.6/1000000000/'E Balans VL '!Z26*100),0,SUM(LB_lb_ele_kWh,LB_rest_ele_kWh)*3.6/1000000000/'E Balans VL '!Z26*100)</f>
        <v>0.5692602036410831</v>
      </c>
      <c r="C17" s="862" t="s">
        <v>768</v>
      </c>
      <c r="D17" s="247"/>
    </row>
    <row r="18" spans="1:4">
      <c r="A18" s="235"/>
      <c r="B18" s="248"/>
      <c r="C18" s="236"/>
    </row>
    <row r="19" spans="1:4">
      <c r="A19" s="32"/>
      <c r="B19" s="48"/>
      <c r="C19" s="32"/>
    </row>
    <row r="20" spans="1:4">
      <c r="A20" s="32"/>
      <c r="B20" s="48"/>
      <c r="C20" s="32"/>
    </row>
    <row r="21" spans="1:4" ht="15.75" thickBot="1">
      <c r="B21" s="32"/>
    </row>
    <row r="22" spans="1:4" ht="15.75" customHeight="1">
      <c r="A22" s="1178" t="s">
        <v>290</v>
      </c>
      <c r="B22" s="1181" t="s">
        <v>291</v>
      </c>
      <c r="C22" s="1181" t="s">
        <v>459</v>
      </c>
    </row>
    <row r="23" spans="1:4">
      <c r="A23" s="1179"/>
      <c r="B23" s="1182"/>
      <c r="C23" s="1182"/>
    </row>
    <row r="24" spans="1:4" ht="15.75" thickBot="1">
      <c r="A24" s="1180"/>
      <c r="B24" s="1183"/>
      <c r="C24" s="1183"/>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906.57240594480288</v>
      </c>
      <c r="C26" s="242">
        <f>B26*'GWP N2O_CH4'!B5</f>
        <v>19038.02052484086</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341.00900720174036</v>
      </c>
      <c r="C27" s="242">
        <f>B27*'GWP N2O_CH4'!B5</f>
        <v>7161.1891512365473</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12.425420230551968</v>
      </c>
      <c r="C28" s="242">
        <f>B28*'GWP N2O_CH4'!B4</f>
        <v>3851.8802714711101</v>
      </c>
      <c r="D28" s="50"/>
    </row>
    <row r="29" spans="1:4">
      <c r="A29" s="41" t="s">
        <v>266</v>
      </c>
      <c r="B29" s="242">
        <f>B34*'ha_N2O bodem landbouw'!B4</f>
        <v>35.395719137260556</v>
      </c>
      <c r="C29" s="242">
        <f>B29*'GWP N2O_CH4'!B4</f>
        <v>10972.672932550773</v>
      </c>
      <c r="D29" s="50"/>
    </row>
    <row r="31" spans="1:4">
      <c r="A31" s="189" t="s">
        <v>461</v>
      </c>
      <c r="B31" s="199"/>
      <c r="C31" s="221"/>
    </row>
    <row r="32" spans="1:4">
      <c r="A32" s="231"/>
      <c r="B32" s="32"/>
      <c r="C32" s="232"/>
    </row>
    <row r="33" spans="1:5">
      <c r="A33" s="233"/>
      <c r="B33" s="220" t="s">
        <v>559</v>
      </c>
      <c r="C33" s="234" t="s">
        <v>175</v>
      </c>
    </row>
    <row r="34" spans="1:5" ht="15.75" thickBot="1">
      <c r="A34" s="252" t="s">
        <v>105</v>
      </c>
      <c r="B34" s="35">
        <f>IF(ISERROR(aantalCultuurgronden/'ha_N2O bodem landbouw'!B5),0,aantalCultuurgronden/'ha_N2O bodem landbouw'!B5)</f>
        <v>7.7603764022512803E-3</v>
      </c>
      <c r="C34" s="876" t="s">
        <v>751</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0"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7" customFormat="1" ht="17.25" thickTop="1" thickBot="1">
      <c r="A1" s="1170" t="s">
        <v>463</v>
      </c>
      <c r="B1" s="1171" t="s">
        <v>507</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80" t="s">
        <v>315</v>
      </c>
      <c r="B5" s="413">
        <f>SUM(B6:B11)</f>
        <v>2.0785858845949402E-3</v>
      </c>
      <c r="C5" s="428" t="s">
        <v>204</v>
      </c>
      <c r="D5" s="413">
        <f>SUM(D6:D11)</f>
        <v>2.131889394914406E-3</v>
      </c>
      <c r="E5" s="413">
        <f>SUM(E6:E11)</f>
        <v>7.0228773471544279E-4</v>
      </c>
      <c r="F5" s="426" t="s">
        <v>204</v>
      </c>
      <c r="G5" s="413">
        <f>SUM(G6:G11)</f>
        <v>0.26469844899415534</v>
      </c>
      <c r="H5" s="413">
        <f>SUM(H6:H11)</f>
        <v>0.10056414714426995</v>
      </c>
      <c r="I5" s="428" t="s">
        <v>204</v>
      </c>
      <c r="J5" s="428" t="s">
        <v>204</v>
      </c>
      <c r="K5" s="428" t="s">
        <v>204</v>
      </c>
      <c r="L5" s="428" t="s">
        <v>204</v>
      </c>
      <c r="M5" s="413">
        <f>SUM(M6:M11)</f>
        <v>3.8283348187205184E-2</v>
      </c>
      <c r="N5" s="428" t="s">
        <v>204</v>
      </c>
      <c r="O5" s="428" t="s">
        <v>204</v>
      </c>
      <c r="P5" s="429" t="s">
        <v>204</v>
      </c>
    </row>
    <row r="6" spans="1:18">
      <c r="A6" s="256" t="s">
        <v>590</v>
      </c>
      <c r="B6" s="83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1.2778588984125802E-3</v>
      </c>
      <c r="C6" s="414"/>
      <c r="D6" s="83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1.177993184980759E-3</v>
      </c>
      <c r="E6" s="839">
        <f>vkm_GW_PW*SUMIFS(TableVerdeelsleutelVkm[LPG],TableVerdeelsleutelVkm[Voertuigtype],"Lichte voertuigen")*SUMIFS(TableECFTransport[EnergieConsumptieFactor (PJ per km)],TableECFTransport[Index],CONCATENATE($A6,"_LPG_LPG"))</f>
        <v>3.9602893812654534E-4</v>
      </c>
      <c r="F6" s="416"/>
      <c r="G6" s="83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0.11208363367608801</v>
      </c>
      <c r="H6" s="83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5.6042058117175733E-2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1.7368798937495919E-2</v>
      </c>
      <c r="N6" s="414"/>
      <c r="O6" s="414"/>
      <c r="P6" s="415"/>
    </row>
    <row r="7" spans="1:18">
      <c r="A7" s="256" t="s">
        <v>591</v>
      </c>
      <c r="B7" s="83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2.9103909583609124E-6</v>
      </c>
      <c r="C7" s="414"/>
      <c r="D7" s="839">
        <f>vkm_GW_ZV*SUMIFS(TableVerdeelsleutelVkm[CNG],TableVerdeelsleutelVkm[Voertuigtype],"Zware voertuigen")*SUMIFS(TableECFTransport[EnergieConsumptieFactor (PJ per km)],TableECFTransport[Index],CONCATENATE($A7,"_CNG_CNG"))</f>
        <v>0</v>
      </c>
      <c r="E7" s="839">
        <f>vkm_GW_ZV*SUMIFS(TableVerdeelsleutelVkm[LPG],TableVerdeelsleutelVkm[Voertuigtype],"Zware voertuigen")*SUMIFS(TableECFTransport[EnergieConsumptieFactor (PJ per km)],TableECFTransport[Index],CONCATENATE($A7,"_LPG_LPG"))</f>
        <v>0</v>
      </c>
      <c r="F7" s="416"/>
      <c r="G7" s="83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6.4373226866401928E-2</v>
      </c>
      <c r="H7" s="83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4.6395702131630362E-7</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7.2059073443785969E-3</v>
      </c>
      <c r="N7" s="414"/>
      <c r="O7" s="414"/>
      <c r="P7" s="415"/>
      <c r="R7" s="836"/>
    </row>
    <row r="8" spans="1:18">
      <c r="A8" s="256" t="s">
        <v>592</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7.9750405156240223E-4</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9.5389620993364705E-4</v>
      </c>
      <c r="E8" s="416">
        <f>vkm_NGW_PW*SUMIFS(TableVerdeelsleutelVkm[LPG],TableVerdeelsleutelVkm[Voertuigtype],"Lichte voertuigen")*SUMIFS(TableECFTransport[EnergieConsumptieFactor (PJ per km)],TableECFTransport[Index],CONCATENATE($A8,"_LPG_LPG"))</f>
        <v>3.0625879658889739E-4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7.9342062679093189E-2</v>
      </c>
      <c r="H8" s="83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4.4521564931438648E-2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1.2712433713274912E-2</v>
      </c>
      <c r="N8" s="414"/>
      <c r="O8" s="414"/>
      <c r="P8" s="415"/>
      <c r="R8" s="836"/>
    </row>
    <row r="9" spans="1:18">
      <c r="A9" s="256" t="s">
        <v>593</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3.1254366159670857E-7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8.8995257725721817E-3</v>
      </c>
      <c r="H9" s="83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6.0138634253499189E-8</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9.9620819205576143E-4</v>
      </c>
      <c r="N9" s="414"/>
      <c r="O9" s="414"/>
      <c r="P9" s="415"/>
      <c r="R9" s="836"/>
    </row>
    <row r="10" spans="1:18">
      <c r="A10" s="256" t="s">
        <v>594</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6">
        <f>vkm_SW_PW*SUMIFS(TableVerdeelsleutelVkm[LPG],TableVerdeelsleutelVkm[Voertuigtype],"Lichte voertuigen")*SUMIFS(TableECFTransport[EnergieConsumptieFactor (PJ per km)],TableECFTransport[Index],CONCATENATE($A10,"_LPG_LPG"))</f>
        <v>0</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3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4"/>
      <c r="O10" s="414"/>
      <c r="P10" s="415"/>
      <c r="R10" s="836"/>
    </row>
    <row r="11" spans="1:18">
      <c r="A11" s="4" t="s">
        <v>595</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7"/>
      <c r="O11" s="417"/>
      <c r="P11" s="419"/>
      <c r="R11" s="836"/>
    </row>
    <row r="12" spans="1:18">
      <c r="A12" s="322" t="s">
        <v>505</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323</v>
      </c>
      <c r="B14" s="21">
        <f>((B5)*10^9/3600)+B12</f>
        <v>577.38496794303899</v>
      </c>
      <c r="C14" s="21"/>
      <c r="D14" s="21">
        <f t="shared" ref="D14:M14" si="0">((D5)*10^9/3600)+D12</f>
        <v>592.19149858733499</v>
      </c>
      <c r="E14" s="21">
        <f t="shared" si="0"/>
        <v>195.07992630984521</v>
      </c>
      <c r="F14" s="21"/>
      <c r="G14" s="21">
        <f t="shared" si="0"/>
        <v>73527.346942820936</v>
      </c>
      <c r="H14" s="21">
        <f t="shared" si="0"/>
        <v>27934.485317852763</v>
      </c>
      <c r="I14" s="21"/>
      <c r="J14" s="21"/>
      <c r="K14" s="21"/>
      <c r="L14" s="21"/>
      <c r="M14" s="21">
        <f t="shared" si="0"/>
        <v>10634.263385334772</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0.16494846667445565</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325</v>
      </c>
      <c r="B18" s="23">
        <f ca="1">B14*B16</f>
        <v>95.238765143084009</v>
      </c>
      <c r="C18" s="23"/>
      <c r="D18" s="23">
        <f t="shared" ref="D18:M18" si="1">D14*D16</f>
        <v>119.62268271464167</v>
      </c>
      <c r="E18" s="23">
        <f t="shared" si="1"/>
        <v>44.283143272334861</v>
      </c>
      <c r="F18" s="23"/>
      <c r="G18" s="23">
        <f t="shared" si="1"/>
        <v>19631.80163373319</v>
      </c>
      <c r="H18" s="23">
        <f t="shared" si="1"/>
        <v>6955.686844145338</v>
      </c>
      <c r="I18" s="23"/>
      <c r="J18" s="23"/>
      <c r="K18" s="23"/>
      <c r="L18" s="23"/>
      <c r="M18" s="23">
        <f t="shared" si="1"/>
        <v>0</v>
      </c>
      <c r="N18" s="23"/>
      <c r="O18" s="23"/>
      <c r="P18" s="23"/>
    </row>
    <row r="19" spans="1:18" s="15" customFormat="1">
      <c r="A19" s="42"/>
      <c r="B19" s="302"/>
      <c r="C19" s="54"/>
      <c r="D19" s="54"/>
      <c r="E19" s="54"/>
      <c r="F19" s="54"/>
      <c r="G19" s="54"/>
      <c r="H19" s="54"/>
      <c r="I19" s="54"/>
      <c r="J19" s="54"/>
      <c r="K19" s="54"/>
      <c r="L19" s="54"/>
      <c r="M19" s="54"/>
      <c r="N19" s="54"/>
      <c r="O19" s="54"/>
      <c r="P19" s="54"/>
      <c r="R19" s="32"/>
    </row>
    <row r="20" spans="1:18">
      <c r="A20" s="1"/>
      <c r="B20" s="1"/>
      <c r="E20" s="725"/>
    </row>
    <row r="21" spans="1:18">
      <c r="A21" s="257" t="s">
        <v>465</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295</v>
      </c>
      <c r="B23" s="867" t="s">
        <v>296</v>
      </c>
      <c r="C23" s="867" t="s">
        <v>596</v>
      </c>
      <c r="D23" s="867" t="s">
        <v>597</v>
      </c>
      <c r="E23" s="867" t="s">
        <v>598</v>
      </c>
      <c r="F23" s="867" t="s">
        <v>582</v>
      </c>
      <c r="G23" s="867" t="s">
        <v>599</v>
      </c>
      <c r="H23" s="867" t="s">
        <v>600</v>
      </c>
      <c r="I23" s="867" t="s">
        <v>112</v>
      </c>
      <c r="J23" s="867" t="s">
        <v>601</v>
      </c>
      <c r="K23" s="867" t="s">
        <v>602</v>
      </c>
      <c r="L23" s="868" t="s">
        <v>603</v>
      </c>
      <c r="M23" s="128" t="s">
        <v>175</v>
      </c>
      <c r="N23" s="263" t="s">
        <v>303</v>
      </c>
    </row>
    <row r="24" spans="1:18">
      <c r="A24" s="32" t="s">
        <v>588</v>
      </c>
      <c r="B24" s="1002">
        <v>5.4120665560051361E-3</v>
      </c>
      <c r="C24" s="1002">
        <v>0.64447559623619466</v>
      </c>
      <c r="D24" s="1005" t="s">
        <v>824</v>
      </c>
      <c r="E24" s="1002">
        <v>5.5544979717489723E-3</v>
      </c>
      <c r="F24" s="1002"/>
      <c r="G24" s="1002">
        <v>1.2303980633259572E-2</v>
      </c>
      <c r="H24" s="1005">
        <v>8.268699743742104E-12</v>
      </c>
      <c r="I24" s="1005">
        <v>2.0482820173532727E-3</v>
      </c>
      <c r="J24" s="1005">
        <v>0.30784103154078757</v>
      </c>
      <c r="K24" s="1005">
        <v>1.0886269239978581E-2</v>
      </c>
      <c r="L24" s="1003">
        <v>1.147827579640359E-2</v>
      </c>
      <c r="M24" s="264" t="s">
        <v>821</v>
      </c>
      <c r="N24" s="838">
        <f>SUM(B24:L24)</f>
        <v>1</v>
      </c>
      <c r="O24" s="836"/>
    </row>
    <row r="25" spans="1:18">
      <c r="A25" s="32" t="s">
        <v>589</v>
      </c>
      <c r="B25" s="1005" t="s">
        <v>824</v>
      </c>
      <c r="C25" s="1002">
        <v>0.99989598380856826</v>
      </c>
      <c r="D25" s="1005" t="s">
        <v>824</v>
      </c>
      <c r="E25" s="1005" t="s">
        <v>824</v>
      </c>
      <c r="F25" s="1002"/>
      <c r="G25" s="1005">
        <v>9.2685859755476838E-5</v>
      </c>
      <c r="H25" s="1005" t="s">
        <v>824</v>
      </c>
      <c r="I25" s="1005" t="s">
        <v>824</v>
      </c>
      <c r="J25" s="1005">
        <v>1.1330331676291997E-5</v>
      </c>
      <c r="K25" s="1005" t="s">
        <v>824</v>
      </c>
      <c r="L25" s="1003" t="s">
        <v>824</v>
      </c>
      <c r="M25" s="264" t="s">
        <v>821</v>
      </c>
      <c r="N25" s="83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466</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304</v>
      </c>
      <c r="C30" s="835">
        <v>2020</v>
      </c>
      <c r="D30" s="268" t="s">
        <v>305</v>
      </c>
      <c r="E30" s="238" t="s">
        <v>175</v>
      </c>
      <c r="F30" s="265"/>
      <c r="G30" s="238"/>
      <c r="H30" s="238"/>
      <c r="I30" s="238"/>
      <c r="J30" s="238"/>
      <c r="K30" s="238"/>
      <c r="L30" s="266"/>
    </row>
    <row r="31" spans="1:18">
      <c r="A31" s="269" t="s">
        <v>306</v>
      </c>
      <c r="B31" s="270"/>
      <c r="C31" s="271"/>
      <c r="D31" s="270"/>
      <c r="E31" s="865"/>
      <c r="F31" s="53"/>
      <c r="G31" s="43"/>
      <c r="H31" s="43"/>
      <c r="I31" s="43"/>
      <c r="J31" s="43"/>
      <c r="K31" s="43"/>
      <c r="L31" s="170"/>
    </row>
    <row r="32" spans="1:18">
      <c r="A32" s="272" t="s">
        <v>307</v>
      </c>
      <c r="B32" s="273"/>
      <c r="C32" s="274"/>
      <c r="D32" s="273"/>
      <c r="E32" s="865"/>
      <c r="F32" s="53"/>
      <c r="G32" s="43"/>
      <c r="H32" s="43"/>
      <c r="I32" s="43"/>
      <c r="J32" s="43"/>
      <c r="K32" s="43"/>
      <c r="L32" s="170"/>
    </row>
    <row r="33" spans="1:16">
      <c r="A33" s="272" t="s">
        <v>308</v>
      </c>
      <c r="B33" s="275"/>
      <c r="C33" s="276"/>
      <c r="D33" s="58"/>
      <c r="E33" s="864"/>
      <c r="F33" s="53"/>
      <c r="G33" s="43"/>
      <c r="H33" s="43"/>
      <c r="I33" s="43"/>
      <c r="J33" s="43"/>
      <c r="K33" s="43"/>
      <c r="L33" s="170"/>
    </row>
    <row r="34" spans="1:16">
      <c r="A34" s="272" t="s">
        <v>309</v>
      </c>
      <c r="B34" s="275"/>
      <c r="D34" s="58"/>
      <c r="E34" s="865"/>
      <c r="F34" s="53"/>
      <c r="G34" s="43"/>
      <c r="H34" s="43"/>
      <c r="I34" s="43"/>
      <c r="J34" s="43"/>
      <c r="K34" s="43"/>
      <c r="L34" s="170"/>
    </row>
    <row r="35" spans="1:16">
      <c r="A35" s="272" t="s">
        <v>310</v>
      </c>
      <c r="B35" s="275"/>
      <c r="C35" s="276">
        <v>0.10067</v>
      </c>
      <c r="D35" s="58"/>
      <c r="E35" s="865" t="s">
        <v>820</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304</v>
      </c>
      <c r="C37" s="835">
        <f>C30</f>
        <v>2020</v>
      </c>
      <c r="D37" s="268" t="s">
        <v>305</v>
      </c>
      <c r="E37" s="866" t="s">
        <v>175</v>
      </c>
      <c r="F37" s="279"/>
      <c r="G37" s="262"/>
      <c r="H37" s="262"/>
      <c r="I37" s="262"/>
      <c r="J37" s="262"/>
      <c r="K37" s="262"/>
      <c r="L37" s="263"/>
    </row>
    <row r="38" spans="1:16">
      <c r="A38" s="272" t="s">
        <v>311</v>
      </c>
      <c r="B38" s="273"/>
      <c r="C38" s="274"/>
      <c r="D38" s="273"/>
      <c r="E38" s="865"/>
      <c r="F38" s="276"/>
      <c r="G38" s="58"/>
      <c r="H38" s="58"/>
      <c r="I38" s="58"/>
      <c r="J38" s="58"/>
      <c r="K38" s="58"/>
      <c r="L38" s="277"/>
    </row>
    <row r="39" spans="1:16">
      <c r="A39" s="272" t="s">
        <v>312</v>
      </c>
      <c r="B39" s="273"/>
      <c r="C39" s="274"/>
      <c r="D39" s="273"/>
      <c r="E39" s="865"/>
      <c r="F39" s="276"/>
      <c r="G39" s="58"/>
      <c r="H39" s="58"/>
      <c r="I39" s="58"/>
      <c r="J39" s="58"/>
      <c r="K39" s="58"/>
      <c r="L39" s="277"/>
    </row>
    <row r="40" spans="1:16">
      <c r="A40" s="272" t="s">
        <v>308</v>
      </c>
      <c r="B40" s="275"/>
      <c r="C40" s="276"/>
      <c r="D40" s="276"/>
      <c r="E40" s="865"/>
      <c r="F40" s="58"/>
      <c r="G40" s="58"/>
      <c r="H40" s="58"/>
      <c r="I40" s="58"/>
      <c r="J40" s="58"/>
      <c r="K40" s="58"/>
      <c r="L40" s="277"/>
    </row>
    <row r="41" spans="1:16" ht="15" customHeight="1">
      <c r="A41" s="272" t="s">
        <v>313</v>
      </c>
      <c r="B41" s="275"/>
      <c r="D41" s="276"/>
      <c r="E41" s="865"/>
      <c r="F41" s="58"/>
      <c r="G41" s="58"/>
      <c r="H41" s="58"/>
      <c r="I41" s="58"/>
      <c r="J41" s="58"/>
      <c r="K41" s="58"/>
      <c r="L41" s="277"/>
    </row>
    <row r="42" spans="1:16">
      <c r="A42" s="272" t="s">
        <v>310</v>
      </c>
      <c r="B42" s="275"/>
      <c r="C42" s="276">
        <v>7.9229999999999995E-2</v>
      </c>
      <c r="D42" s="276"/>
      <c r="E42" s="865" t="str">
        <f>E35</f>
        <v>Data VMM 2022</v>
      </c>
      <c r="F42" s="58"/>
      <c r="G42" s="278"/>
      <c r="H42" s="58"/>
      <c r="I42" s="58"/>
      <c r="J42" s="58"/>
      <c r="K42" s="58"/>
      <c r="L42" s="277"/>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4" t="s">
        <v>464</v>
      </c>
      <c r="B46" s="1185" t="s">
        <v>506</v>
      </c>
      <c r="C46" s="1186"/>
      <c r="D46" s="1186"/>
      <c r="E46" s="1186"/>
      <c r="F46" s="1186"/>
      <c r="G46" s="1186"/>
      <c r="H46" s="1186"/>
      <c r="I46" s="1186"/>
      <c r="J46" s="1186"/>
      <c r="K46" s="1186"/>
      <c r="L46" s="1186"/>
      <c r="M46" s="1186"/>
      <c r="N46" s="1186"/>
      <c r="O46" s="1186"/>
      <c r="P46" s="1186"/>
    </row>
    <row r="47" spans="1:16" s="15" customFormat="1" ht="15.75" thickTop="1">
      <c r="A47" s="1184"/>
      <c r="B47" s="1187" t="s">
        <v>20</v>
      </c>
      <c r="C47" s="1187" t="s">
        <v>189</v>
      </c>
      <c r="D47" s="1189" t="s">
        <v>190</v>
      </c>
      <c r="E47" s="1190"/>
      <c r="F47" s="1190"/>
      <c r="G47" s="1190"/>
      <c r="H47" s="1190"/>
      <c r="I47" s="1190"/>
      <c r="J47" s="1190"/>
      <c r="K47" s="1191"/>
      <c r="L47" s="1189" t="s">
        <v>191</v>
      </c>
      <c r="M47" s="1190"/>
      <c r="N47" s="1190"/>
      <c r="O47" s="1190"/>
      <c r="P47" s="1191"/>
    </row>
    <row r="48" spans="1:16" s="15" customFormat="1" ht="45">
      <c r="A48" s="1184"/>
      <c r="B48" s="1188"/>
      <c r="C48" s="1188"/>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2" customFormat="1">
      <c r="A50" s="291" t="s">
        <v>318</v>
      </c>
      <c r="B50" s="312">
        <f>SUM(B51:B52)</f>
        <v>1.7660942906373207E-4</v>
      </c>
      <c r="C50" s="312">
        <f t="shared" ref="C50:P50" si="2">SUM(C51:C52)</f>
        <v>0</v>
      </c>
      <c r="D50" s="312">
        <f t="shared" si="2"/>
        <v>0</v>
      </c>
      <c r="E50" s="312">
        <f t="shared" si="2"/>
        <v>0</v>
      </c>
      <c r="F50" s="312">
        <f t="shared" si="2"/>
        <v>0</v>
      </c>
      <c r="G50" s="312">
        <f t="shared" si="2"/>
        <v>7.2527730799203851E-3</v>
      </c>
      <c r="H50" s="312">
        <f t="shared" si="2"/>
        <v>0</v>
      </c>
      <c r="I50" s="312">
        <f t="shared" si="2"/>
        <v>0</v>
      </c>
      <c r="J50" s="312">
        <f t="shared" si="2"/>
        <v>0</v>
      </c>
      <c r="K50" s="312">
        <f t="shared" si="2"/>
        <v>0</v>
      </c>
      <c r="L50" s="312">
        <f t="shared" si="2"/>
        <v>0</v>
      </c>
      <c r="M50" s="312">
        <f t="shared" si="2"/>
        <v>8.1186735231292761E-4</v>
      </c>
      <c r="N50" s="312">
        <f t="shared" si="2"/>
        <v>0</v>
      </c>
      <c r="O50" s="312">
        <f t="shared" si="2"/>
        <v>0</v>
      </c>
      <c r="P50" s="313">
        <f t="shared" si="2"/>
        <v>0</v>
      </c>
    </row>
    <row r="51" spans="1:18">
      <c r="A51" s="256" t="s">
        <v>317</v>
      </c>
      <c r="B51" s="1004">
        <f>vkm_bus
*($B$65*(SUMIFS(TableECFTransport[EnergieConsumptieFactor (PJ per km)],TableECFTransport[Index],"BUS_Niet-genummerde wegen_DIESEL HYBRID PHEV_ELECTRIC")*0.5+SUMIFS(TableECFTransport[EnergieConsumptieFactor (PJ per km)],TableECFTransport[Index],"BUS_Genummerde wegen_DIESEL HYBRID PHEV_ELECTRIC")*0.5))</f>
        <v>1.7660942906373207E-4</v>
      </c>
      <c r="C51" s="315"/>
      <c r="D51" s="315"/>
      <c r="E51" s="315"/>
      <c r="F51" s="315"/>
      <c r="G51" s="314">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7.2527730799203851E-3</v>
      </c>
      <c r="H51" s="314"/>
      <c r="I51" s="316"/>
      <c r="J51" s="314"/>
      <c r="K51" s="314"/>
      <c r="L51" s="314"/>
      <c r="M51" s="314">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8.1186735231292761E-4</v>
      </c>
      <c r="N51" s="314"/>
      <c r="O51" s="314"/>
      <c r="P51" s="317"/>
    </row>
    <row r="52" spans="1:18">
      <c r="A52" s="4" t="s">
        <v>316</v>
      </c>
      <c r="B52" s="840">
        <f>vkm_tram*SUMIFS(TableECFTransport[EnergieConsumptieFactor (PJ per km)],TableECFTransport[Index],"Tram_gemiddeld_Electric_Electric")</f>
        <v>0</v>
      </c>
      <c r="C52" s="319"/>
      <c r="D52" s="319"/>
      <c r="E52" s="319"/>
      <c r="F52" s="319"/>
      <c r="G52" s="318"/>
      <c r="H52" s="318"/>
      <c r="I52" s="320"/>
      <c r="J52" s="318"/>
      <c r="K52" s="318"/>
      <c r="L52" s="318"/>
      <c r="M52" s="318"/>
      <c r="N52" s="318"/>
      <c r="O52" s="318"/>
      <c r="P52" s="321"/>
    </row>
    <row r="53" spans="1:18">
      <c r="B53" s="11"/>
      <c r="C53" s="55"/>
      <c r="D53" s="55"/>
      <c r="E53" s="55"/>
      <c r="F53" s="55"/>
      <c r="G53" s="11"/>
      <c r="H53" s="11"/>
      <c r="I53" s="10"/>
      <c r="J53" s="11"/>
      <c r="K53" s="11"/>
      <c r="L53" s="11"/>
      <c r="M53" s="11"/>
      <c r="N53" s="11"/>
      <c r="O53" s="11"/>
      <c r="P53" s="11"/>
    </row>
    <row r="54" spans="1:18" s="15" customFormat="1">
      <c r="A54" s="20" t="s">
        <v>324</v>
      </c>
      <c r="B54" s="21">
        <f>(B50)*10^9/3600</f>
        <v>49.058174739925576</v>
      </c>
      <c r="C54" s="21">
        <f t="shared" ref="C54:P54" si="3">(C50)*10^9/3600</f>
        <v>0</v>
      </c>
      <c r="D54" s="21">
        <f t="shared" si="3"/>
        <v>0</v>
      </c>
      <c r="E54" s="21">
        <f t="shared" si="3"/>
        <v>0</v>
      </c>
      <c r="F54" s="21">
        <f t="shared" si="3"/>
        <v>0</v>
      </c>
      <c r="G54" s="21">
        <f t="shared" si="3"/>
        <v>2014.6591888667735</v>
      </c>
      <c r="H54" s="21">
        <f t="shared" si="3"/>
        <v>0</v>
      </c>
      <c r="I54" s="21">
        <f t="shared" si="3"/>
        <v>0</v>
      </c>
      <c r="J54" s="21">
        <f t="shared" si="3"/>
        <v>0</v>
      </c>
      <c r="K54" s="21">
        <f t="shared" si="3"/>
        <v>0</v>
      </c>
      <c r="L54" s="21">
        <f t="shared" si="3"/>
        <v>0</v>
      </c>
      <c r="M54" s="21">
        <f t="shared" si="3"/>
        <v>225.51870897581321</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0.16494846667445565</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326</v>
      </c>
      <c r="B58" s="23">
        <f ca="1">B54*B56</f>
        <v>8.0920707011982351</v>
      </c>
      <c r="C58" s="23">
        <f t="shared" ref="C58:P58" ca="1" si="4">C54*C56</f>
        <v>0</v>
      </c>
      <c r="D58" s="23">
        <f t="shared" si="4"/>
        <v>0</v>
      </c>
      <c r="E58" s="23">
        <f t="shared" si="4"/>
        <v>0</v>
      </c>
      <c r="F58" s="23">
        <f t="shared" si="4"/>
        <v>0</v>
      </c>
      <c r="G58" s="23">
        <f t="shared" si="4"/>
        <v>537.91400342742861</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519</v>
      </c>
      <c r="B61" s="259"/>
      <c r="C61" s="260"/>
    </row>
    <row r="62" spans="1:18" s="15" customFormat="1">
      <c r="A62" s="287"/>
      <c r="B62" s="283"/>
      <c r="C62" s="288"/>
    </row>
    <row r="63" spans="1:18">
      <c r="A63" s="289"/>
      <c r="B63" s="132"/>
      <c r="C63" s="290" t="s">
        <v>175</v>
      </c>
    </row>
    <row r="64" spans="1:18">
      <c r="A64" s="281" t="s">
        <v>195</v>
      </c>
      <c r="B64" s="284">
        <f>100%-B65</f>
        <v>0.90880000000000005</v>
      </c>
      <c r="C64" s="170"/>
    </row>
    <row r="65" spans="1:12">
      <c r="A65" s="281" t="s">
        <v>716</v>
      </c>
      <c r="B65" s="1001">
        <v>9.1200000000000003E-2</v>
      </c>
      <c r="C65" s="293" t="s">
        <v>709</v>
      </c>
    </row>
    <row r="66" spans="1:12" s="15" customFormat="1">
      <c r="A66" s="282"/>
      <c r="B66" s="264"/>
      <c r="C66" s="228"/>
    </row>
    <row r="67" spans="1:12">
      <c r="A67" s="285" t="s">
        <v>303</v>
      </c>
      <c r="B67" s="286">
        <f>SUM(B64:B65)</f>
        <v>1</v>
      </c>
      <c r="C67" s="172"/>
    </row>
    <row r="70" spans="1:12">
      <c r="A70" s="257" t="s">
        <v>466</v>
      </c>
      <c r="B70" s="259"/>
      <c r="C70" s="259"/>
      <c r="D70" s="259"/>
      <c r="E70" s="259"/>
      <c r="F70" s="259"/>
      <c r="G70" s="259"/>
      <c r="H70" s="259"/>
      <c r="I70" s="259"/>
      <c r="J70" s="259"/>
      <c r="K70" s="259"/>
      <c r="L70" s="260"/>
    </row>
    <row r="71" spans="1:12">
      <c r="A71" s="410" t="s">
        <v>520</v>
      </c>
    </row>
    <row r="72" spans="1:12">
      <c r="A72" s="256"/>
      <c r="B72" s="261"/>
      <c r="C72" s="261"/>
      <c r="D72" s="261"/>
      <c r="E72" s="261"/>
    </row>
    <row r="73" spans="1:12">
      <c r="A73" s="267"/>
      <c r="B73" s="268" t="s">
        <v>304</v>
      </c>
      <c r="C73" s="835">
        <f>C30</f>
        <v>2020</v>
      </c>
      <c r="D73" s="268" t="s">
        <v>305</v>
      </c>
      <c r="E73" s="238" t="s">
        <v>175</v>
      </c>
    </row>
    <row r="74" spans="1:12">
      <c r="A74" t="str">
        <f t="shared" ref="A74:A75" si="5">A31</f>
        <v>diesel</v>
      </c>
      <c r="B74" s="408"/>
      <c r="C74" s="408"/>
      <c r="D74" s="408"/>
      <c r="E74" s="11"/>
    </row>
    <row r="75" spans="1:12">
      <c r="A75" t="str">
        <f t="shared" si="5"/>
        <v>biodiesel</v>
      </c>
      <c r="B75" s="408"/>
      <c r="C75" s="408"/>
      <c r="D75" s="408"/>
      <c r="E75" s="11"/>
    </row>
    <row r="76" spans="1:12">
      <c r="A76" t="str">
        <f>A33</f>
        <v>vol% liter</v>
      </c>
      <c r="B76" s="408"/>
      <c r="C76" s="409"/>
      <c r="D76" s="408"/>
      <c r="E76" s="11"/>
    </row>
    <row r="77" spans="1:12">
      <c r="A77" t="str">
        <f>A34</f>
        <v>gew% kg</v>
      </c>
      <c r="B77" s="408"/>
      <c r="D77" s="408"/>
      <c r="E77" s="11"/>
    </row>
    <row r="78" spans="1:12">
      <c r="A78" t="str">
        <f>A35</f>
        <v>J%</v>
      </c>
      <c r="B78" s="408"/>
      <c r="C78" s="411">
        <f>C35</f>
        <v>0.10067</v>
      </c>
      <c r="D78" s="408"/>
      <c r="E78" s="11" t="str">
        <f>E35</f>
        <v>Data VMM 2022</v>
      </c>
    </row>
    <row r="79" spans="1:12">
      <c r="B79" s="408"/>
      <c r="C79" s="408"/>
      <c r="D79" s="408"/>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8"/>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25" customFormat="1" ht="17.45" customHeight="1" thickTop="1" thickBot="1">
      <c r="A1" s="1210" t="s">
        <v>230</v>
      </c>
      <c r="B1" s="1213" t="s">
        <v>231</v>
      </c>
      <c r="C1" s="1223" t="s">
        <v>232</v>
      </c>
      <c r="D1" s="1224"/>
      <c r="E1" s="1224"/>
      <c r="F1" s="1224"/>
      <c r="G1" s="1224"/>
      <c r="H1" s="1224"/>
      <c r="I1" s="1224"/>
      <c r="J1" s="1224"/>
      <c r="K1" s="1224"/>
      <c r="L1" s="1224"/>
      <c r="M1" s="1224"/>
      <c r="N1" s="1225"/>
      <c r="O1" s="1215" t="s">
        <v>233</v>
      </c>
      <c r="P1" s="1213" t="s">
        <v>508</v>
      </c>
      <c r="Q1" s="1215"/>
      <c r="S1" s="1209"/>
      <c r="T1" s="1209"/>
      <c r="U1" s="1209"/>
    </row>
    <row r="2" spans="1:21" s="525" customFormat="1" ht="15.75" thickBot="1">
      <c r="A2" s="1211"/>
      <c r="B2" s="1211"/>
      <c r="C2" s="1218" t="s">
        <v>190</v>
      </c>
      <c r="D2" s="1219"/>
      <c r="E2" s="1219"/>
      <c r="F2" s="1219"/>
      <c r="G2" s="1220"/>
      <c r="H2" s="1221" t="s">
        <v>234</v>
      </c>
      <c r="I2" s="1207" t="s">
        <v>235</v>
      </c>
      <c r="J2" s="1207" t="s">
        <v>223</v>
      </c>
      <c r="K2" s="1207" t="s">
        <v>236</v>
      </c>
      <c r="L2" s="1207" t="s">
        <v>120</v>
      </c>
      <c r="M2" s="1207" t="s">
        <v>639</v>
      </c>
      <c r="N2" s="1226" t="s">
        <v>640</v>
      </c>
      <c r="O2" s="1216"/>
      <c r="P2" s="1228"/>
      <c r="Q2" s="1216"/>
      <c r="S2" s="1209"/>
      <c r="T2" s="1209"/>
      <c r="U2" s="1209"/>
    </row>
    <row r="3" spans="1:21" s="525" customFormat="1" ht="53.45" customHeight="1" thickBot="1">
      <c r="A3" s="1212"/>
      <c r="B3" s="1214"/>
      <c r="C3" s="526" t="s">
        <v>192</v>
      </c>
      <c r="D3" s="527" t="s">
        <v>193</v>
      </c>
      <c r="E3" s="528" t="s">
        <v>194</v>
      </c>
      <c r="F3" s="529" t="s">
        <v>196</v>
      </c>
      <c r="G3" s="530" t="s">
        <v>197</v>
      </c>
      <c r="H3" s="1222"/>
      <c r="I3" s="1208"/>
      <c r="J3" s="1208"/>
      <c r="K3" s="1208"/>
      <c r="L3" s="1208"/>
      <c r="M3" s="1208"/>
      <c r="N3" s="1227"/>
      <c r="O3" s="1217"/>
      <c r="P3" s="1214"/>
      <c r="Q3" s="1217"/>
      <c r="S3" s="1209"/>
      <c r="T3" s="1209"/>
      <c r="U3" s="1209"/>
    </row>
    <row r="4" spans="1:21" s="525" customFormat="1" ht="15.75" thickTop="1">
      <c r="A4" s="531" t="s">
        <v>238</v>
      </c>
      <c r="B4" s="532">
        <f>IF(ISERROR(kWh_wind_land),0,kWh_wind_land)</f>
        <v>0</v>
      </c>
      <c r="C4" s="1195"/>
      <c r="D4" s="1198"/>
      <c r="E4" s="1198"/>
      <c r="F4" s="1201"/>
      <c r="G4" s="1204"/>
      <c r="H4" s="1192"/>
      <c r="I4" s="1198"/>
      <c r="J4" s="1198"/>
      <c r="K4" s="1198"/>
      <c r="L4" s="1198"/>
      <c r="M4" s="1198"/>
      <c r="N4" s="902"/>
      <c r="O4" s="533"/>
      <c r="P4" s="1237"/>
      <c r="Q4" s="1238"/>
      <c r="S4" s="534"/>
      <c r="T4" s="1236"/>
      <c r="U4" s="1236"/>
    </row>
    <row r="5" spans="1:21" s="525" customFormat="1">
      <c r="A5" s="535" t="s">
        <v>239</v>
      </c>
      <c r="B5" s="532">
        <f>IF(ISERROR(kWh_waterkracht),0,kWh_waterkracht)</f>
        <v>0</v>
      </c>
      <c r="C5" s="1196"/>
      <c r="D5" s="1199"/>
      <c r="E5" s="1199"/>
      <c r="F5" s="1202"/>
      <c r="G5" s="1205"/>
      <c r="H5" s="1193"/>
      <c r="I5" s="1199"/>
      <c r="J5" s="1199"/>
      <c r="K5" s="1199"/>
      <c r="L5" s="1199"/>
      <c r="M5" s="1199"/>
      <c r="N5" s="902"/>
      <c r="O5" s="536"/>
      <c r="P5" s="1239"/>
      <c r="Q5" s="1240"/>
      <c r="S5" s="534"/>
      <c r="T5" s="1236"/>
      <c r="U5" s="1236"/>
    </row>
    <row r="6" spans="1:21" s="525" customFormat="1">
      <c r="A6" s="535" t="s">
        <v>240</v>
      </c>
      <c r="B6" s="532">
        <f>IF(ISERROR((kWh_PV_kleiner_dan_10kW+kWh_PV_groter_dan_10kW)),0,(kWh_PV_kleiner_dan_10kW+kWh_PV_groter_dan_10kW))</f>
        <v>16765.154901819067</v>
      </c>
      <c r="C6" s="1196"/>
      <c r="D6" s="1199"/>
      <c r="E6" s="1199"/>
      <c r="F6" s="1202"/>
      <c r="G6" s="1205"/>
      <c r="H6" s="1193"/>
      <c r="I6" s="1199"/>
      <c r="J6" s="1199"/>
      <c r="K6" s="1199"/>
      <c r="L6" s="1199"/>
      <c r="M6" s="1199"/>
      <c r="N6" s="902"/>
      <c r="O6" s="536"/>
      <c r="P6" s="1239"/>
      <c r="Q6" s="1240"/>
      <c r="S6" s="534"/>
      <c r="T6" s="1236"/>
      <c r="U6" s="1236"/>
    </row>
    <row r="7" spans="1:21" s="525" customFormat="1">
      <c r="A7" s="535" t="s">
        <v>637</v>
      </c>
      <c r="B7" s="532"/>
      <c r="C7" s="1197"/>
      <c r="D7" s="1200"/>
      <c r="E7" s="1200"/>
      <c r="F7" s="1203"/>
      <c r="G7" s="1206"/>
      <c r="H7" s="1194"/>
      <c r="I7" s="1200"/>
      <c r="J7" s="1200"/>
      <c r="K7" s="1200"/>
      <c r="L7" s="1200"/>
      <c r="M7" s="1200"/>
      <c r="N7" s="903"/>
      <c r="O7" s="536"/>
      <c r="P7" s="887"/>
      <c r="Q7" s="888"/>
      <c r="S7" s="886"/>
      <c r="T7" s="886"/>
      <c r="U7" s="886"/>
    </row>
    <row r="8" spans="1:21" s="525" customFormat="1">
      <c r="A8" s="537" t="s">
        <v>241</v>
      </c>
      <c r="B8" s="538">
        <f>N29</f>
        <v>48.333333337200003</v>
      </c>
      <c r="C8" s="539">
        <f>B48</f>
        <v>0</v>
      </c>
      <c r="D8" s="540">
        <f>J48</f>
        <v>0</v>
      </c>
      <c r="E8" s="540">
        <f>E48</f>
        <v>0</v>
      </c>
      <c r="F8" s="541"/>
      <c r="G8" s="542"/>
      <c r="H8" s="540">
        <f>I48</f>
        <v>0</v>
      </c>
      <c r="I8" s="540">
        <f>G48+F48</f>
        <v>0</v>
      </c>
      <c r="J8" s="540">
        <f>H48+D48+C48</f>
        <v>52.426906191818901</v>
      </c>
      <c r="K8" s="540"/>
      <c r="L8" s="540"/>
      <c r="M8" s="540"/>
      <c r="N8" s="543"/>
      <c r="O8" s="544">
        <f>C8*$C$12+D8*$D$12+E8*$E$12+F8*$F$12+G8*$G$12+H8*$H$12+I8*$I$12+J8*$J$12</f>
        <v>0</v>
      </c>
      <c r="P8" s="1239"/>
      <c r="Q8" s="1240"/>
      <c r="S8" s="534"/>
      <c r="T8" s="1236"/>
      <c r="U8" s="1236"/>
    </row>
    <row r="9" spans="1:21" s="525" customFormat="1" ht="17.45" customHeight="1" thickBot="1">
      <c r="A9" s="545" t="s">
        <v>237</v>
      </c>
      <c r="B9" s="546">
        <f>N36+'Eigen informatie GS &amp; warmtenet'!B12</f>
        <v>0</v>
      </c>
      <c r="C9" s="547">
        <f>B57+IF(ISERROR(('Eigen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J57+IF(ISERROR('Eigen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E57+IF(ISERROR('Eigen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I57+IF(ISERROR('Eigen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(G57+F57)+IF(ISERROR('Eigen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(H57+D57)+C57+IF(ISERROR('Eigen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1"/>
      <c r="O9" s="544">
        <f>C9*$C$12+D9*$D$12+E9*$E$12+F9*$F$12+G9*$G$12+H9*$H$12+I9*$I$12+J9*$J$12</f>
        <v>0</v>
      </c>
      <c r="P9" s="1241"/>
      <c r="Q9" s="1242"/>
      <c r="R9" s="551"/>
      <c r="S9" s="534"/>
      <c r="T9" s="1236"/>
      <c r="U9" s="1236"/>
    </row>
    <row r="10" spans="1:21" s="525" customFormat="1" ht="16.5" thickTop="1" thickBot="1">
      <c r="A10" s="552" t="s">
        <v>109</v>
      </c>
      <c r="B10" s="553">
        <f>SUM(B4:B9)</f>
        <v>16813.488235156266</v>
      </c>
      <c r="C10" s="554">
        <f t="shared" ref="C10:L10" si="0">SUM(C8:C9)</f>
        <v>0</v>
      </c>
      <c r="D10" s="554">
        <f t="shared" si="0"/>
        <v>0</v>
      </c>
      <c r="E10" s="554">
        <f t="shared" si="0"/>
        <v>0</v>
      </c>
      <c r="F10" s="554">
        <f t="shared" si="0"/>
        <v>0</v>
      </c>
      <c r="G10" s="554">
        <f t="shared" si="0"/>
        <v>0</v>
      </c>
      <c r="H10" s="554">
        <f t="shared" si="0"/>
        <v>0</v>
      </c>
      <c r="I10" s="554">
        <f t="shared" si="0"/>
        <v>0</v>
      </c>
      <c r="J10" s="554">
        <f t="shared" si="0"/>
        <v>52.426906191818901</v>
      </c>
      <c r="K10" s="554">
        <f t="shared" si="0"/>
        <v>0</v>
      </c>
      <c r="L10" s="554">
        <f t="shared" si="0"/>
        <v>0</v>
      </c>
      <c r="M10" s="912"/>
      <c r="N10" s="912"/>
      <c r="O10" s="555">
        <f>SUM(O4:O9)</f>
        <v>0</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277</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10" t="s">
        <v>242</v>
      </c>
      <c r="B14" s="1210" t="s">
        <v>243</v>
      </c>
      <c r="C14" s="1233" t="s">
        <v>244</v>
      </c>
      <c r="D14" s="1234"/>
      <c r="E14" s="1234"/>
      <c r="F14" s="1234"/>
      <c r="G14" s="1234"/>
      <c r="H14" s="1234"/>
      <c r="I14" s="1234"/>
      <c r="J14" s="1234"/>
      <c r="K14" s="1234"/>
      <c r="L14" s="1234"/>
      <c r="M14" s="1234"/>
      <c r="N14" s="1235"/>
      <c r="O14" s="1215" t="s">
        <v>233</v>
      </c>
      <c r="P14" s="1213" t="s">
        <v>245</v>
      </c>
      <c r="Q14" s="1215"/>
      <c r="R14" s="1209"/>
      <c r="S14" s="1209"/>
      <c r="T14" s="1209"/>
    </row>
    <row r="15" spans="1:21" s="525" customFormat="1" ht="15.75" customHeight="1" thickBot="1">
      <c r="A15" s="1211"/>
      <c r="B15" s="1211"/>
      <c r="C15" s="1229" t="s">
        <v>190</v>
      </c>
      <c r="D15" s="1230"/>
      <c r="E15" s="1230"/>
      <c r="F15" s="1230"/>
      <c r="G15" s="1231"/>
      <c r="H15" s="1232" t="s">
        <v>234</v>
      </c>
      <c r="I15" s="1232" t="s">
        <v>235</v>
      </c>
      <c r="J15" s="1232" t="s">
        <v>223</v>
      </c>
      <c r="K15" s="1232" t="s">
        <v>246</v>
      </c>
      <c r="L15" s="1232" t="s">
        <v>120</v>
      </c>
      <c r="M15" s="1232" t="s">
        <v>639</v>
      </c>
      <c r="N15" s="1226" t="s">
        <v>640</v>
      </c>
      <c r="O15" s="1216"/>
      <c r="P15" s="1228"/>
      <c r="Q15" s="1216"/>
      <c r="R15" s="1209"/>
      <c r="S15" s="1209"/>
      <c r="T15" s="1209"/>
    </row>
    <row r="16" spans="1:21" s="525" customFormat="1" ht="40.700000000000003" customHeight="1" thickBot="1">
      <c r="A16" s="1212"/>
      <c r="B16" s="1212"/>
      <c r="C16" s="565" t="s">
        <v>192</v>
      </c>
      <c r="D16" s="527" t="s">
        <v>193</v>
      </c>
      <c r="E16" s="566" t="s">
        <v>194</v>
      </c>
      <c r="F16" s="527" t="s">
        <v>196</v>
      </c>
      <c r="G16" s="567" t="s">
        <v>197</v>
      </c>
      <c r="H16" s="1222"/>
      <c r="I16" s="1222"/>
      <c r="J16" s="1222"/>
      <c r="K16" s="1222"/>
      <c r="L16" s="1222"/>
      <c r="M16" s="1222"/>
      <c r="N16" s="1227"/>
      <c r="O16" s="1217"/>
      <c r="P16" s="1214"/>
      <c r="Q16" s="1217"/>
      <c r="R16" s="1209"/>
      <c r="S16" s="1209"/>
      <c r="T16" s="1209"/>
    </row>
    <row r="17" spans="1:27" s="525" customFormat="1" ht="15.75" thickTop="1">
      <c r="A17" s="568" t="s">
        <v>241</v>
      </c>
      <c r="B17" s="569">
        <f>O29</f>
        <v>183.61111112580002</v>
      </c>
      <c r="C17" s="570">
        <f>B49</f>
        <v>0</v>
      </c>
      <c r="D17" s="571">
        <f>J49</f>
        <v>0</v>
      </c>
      <c r="E17" s="571">
        <f>E49</f>
        <v>0</v>
      </c>
      <c r="F17" s="572"/>
      <c r="G17" s="573"/>
      <c r="H17" s="570">
        <f>I49</f>
        <v>0</v>
      </c>
      <c r="I17" s="571">
        <f>G49+F49</f>
        <v>0</v>
      </c>
      <c r="J17" s="571">
        <f>H49+D49+C49</f>
        <v>199.16198271719713</v>
      </c>
      <c r="K17" s="571"/>
      <c r="L17" s="571"/>
      <c r="M17" s="571"/>
      <c r="N17" s="913"/>
      <c r="O17" s="574">
        <f>C17*$C$22+E17*$E$22+H17*$H$22+I17*$I$22+J17*$J$22+D17*$D$22+F17*$F$22+G17*$G$22+K17*$K$22+L17*$L$22</f>
        <v>0</v>
      </c>
      <c r="P17" s="1246"/>
      <c r="Q17" s="1247"/>
      <c r="R17" s="575"/>
      <c r="S17" s="1248"/>
      <c r="T17" s="1248"/>
    </row>
    <row r="18" spans="1:27" s="525" customFormat="1">
      <c r="A18" s="576" t="s">
        <v>247</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9"/>
      <c r="Q18" s="1250"/>
      <c r="R18" s="534"/>
      <c r="S18" s="1236"/>
      <c r="T18" s="1236"/>
    </row>
    <row r="19" spans="1:27" s="525" customFormat="1" ht="15.75" thickBot="1">
      <c r="A19" s="545" t="s">
        <v>237</v>
      </c>
      <c r="B19" s="577">
        <f>O36+'Eigen informatie GS &amp; warmtenet'!B11</f>
        <v>0</v>
      </c>
      <c r="C19" s="578">
        <f>B58+IF(ISERROR(('Eigen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J58+IF(ISERROR(('Eigen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E58+IF(ISERROR(('Eigen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I58+IF(ISERROR(('Eigen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(G58+F58)+IF(ISERROR(('Eigen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(H58+D58+C58)+IF(ISERROR(('Eigen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14"/>
      <c r="O19" s="574">
        <f>C19*$C$22+E19*$E$22+H19*$H$22+I19*$I$22+J19*$J$22+D19*$D$22+F19*$F$22+G19*$G$22+K19*$K$22+L19*$L$22</f>
        <v>0</v>
      </c>
      <c r="P19" s="1251"/>
      <c r="Q19" s="1252"/>
      <c r="R19" s="534"/>
      <c r="S19" s="1236"/>
      <c r="T19" s="1236"/>
    </row>
    <row r="20" spans="1:27" s="525" customFormat="1" ht="16.5" thickTop="1" thickBot="1">
      <c r="A20" s="552" t="s">
        <v>109</v>
      </c>
      <c r="B20" s="553">
        <f>SUM(B17:B19)</f>
        <v>183.61111112580002</v>
      </c>
      <c r="C20" s="553">
        <f>SUM(C17:C19)</f>
        <v>0</v>
      </c>
      <c r="D20" s="553">
        <f t="shared" ref="D20:L20" si="1">SUM(D17:D19)</f>
        <v>0</v>
      </c>
      <c r="E20" s="553">
        <f t="shared" si="1"/>
        <v>0</v>
      </c>
      <c r="F20" s="553">
        <f t="shared" si="1"/>
        <v>0</v>
      </c>
      <c r="G20" s="553">
        <f t="shared" si="1"/>
        <v>0</v>
      </c>
      <c r="H20" s="553">
        <f t="shared" si="1"/>
        <v>0</v>
      </c>
      <c r="I20" s="553">
        <f t="shared" si="1"/>
        <v>0</v>
      </c>
      <c r="J20" s="553">
        <f t="shared" si="1"/>
        <v>199.16198271719713</v>
      </c>
      <c r="K20" s="553">
        <f t="shared" si="1"/>
        <v>0</v>
      </c>
      <c r="L20" s="553">
        <f t="shared" si="1"/>
        <v>0</v>
      </c>
      <c r="M20" s="553"/>
      <c r="N20" s="553"/>
      <c r="O20" s="579">
        <f>SUM(O17:O19)</f>
        <v>0</v>
      </c>
      <c r="P20" s="1243"/>
      <c r="Q20" s="1244"/>
      <c r="R20" s="534"/>
      <c r="S20" s="1245"/>
      <c r="T20" s="1245"/>
    </row>
    <row r="21" spans="1:27" s="525" customFormat="1" ht="15.75" thickTop="1">
      <c r="A21" s="575"/>
      <c r="B21" s="534"/>
      <c r="C21" s="534"/>
      <c r="D21" s="534"/>
      <c r="E21" s="534"/>
      <c r="F21" s="534"/>
      <c r="G21" s="534"/>
      <c r="H21" s="534"/>
      <c r="I21" s="534"/>
      <c r="J21" s="534"/>
      <c r="K21" s="534"/>
      <c r="L21" s="534"/>
      <c r="M21" s="886"/>
      <c r="N21" s="886"/>
      <c r="O21" s="534"/>
      <c r="P21" s="557"/>
      <c r="Q21" s="557"/>
      <c r="R21" s="534"/>
      <c r="S21" s="557"/>
      <c r="T21" s="557"/>
    </row>
    <row r="22" spans="1:27" s="560" customFormat="1">
      <c r="A22" s="561" t="s">
        <v>277</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268</v>
      </c>
      <c r="B27" s="624" t="s">
        <v>89</v>
      </c>
      <c r="C27" s="624" t="s">
        <v>90</v>
      </c>
      <c r="D27" s="624"/>
      <c r="E27" s="624"/>
      <c r="F27" s="624"/>
      <c r="G27" s="624" t="s">
        <v>91</v>
      </c>
      <c r="H27" s="624" t="s">
        <v>92</v>
      </c>
      <c r="I27" s="624"/>
      <c r="J27" s="624"/>
      <c r="K27" s="624"/>
      <c r="L27" s="624" t="s">
        <v>93</v>
      </c>
      <c r="M27" s="625" t="s">
        <v>285</v>
      </c>
      <c r="N27" s="625" t="s">
        <v>94</v>
      </c>
      <c r="O27" s="625" t="s">
        <v>95</v>
      </c>
      <c r="P27" s="625" t="s">
        <v>495</v>
      </c>
      <c r="Q27" s="625" t="s">
        <v>96</v>
      </c>
      <c r="R27" s="625" t="s">
        <v>97</v>
      </c>
      <c r="S27" s="625" t="s">
        <v>98</v>
      </c>
      <c r="T27" s="625" t="s">
        <v>99</v>
      </c>
      <c r="U27" s="625" t="s">
        <v>100</v>
      </c>
      <c r="V27" s="625" t="s">
        <v>101</v>
      </c>
      <c r="W27" s="624" t="s">
        <v>102</v>
      </c>
      <c r="X27" s="624" t="s">
        <v>771</v>
      </c>
      <c r="Y27" s="624" t="s">
        <v>286</v>
      </c>
      <c r="Z27" s="624" t="s">
        <v>103</v>
      </c>
      <c r="AA27" s="626" t="s">
        <v>287</v>
      </c>
    </row>
    <row r="28" spans="1:27" s="584" customFormat="1" ht="12.75" hidden="1">
      <c r="A28" s="583"/>
      <c r="B28" s="741">
        <v>72030</v>
      </c>
      <c r="C28" s="741"/>
      <c r="D28" s="628"/>
      <c r="E28" s="627"/>
      <c r="F28" s="627"/>
      <c r="G28" s="627"/>
      <c r="H28" s="627"/>
      <c r="I28" s="627"/>
      <c r="J28" s="740"/>
      <c r="K28" s="740"/>
      <c r="L28" s="627"/>
      <c r="M28" s="627">
        <v>9.6999999999999993</v>
      </c>
      <c r="N28" s="627">
        <v>48.333333337200003</v>
      </c>
      <c r="O28" s="627">
        <v>183.61111112580002</v>
      </c>
      <c r="P28" s="627">
        <v>0</v>
      </c>
      <c r="Q28" s="627">
        <v>251.58888890901602</v>
      </c>
      <c r="R28" s="627">
        <v>0</v>
      </c>
      <c r="S28" s="627">
        <v>0</v>
      </c>
      <c r="T28" s="627">
        <v>0</v>
      </c>
      <c r="U28" s="627">
        <v>0</v>
      </c>
      <c r="V28" s="627">
        <v>0</v>
      </c>
      <c r="W28" s="627">
        <v>0</v>
      </c>
      <c r="X28" s="627">
        <v>0</v>
      </c>
      <c r="Y28" s="627"/>
      <c r="Z28" s="627"/>
      <c r="AA28" s="629" t="s">
        <v>105</v>
      </c>
    </row>
    <row r="29" spans="1:27" s="564" customFormat="1" hidden="1">
      <c r="A29" s="586" t="s">
        <v>269</v>
      </c>
      <c r="B29" s="587"/>
      <c r="C29" s="587"/>
      <c r="D29" s="587"/>
      <c r="E29" s="587"/>
      <c r="F29" s="587"/>
      <c r="G29" s="587"/>
      <c r="H29" s="587"/>
      <c r="I29" s="587"/>
      <c r="J29" s="587"/>
      <c r="K29" s="587"/>
      <c r="L29" s="588"/>
      <c r="M29" s="588">
        <f>SUM(M28:M28)</f>
        <v>9.6999999999999993</v>
      </c>
      <c r="N29" s="588">
        <f>SUM(N28:N28)</f>
        <v>48.333333337200003</v>
      </c>
      <c r="O29" s="588">
        <f>SUM(O28:O28)</f>
        <v>183.61111112580002</v>
      </c>
      <c r="P29" s="588">
        <f>SUM(P28:P28)</f>
        <v>0</v>
      </c>
      <c r="Q29" s="588">
        <f>SUM(Q28:Q28)</f>
        <v>251.58888890901602</v>
      </c>
      <c r="R29" s="588">
        <f>SUM(R28:R28)</f>
        <v>0</v>
      </c>
      <c r="S29" s="588">
        <f>SUM(S28:S28)</f>
        <v>0</v>
      </c>
      <c r="T29" s="588">
        <f>SUM(T28:T28)</f>
        <v>0</v>
      </c>
      <c r="U29" s="588">
        <f>SUM(U28:U28)</f>
        <v>0</v>
      </c>
      <c r="V29" s="588">
        <f>SUM(V28:V28)</f>
        <v>0</v>
      </c>
      <c r="W29" s="588">
        <f>SUM(W28:W28)</f>
        <v>0</v>
      </c>
      <c r="X29" s="588">
        <f>SUM(X28:X28)</f>
        <v>0</v>
      </c>
      <c r="Y29" s="589"/>
      <c r="Z29" s="589"/>
      <c r="AA29" s="590"/>
    </row>
    <row r="30" spans="1:27" s="564" customFormat="1">
      <c r="A30" s="586" t="s">
        <v>274</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f>SUMIF($AA$28:$AA$28,"industrie",X28:X28)</f>
        <v>0</v>
      </c>
      <c r="Y30" s="589"/>
      <c r="Z30" s="589"/>
      <c r="AA30" s="590"/>
    </row>
    <row r="31" spans="1:27" s="564" customFormat="1">
      <c r="A31" s="586" t="s">
        <v>275</v>
      </c>
      <c r="B31" s="587"/>
      <c r="C31" s="587"/>
      <c r="D31" s="587"/>
      <c r="E31" s="587"/>
      <c r="F31" s="587"/>
      <c r="G31" s="587"/>
      <c r="H31" s="587"/>
      <c r="I31" s="587"/>
      <c r="J31" s="587"/>
      <c r="K31" s="587"/>
      <c r="L31" s="588"/>
      <c r="M31" s="588">
        <f ca="1">SUMIF($AA$28:AD28,"tertiair",M28:M28)</f>
        <v>0</v>
      </c>
      <c r="N31" s="588">
        <f ca="1">SUMIF($AA$28:AE28,"tertiair",N28:N28)</f>
        <v>0</v>
      </c>
      <c r="O31" s="588">
        <f ca="1">SUMIF($AA$28:AF28,"tertiair",O28:O28)</f>
        <v>0</v>
      </c>
      <c r="P31" s="588">
        <f ca="1">SUMIF($AA$28:AG28,"tertiair",P28:P28)</f>
        <v>0</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f ca="1">SUMIF($AA$28:AO28,"tertiair",X28:X28)</f>
        <v>0</v>
      </c>
      <c r="Y31" s="589"/>
      <c r="Z31" s="589"/>
      <c r="AA31" s="590"/>
    </row>
    <row r="32" spans="1:27" s="564" customFormat="1" ht="15.75" thickBot="1">
      <c r="A32" s="591" t="s">
        <v>276</v>
      </c>
      <c r="B32" s="592"/>
      <c r="C32" s="592"/>
      <c r="D32" s="592"/>
      <c r="E32" s="592"/>
      <c r="F32" s="592"/>
      <c r="G32" s="592"/>
      <c r="H32" s="592"/>
      <c r="I32" s="592"/>
      <c r="J32" s="592"/>
      <c r="K32" s="592"/>
      <c r="L32" s="593"/>
      <c r="M32" s="593">
        <f>SUMIF($AA$28:$AA$28,"landbouw",M28:M28)</f>
        <v>9.6999999999999993</v>
      </c>
      <c r="N32" s="593">
        <f>SUMIF($AA$28:$AA$28,"landbouw",N28:N28)</f>
        <v>48.333333337200003</v>
      </c>
      <c r="O32" s="593">
        <f>SUMIF($AA$28:$AA$28,"landbouw",O28:O28)</f>
        <v>183.61111112580002</v>
      </c>
      <c r="P32" s="593">
        <f>SUMIF($AA$28:$AA$28,"landbouw",P28:P28)</f>
        <v>0</v>
      </c>
      <c r="Q32" s="593">
        <f>SUMIF($AA$28:$AA$28,"landbouw",Q28:Q28)</f>
        <v>251.58888890901602</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f>SUMIF($AA$28:$AA$28,"landbouw",X28:X28)</f>
        <v>0</v>
      </c>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82" t="s">
        <v>814</v>
      </c>
      <c r="B34" s="624" t="s">
        <v>89</v>
      </c>
      <c r="C34" s="624" t="s">
        <v>90</v>
      </c>
      <c r="D34" s="624"/>
      <c r="E34" s="624"/>
      <c r="F34" s="624"/>
      <c r="G34" s="624" t="s">
        <v>91</v>
      </c>
      <c r="H34" s="624" t="s">
        <v>92</v>
      </c>
      <c r="I34" s="624"/>
      <c r="J34" s="624"/>
      <c r="K34" s="624"/>
      <c r="L34" s="624" t="s">
        <v>93</v>
      </c>
      <c r="M34" s="625" t="s">
        <v>285</v>
      </c>
      <c r="N34" s="625" t="s">
        <v>94</v>
      </c>
      <c r="O34" s="625" t="s">
        <v>95</v>
      </c>
      <c r="P34" s="625" t="s">
        <v>495</v>
      </c>
      <c r="Q34" s="625" t="s">
        <v>96</v>
      </c>
      <c r="R34" s="625" t="s">
        <v>97</v>
      </c>
      <c r="S34" s="625" t="s">
        <v>98</v>
      </c>
      <c r="T34" s="625" t="s">
        <v>99</v>
      </c>
      <c r="U34" s="625" t="s">
        <v>100</v>
      </c>
      <c r="V34" s="625" t="s">
        <v>101</v>
      </c>
      <c r="W34" s="624" t="s">
        <v>102</v>
      </c>
      <c r="X34" s="624" t="s">
        <v>771</v>
      </c>
      <c r="Y34" s="624" t="s">
        <v>286</v>
      </c>
      <c r="Z34" s="624" t="s">
        <v>103</v>
      </c>
      <c r="AA34" s="626" t="s">
        <v>287</v>
      </c>
    </row>
    <row r="35" spans="1:28" s="598" customFormat="1" ht="12.75" hidden="1">
      <c r="A35" s="585"/>
      <c r="B35" s="741"/>
      <c r="C35" s="741"/>
      <c r="D35" s="630"/>
      <c r="E35" s="630"/>
      <c r="F35" s="630"/>
      <c r="G35" s="630"/>
      <c r="H35" s="630"/>
      <c r="I35" s="630"/>
      <c r="J35" s="740"/>
      <c r="K35" s="740"/>
      <c r="L35" s="630"/>
      <c r="M35" s="630"/>
      <c r="N35" s="630"/>
      <c r="O35" s="630"/>
      <c r="P35" s="630"/>
      <c r="Q35" s="630"/>
      <c r="R35" s="630"/>
      <c r="S35" s="630"/>
      <c r="T35" s="630"/>
      <c r="U35" s="630"/>
      <c r="V35" s="630"/>
      <c r="W35" s="630"/>
      <c r="X35" s="630"/>
      <c r="Y35" s="630"/>
      <c r="Z35" s="630"/>
      <c r="AA35" s="631"/>
    </row>
    <row r="36" spans="1:28" s="564" customFormat="1" hidden="1">
      <c r="A36" s="586" t="s">
        <v>269</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f>SUM(X35:X35)</f>
        <v>0</v>
      </c>
      <c r="Y36" s="589"/>
      <c r="Z36" s="589"/>
      <c r="AA36" s="590"/>
    </row>
    <row r="37" spans="1:28" s="564" customFormat="1">
      <c r="A37" s="586" t="s">
        <v>274</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f>SUMIF($AA$35:$AA$35,"industrie",X35:X35)</f>
        <v>0</v>
      </c>
      <c r="Y37" s="589"/>
      <c r="Z37" s="589"/>
      <c r="AA37" s="590"/>
    </row>
    <row r="38" spans="1:28" s="564" customFormat="1">
      <c r="A38" s="586" t="s">
        <v>275</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f>SUMIF($AA$35:$AA$36,"tertiair",X35:X36)</f>
        <v>0</v>
      </c>
      <c r="Y38" s="589"/>
      <c r="Z38" s="589"/>
      <c r="AA38" s="590"/>
    </row>
    <row r="39" spans="1:28" s="564" customFormat="1" ht="15.75" thickBot="1">
      <c r="A39" s="591" t="s">
        <v>276</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f>SUMIF($AA$35:$AA$37,"landbouw",X35:X37)</f>
        <v>0</v>
      </c>
      <c r="Y39" s="594"/>
      <c r="Z39" s="594"/>
      <c r="AA39" s="595"/>
    </row>
    <row r="40" spans="1:28" s="599"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599"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0" t="s">
        <v>772</v>
      </c>
      <c r="B42" s="601"/>
      <c r="C42" s="601"/>
      <c r="D42" s="601"/>
      <c r="E42" s="601"/>
      <c r="F42" s="601"/>
      <c r="G42" s="601"/>
      <c r="H42" s="601"/>
      <c r="I42" s="601"/>
      <c r="J42" s="602"/>
      <c r="K42" s="603"/>
      <c r="L42" s="604"/>
      <c r="M42" s="604"/>
      <c r="N42" s="604"/>
      <c r="O42" s="604"/>
      <c r="P42" s="604"/>
    </row>
    <row r="43" spans="1:28">
      <c r="A43" s="606"/>
      <c r="B43" s="597"/>
      <c r="C43" s="597"/>
      <c r="D43" s="597"/>
      <c r="E43" s="597"/>
      <c r="F43" s="597"/>
      <c r="G43" s="597"/>
      <c r="H43" s="597"/>
      <c r="I43" s="597"/>
      <c r="J43" s="607"/>
      <c r="K43" s="597"/>
      <c r="L43" s="604"/>
      <c r="M43" s="604"/>
      <c r="N43" s="604"/>
      <c r="O43" s="604"/>
      <c r="P43" s="604"/>
    </row>
    <row r="44" spans="1:28">
      <c r="A44" s="608"/>
      <c r="B44" s="609" t="s">
        <v>270</v>
      </c>
      <c r="C44" s="609" t="s">
        <v>271</v>
      </c>
      <c r="D44" s="609"/>
      <c r="E44" s="609"/>
      <c r="F44" s="609"/>
      <c r="G44" s="609"/>
      <c r="H44" s="609"/>
      <c r="I44" s="609"/>
      <c r="J44" s="610"/>
      <c r="K44" s="609"/>
      <c r="L44" s="609"/>
      <c r="M44" s="609"/>
      <c r="N44" s="609"/>
      <c r="O44" s="609"/>
      <c r="P44" s="604"/>
    </row>
    <row r="45" spans="1:28">
      <c r="A45" s="606" t="s">
        <v>269</v>
      </c>
      <c r="B45" s="611">
        <f>IF(ISERROR(O29/(O29+N29)),0,O29/(O29+N29))</f>
        <v>0.79161676646706591</v>
      </c>
      <c r="C45" s="612">
        <f>IF(ISERROR(N29/(O29+N29)),0,N29/(N29+O29))</f>
        <v>0.20838323353293411</v>
      </c>
      <c r="D45" s="580"/>
      <c r="E45" s="580"/>
      <c r="F45" s="580"/>
      <c r="G45" s="580"/>
      <c r="H45" s="580"/>
      <c r="I45" s="580"/>
      <c r="J45" s="613"/>
      <c r="K45" s="580"/>
      <c r="L45" s="614"/>
      <c r="M45" s="614"/>
      <c r="N45" s="614"/>
      <c r="O45" s="614"/>
      <c r="P45" s="604"/>
    </row>
    <row r="46" spans="1:28">
      <c r="A46" s="606"/>
      <c r="B46" s="615"/>
      <c r="C46" s="615"/>
      <c r="D46" s="615"/>
      <c r="E46" s="615"/>
      <c r="F46" s="615"/>
      <c r="G46" s="615"/>
      <c r="H46" s="615"/>
      <c r="I46" s="615"/>
      <c r="J46" s="616"/>
      <c r="K46" s="615"/>
      <c r="L46" s="617"/>
      <c r="M46" s="617"/>
      <c r="N46" s="617"/>
      <c r="O46" s="617"/>
      <c r="P46" s="604"/>
    </row>
    <row r="47" spans="1:28" ht="30">
      <c r="A47" s="618"/>
      <c r="B47" s="619" t="s">
        <v>495</v>
      </c>
      <c r="C47" s="619" t="s">
        <v>96</v>
      </c>
      <c r="D47" s="619" t="s">
        <v>97</v>
      </c>
      <c r="E47" s="619" t="s">
        <v>98</v>
      </c>
      <c r="F47" s="619" t="s">
        <v>99</v>
      </c>
      <c r="G47" s="619" t="s">
        <v>100</v>
      </c>
      <c r="H47" s="619" t="s">
        <v>101</v>
      </c>
      <c r="I47" s="619" t="s">
        <v>102</v>
      </c>
      <c r="J47" s="620" t="s">
        <v>771</v>
      </c>
      <c r="K47" s="609"/>
      <c r="L47" s="617"/>
      <c r="M47" s="617"/>
      <c r="N47" s="617"/>
      <c r="O47" s="604"/>
      <c r="P47" s="604"/>
    </row>
    <row r="48" spans="1:28">
      <c r="A48" s="608" t="s">
        <v>272</v>
      </c>
      <c r="B48" s="621">
        <f>$C$45*P29</f>
        <v>0</v>
      </c>
      <c r="C48" s="621">
        <f>$C$45*Q29</f>
        <v>52.426906191818901</v>
      </c>
      <c r="D48" s="621">
        <f>$C$45*R29</f>
        <v>0</v>
      </c>
      <c r="E48" s="621">
        <f>$C$45*S29</f>
        <v>0</v>
      </c>
      <c r="F48" s="621">
        <f>$C$45*T29</f>
        <v>0</v>
      </c>
      <c r="G48" s="621">
        <f>$C$45*U29</f>
        <v>0</v>
      </c>
      <c r="H48" s="621">
        <f>$C$45*V29</f>
        <v>0</v>
      </c>
      <c r="I48" s="621">
        <f>$C$45*W29</f>
        <v>0</v>
      </c>
      <c r="J48" s="621">
        <f>$C$45*X29</f>
        <v>0</v>
      </c>
      <c r="K48" s="580"/>
      <c r="L48" s="617"/>
      <c r="M48" s="617"/>
      <c r="N48" s="617"/>
      <c r="O48" s="604"/>
      <c r="P48" s="604"/>
    </row>
    <row r="49" spans="1:16" ht="15.75" thickBot="1">
      <c r="A49" s="622" t="s">
        <v>273</v>
      </c>
      <c r="B49" s="623">
        <f>$B$45*P29</f>
        <v>0</v>
      </c>
      <c r="C49" s="623">
        <f>$B$45*Q29</f>
        <v>199.16198271719713</v>
      </c>
      <c r="D49" s="623">
        <f>$B$45*R29</f>
        <v>0</v>
      </c>
      <c r="E49" s="623">
        <f>$B$45*S29</f>
        <v>0</v>
      </c>
      <c r="F49" s="623">
        <f>$B$45*T29</f>
        <v>0</v>
      </c>
      <c r="G49" s="623">
        <f>$B$45*U29</f>
        <v>0</v>
      </c>
      <c r="H49" s="623">
        <f>$B$45*V29</f>
        <v>0</v>
      </c>
      <c r="I49" s="623">
        <f>$B$45*W29</f>
        <v>0</v>
      </c>
      <c r="J49" s="623">
        <f>$B$45*X29</f>
        <v>0</v>
      </c>
      <c r="K49" s="580"/>
      <c r="L49" s="617"/>
      <c r="M49" s="617"/>
      <c r="N49" s="617"/>
      <c r="O49" s="604"/>
      <c r="P49" s="604"/>
    </row>
    <row r="50" spans="1:16" ht="15.75" thickBot="1">
      <c r="J50" s="560"/>
      <c r="K50" s="560"/>
      <c r="L50" s="560"/>
      <c r="M50" s="560"/>
      <c r="N50" s="560"/>
    </row>
    <row r="51" spans="1:16">
      <c r="A51" s="600" t="s">
        <v>773</v>
      </c>
      <c r="B51" s="601"/>
      <c r="C51" s="601"/>
      <c r="D51" s="601"/>
      <c r="E51" s="601"/>
      <c r="F51" s="601"/>
      <c r="G51" s="601"/>
      <c r="H51" s="601"/>
      <c r="I51" s="601"/>
      <c r="J51" s="602"/>
      <c r="K51" s="603"/>
      <c r="L51" s="604"/>
      <c r="M51" s="604"/>
      <c r="N51" s="604"/>
      <c r="O51" s="604"/>
      <c r="P51" s="604"/>
    </row>
    <row r="52" spans="1:16">
      <c r="A52" s="606"/>
      <c r="B52" s="597"/>
      <c r="C52" s="597"/>
      <c r="D52" s="597"/>
      <c r="E52" s="597"/>
      <c r="F52" s="597"/>
      <c r="G52" s="597"/>
      <c r="H52" s="597"/>
      <c r="I52" s="597"/>
      <c r="J52" s="607"/>
      <c r="K52" s="597"/>
      <c r="L52" s="604"/>
      <c r="M52" s="604"/>
      <c r="N52" s="604"/>
      <c r="O52" s="604"/>
      <c r="P52" s="604"/>
    </row>
    <row r="53" spans="1:16">
      <c r="A53" s="608"/>
      <c r="B53" s="609" t="s">
        <v>270</v>
      </c>
      <c r="C53" s="609" t="s">
        <v>271</v>
      </c>
      <c r="D53" s="609"/>
      <c r="E53" s="609"/>
      <c r="F53" s="609"/>
      <c r="G53" s="609"/>
      <c r="H53" s="609"/>
      <c r="I53" s="609"/>
      <c r="J53" s="610"/>
      <c r="K53" s="609"/>
      <c r="L53" s="609"/>
      <c r="M53" s="609"/>
      <c r="N53" s="609"/>
      <c r="O53" s="609"/>
      <c r="P53" s="604"/>
    </row>
    <row r="54" spans="1:16">
      <c r="A54" s="606" t="s">
        <v>269</v>
      </c>
      <c r="B54" s="611">
        <f>IF(ISERROR(O36/(O36+N36)),0,O36/(O36+N36))</f>
        <v>0</v>
      </c>
      <c r="C54" s="612">
        <f>IF(ISERROR(N36/(O36+N36)),0,N36/(N36+O36))</f>
        <v>0</v>
      </c>
      <c r="D54" s="580"/>
      <c r="E54" s="580"/>
      <c r="F54" s="580"/>
      <c r="G54" s="580"/>
      <c r="H54" s="580"/>
      <c r="I54" s="580"/>
      <c r="J54" s="613"/>
      <c r="K54" s="580"/>
      <c r="L54" s="614"/>
      <c r="M54" s="614"/>
      <c r="N54" s="614"/>
      <c r="O54" s="614"/>
      <c r="P54" s="604"/>
    </row>
    <row r="55" spans="1:16">
      <c r="A55" s="606"/>
      <c r="B55" s="615"/>
      <c r="C55" s="615"/>
      <c r="D55" s="615"/>
      <c r="E55" s="615"/>
      <c r="F55" s="615"/>
      <c r="G55" s="615"/>
      <c r="H55" s="615"/>
      <c r="I55" s="615"/>
      <c r="J55" s="616"/>
      <c r="K55" s="615"/>
      <c r="L55" s="617"/>
      <c r="M55" s="617"/>
      <c r="N55" s="617"/>
      <c r="O55" s="617"/>
      <c r="P55" s="604"/>
    </row>
    <row r="56" spans="1:16" ht="30">
      <c r="A56" s="618"/>
      <c r="B56" s="619" t="s">
        <v>495</v>
      </c>
      <c r="C56" s="619" t="s">
        <v>96</v>
      </c>
      <c r="D56" s="619" t="s">
        <v>97</v>
      </c>
      <c r="E56" s="619" t="s">
        <v>98</v>
      </c>
      <c r="F56" s="619" t="s">
        <v>99</v>
      </c>
      <c r="G56" s="619" t="s">
        <v>100</v>
      </c>
      <c r="H56" s="619" t="s">
        <v>101</v>
      </c>
      <c r="I56" s="619" t="s">
        <v>102</v>
      </c>
      <c r="J56" s="620" t="s">
        <v>771</v>
      </c>
      <c r="K56" s="609"/>
      <c r="L56" s="617"/>
      <c r="M56" s="617"/>
      <c r="N56" s="617"/>
      <c r="O56" s="604"/>
      <c r="P56" s="604"/>
    </row>
    <row r="57" spans="1:16">
      <c r="A57" s="608" t="s">
        <v>272</v>
      </c>
      <c r="B57" s="621">
        <f>$C$54*P36</f>
        <v>0</v>
      </c>
      <c r="C57" s="621">
        <f t="shared" ref="C57:J57" si="2">$C$54*Q36</f>
        <v>0</v>
      </c>
      <c r="D57" s="621">
        <f t="shared" si="2"/>
        <v>0</v>
      </c>
      <c r="E57" s="621">
        <f t="shared" si="2"/>
        <v>0</v>
      </c>
      <c r="F57" s="621">
        <f t="shared" si="2"/>
        <v>0</v>
      </c>
      <c r="G57" s="621">
        <f t="shared" si="2"/>
        <v>0</v>
      </c>
      <c r="H57" s="621">
        <f t="shared" si="2"/>
        <v>0</v>
      </c>
      <c r="I57" s="621">
        <f t="shared" si="2"/>
        <v>0</v>
      </c>
      <c r="J57" s="621">
        <f t="shared" si="2"/>
        <v>0</v>
      </c>
      <c r="K57" s="580"/>
      <c r="L57" s="617"/>
      <c r="M57" s="617"/>
      <c r="N57" s="617"/>
      <c r="O57" s="604"/>
      <c r="P57" s="604"/>
    </row>
    <row r="58" spans="1:16" ht="15.75" thickBot="1">
      <c r="A58" s="622" t="s">
        <v>273</v>
      </c>
      <c r="B58" s="623">
        <f>$B$54*P36</f>
        <v>0</v>
      </c>
      <c r="C58" s="623">
        <f t="shared" ref="C58:J58" si="3">$B$54*Q36</f>
        <v>0</v>
      </c>
      <c r="D58" s="623">
        <f t="shared" si="3"/>
        <v>0</v>
      </c>
      <c r="E58" s="623">
        <f t="shared" si="3"/>
        <v>0</v>
      </c>
      <c r="F58" s="623">
        <f t="shared" si="3"/>
        <v>0</v>
      </c>
      <c r="G58" s="623">
        <f t="shared" si="3"/>
        <v>0</v>
      </c>
      <c r="H58" s="623">
        <f t="shared" si="3"/>
        <v>0</v>
      </c>
      <c r="I58" s="623">
        <f t="shared" si="3"/>
        <v>0</v>
      </c>
      <c r="J58" s="623">
        <f t="shared" si="3"/>
        <v>0</v>
      </c>
      <c r="K58" s="580"/>
      <c r="L58" s="617"/>
      <c r="M58" s="617"/>
      <c r="N58" s="617"/>
      <c r="O58" s="604"/>
      <c r="P58" s="604"/>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topLeftCell="A4" zoomScale="69" zoomScaleNormal="69" workbookViewId="0">
      <selection activeCell="E88" sqref="E88"/>
    </sheetView>
  </sheetViews>
  <sheetFormatPr defaultColWidth="9.140625" defaultRowHeight="14.25"/>
  <cols>
    <col min="1" max="1" width="67.85546875" style="437" customWidth="1"/>
    <col min="2" max="2" width="22.85546875" style="437"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7"/>
  </cols>
  <sheetData>
    <row r="2" spans="1:19" ht="15.75">
      <c r="A2" s="1049" t="s">
        <v>210</v>
      </c>
      <c r="B2" s="1049"/>
      <c r="C2" s="1049"/>
      <c r="D2" s="59"/>
      <c r="E2" s="59"/>
      <c r="F2" s="59"/>
      <c r="G2" s="59"/>
      <c r="H2" s="60"/>
      <c r="I2" s="60"/>
      <c r="J2" s="61"/>
      <c r="K2" s="61"/>
      <c r="L2" s="60"/>
      <c r="M2" s="60"/>
      <c r="N2" s="60"/>
      <c r="O2" s="60"/>
      <c r="P2" s="60"/>
      <c r="Q2" s="60"/>
      <c r="R2" s="60"/>
    </row>
    <row r="3" spans="1:19">
      <c r="A3" s="1050"/>
      <c r="B3" s="1050"/>
      <c r="C3" s="1050"/>
      <c r="D3" s="1050"/>
      <c r="E3" s="1050"/>
      <c r="F3" s="1050"/>
      <c r="G3" s="1050"/>
      <c r="H3" s="1050"/>
      <c r="I3" s="1050"/>
      <c r="J3" s="1050"/>
      <c r="K3" s="1050"/>
      <c r="L3" s="1050"/>
      <c r="M3" s="1050"/>
      <c r="N3" s="1050"/>
      <c r="O3" s="1050"/>
      <c r="P3" s="1050"/>
      <c r="Q3" s="1050"/>
      <c r="R3" s="1050"/>
    </row>
    <row r="4" spans="1:19" ht="15.75" thickBot="1">
      <c r="A4" s="438"/>
      <c r="B4" s="438"/>
      <c r="C4" s="63"/>
      <c r="D4" s="63"/>
      <c r="E4" s="63"/>
      <c r="F4" s="63"/>
      <c r="G4" s="63"/>
      <c r="H4" s="63"/>
      <c r="I4" s="63"/>
      <c r="J4" s="63"/>
      <c r="K4" s="63"/>
      <c r="L4" s="63"/>
      <c r="M4" s="63"/>
      <c r="N4" s="63"/>
      <c r="O4" s="63"/>
      <c r="P4" s="63"/>
      <c r="Q4" s="63"/>
      <c r="R4" s="63"/>
    </row>
    <row r="5" spans="1:19" ht="16.5" thickBot="1">
      <c r="A5" s="1051" t="s">
        <v>211</v>
      </c>
      <c r="B5" s="748"/>
      <c r="C5" s="1054" t="s">
        <v>328</v>
      </c>
      <c r="D5" s="1055"/>
      <c r="E5" s="1055"/>
      <c r="F5" s="1055"/>
      <c r="G5" s="1055"/>
      <c r="H5" s="1055"/>
      <c r="I5" s="1055"/>
      <c r="J5" s="1055"/>
      <c r="K5" s="1055"/>
      <c r="L5" s="1055"/>
      <c r="M5" s="1055"/>
      <c r="N5" s="1055"/>
      <c r="O5" s="1055"/>
      <c r="P5" s="1055"/>
      <c r="Q5" s="1055"/>
      <c r="R5" s="1056"/>
    </row>
    <row r="6" spans="1:19" ht="16.5" thickTop="1">
      <c r="A6" s="1052"/>
      <c r="B6" s="749"/>
      <c r="C6" s="1057" t="s">
        <v>20</v>
      </c>
      <c r="D6" s="1059" t="s">
        <v>189</v>
      </c>
      <c r="E6" s="1061" t="s">
        <v>190</v>
      </c>
      <c r="F6" s="1062"/>
      <c r="G6" s="1062"/>
      <c r="H6" s="1062"/>
      <c r="I6" s="1062"/>
      <c r="J6" s="1062"/>
      <c r="K6" s="1062"/>
      <c r="L6" s="1063"/>
      <c r="M6" s="1061" t="s">
        <v>191</v>
      </c>
      <c r="N6" s="1062"/>
      <c r="O6" s="1062"/>
      <c r="P6" s="1062"/>
      <c r="Q6" s="1062"/>
      <c r="R6" s="1064" t="s">
        <v>109</v>
      </c>
    </row>
    <row r="7" spans="1:19" ht="45.75" thickBot="1">
      <c r="A7" s="1053"/>
      <c r="B7" s="750"/>
      <c r="C7" s="1058"/>
      <c r="D7" s="1060"/>
      <c r="E7" s="434" t="s">
        <v>192</v>
      </c>
      <c r="F7" s="434" t="s">
        <v>193</v>
      </c>
      <c r="G7" s="64" t="s">
        <v>194</v>
      </c>
      <c r="H7" s="434" t="s">
        <v>195</v>
      </c>
      <c r="I7" s="434" t="s">
        <v>113</v>
      </c>
      <c r="J7" s="434" t="s">
        <v>196</v>
      </c>
      <c r="K7" s="435" t="s">
        <v>197</v>
      </c>
      <c r="L7" s="435" t="s">
        <v>198</v>
      </c>
      <c r="M7" s="64" t="s">
        <v>199</v>
      </c>
      <c r="N7" s="65" t="s">
        <v>200</v>
      </c>
      <c r="O7" s="65" t="s">
        <v>201</v>
      </c>
      <c r="P7" s="65" t="s">
        <v>202</v>
      </c>
      <c r="Q7" s="66" t="s">
        <v>203</v>
      </c>
      <c r="R7" s="1065"/>
    </row>
    <row r="8" spans="1:19" ht="18.75" customHeight="1" thickTop="1">
      <c r="A8" s="756" t="s">
        <v>329</v>
      </c>
      <c r="B8" s="761"/>
      <c r="C8" s="1066"/>
      <c r="D8" s="1066"/>
      <c r="E8" s="1066"/>
      <c r="F8" s="1066"/>
      <c r="G8" s="1066"/>
      <c r="H8" s="1066"/>
      <c r="I8" s="1066"/>
      <c r="J8" s="1066"/>
      <c r="K8" s="1066"/>
      <c r="L8" s="1066"/>
      <c r="M8" s="1066"/>
      <c r="N8" s="1066"/>
      <c r="O8" s="1066"/>
      <c r="P8" s="1066"/>
      <c r="Q8" s="1066"/>
      <c r="R8" s="299"/>
    </row>
    <row r="9" spans="1:19" s="439" customFormat="1">
      <c r="A9" s="757" t="s">
        <v>212</v>
      </c>
      <c r="B9" s="762"/>
      <c r="C9" s="637">
        <f>'Eigen gebouwen'!B15</f>
        <v>0</v>
      </c>
      <c r="D9" s="637">
        <f>'Eigen gebouwen'!C15</f>
        <v>0</v>
      </c>
      <c r="E9" s="637">
        <f>'Eigen gebouwen'!D15</f>
        <v>0</v>
      </c>
      <c r="F9" s="637">
        <f>'Eigen gebouwen'!E15</f>
        <v>0</v>
      </c>
      <c r="G9" s="637">
        <f>'Eigen gebouwen'!F15</f>
        <v>0</v>
      </c>
      <c r="H9" s="637">
        <f>'Eigen gebouwen'!G15</f>
        <v>0</v>
      </c>
      <c r="I9" s="637">
        <f>'Eigen gebouwen'!H15</f>
        <v>0</v>
      </c>
      <c r="J9" s="637">
        <f>'Eigen gebouwen'!I15</f>
        <v>0</v>
      </c>
      <c r="K9" s="637">
        <f>'Eigen gebouwen'!J15</f>
        <v>0</v>
      </c>
      <c r="L9" s="637">
        <f>'Eigen gebouwen'!K15</f>
        <v>0</v>
      </c>
      <c r="M9" s="637">
        <f>'Eigen gebouwen'!L15</f>
        <v>0</v>
      </c>
      <c r="N9" s="637">
        <f>'Eigen gebouwen'!M15</f>
        <v>0</v>
      </c>
      <c r="O9" s="637">
        <f>'Eigen gebouwen'!N15</f>
        <v>0</v>
      </c>
      <c r="P9" s="637">
        <f>'Eigen gebouwen'!O15</f>
        <v>0</v>
      </c>
      <c r="Q9" s="638">
        <f>'Eigen gebouwen'!P15</f>
        <v>0</v>
      </c>
      <c r="R9" s="639">
        <f>SUM(C9:Q9)</f>
        <v>0</v>
      </c>
      <c r="S9" s="67"/>
    </row>
    <row r="10" spans="1:19" s="439" customFormat="1">
      <c r="A10" s="758" t="s">
        <v>213</v>
      </c>
      <c r="B10" s="763"/>
      <c r="C10" s="637">
        <f ca="1">tertiair!B16+'openbare verlichting'!B8</f>
        <v>22519.063688100923</v>
      </c>
      <c r="D10" s="637">
        <f ca="1">tertiair!C16</f>
        <v>0</v>
      </c>
      <c r="E10" s="637">
        <f ca="1">tertiair!D16</f>
        <v>31436.859660277551</v>
      </c>
      <c r="F10" s="637">
        <f ca="1">tertiair!E16</f>
        <v>43.953008577626228</v>
      </c>
      <c r="G10" s="637">
        <f ca="1">tertiair!F16</f>
        <v>4394.8847957296121</v>
      </c>
      <c r="H10" s="637">
        <f>tertiair!G16</f>
        <v>0</v>
      </c>
      <c r="I10" s="637">
        <f>tertiair!H16</f>
        <v>0</v>
      </c>
      <c r="J10" s="637">
        <f>tertiair!I16</f>
        <v>0</v>
      </c>
      <c r="K10" s="637">
        <f>tertiair!J16</f>
        <v>3.748439021373131E-2</v>
      </c>
      <c r="L10" s="637">
        <f>tertiair!K16</f>
        <v>0</v>
      </c>
      <c r="M10" s="637">
        <f ca="1">tertiair!L16</f>
        <v>0</v>
      </c>
      <c r="N10" s="637">
        <f>tertiair!M16</f>
        <v>0</v>
      </c>
      <c r="O10" s="637">
        <f ca="1">tertiair!N16</f>
        <v>1437.830149118678</v>
      </c>
      <c r="P10" s="637">
        <f>tertiair!O16</f>
        <v>14.691782297523464</v>
      </c>
      <c r="Q10" s="638">
        <f>tertiair!P16</f>
        <v>262.69569153247511</v>
      </c>
      <c r="R10" s="640">
        <f ca="1">SUM(C10:Q10)</f>
        <v>60110.016260024611</v>
      </c>
      <c r="S10" s="67"/>
    </row>
    <row r="11" spans="1:19" s="439" customFormat="1">
      <c r="A11" s="757" t="s">
        <v>214</v>
      </c>
      <c r="B11" s="762"/>
      <c r="C11" s="637">
        <f>huishoudens!B8</f>
        <v>31270.937819864215</v>
      </c>
      <c r="D11" s="637">
        <f>huishoudens!C8</f>
        <v>0</v>
      </c>
      <c r="E11" s="637">
        <f>huishoudens!D8</f>
        <v>42035.503836551397</v>
      </c>
      <c r="F11" s="637">
        <f>huishoudens!E8</f>
        <v>3001.937894297841</v>
      </c>
      <c r="G11" s="637">
        <f>huishoudens!F8</f>
        <v>38030.165472902554</v>
      </c>
      <c r="H11" s="637">
        <f>huishoudens!G8</f>
        <v>0</v>
      </c>
      <c r="I11" s="637">
        <f>huishoudens!H8</f>
        <v>0</v>
      </c>
      <c r="J11" s="637">
        <f>huishoudens!I8</f>
        <v>0</v>
      </c>
      <c r="K11" s="637">
        <f>huishoudens!J8</f>
        <v>243.41497333371038</v>
      </c>
      <c r="L11" s="637">
        <f>huishoudens!K8</f>
        <v>0</v>
      </c>
      <c r="M11" s="637">
        <f>huishoudens!L8</f>
        <v>0</v>
      </c>
      <c r="N11" s="637">
        <f>huishoudens!M8</f>
        <v>0</v>
      </c>
      <c r="O11" s="637">
        <f>huishoudens!N8</f>
        <v>8747.8721309065622</v>
      </c>
      <c r="P11" s="637">
        <f>huishoudens!O8</f>
        <v>718.19287541810547</v>
      </c>
      <c r="Q11" s="638">
        <f>huishoudens!P8</f>
        <v>1759.1712043833986</v>
      </c>
      <c r="R11" s="640">
        <f>SUM(C11:Q11)</f>
        <v>125807.19620765776</v>
      </c>
      <c r="S11" s="67"/>
    </row>
    <row r="12" spans="1:19" s="439" customFormat="1">
      <c r="A12" s="757" t="s">
        <v>467</v>
      </c>
      <c r="B12" s="762"/>
      <c r="C12" s="637">
        <f>'Eigen openbare verlichting'!B15</f>
        <v>0</v>
      </c>
      <c r="D12" s="637"/>
      <c r="E12" s="637"/>
      <c r="F12" s="637"/>
      <c r="G12" s="637"/>
      <c r="H12" s="637"/>
      <c r="I12" s="637"/>
      <c r="J12" s="637"/>
      <c r="K12" s="637"/>
      <c r="L12" s="637"/>
      <c r="M12" s="637"/>
      <c r="N12" s="637"/>
      <c r="O12" s="637"/>
      <c r="P12" s="637"/>
      <c r="Q12" s="637"/>
      <c r="R12" s="640">
        <f>SUM(C12:Q12)</f>
        <v>0</v>
      </c>
      <c r="S12" s="67"/>
    </row>
    <row r="13" spans="1:19" s="439" customFormat="1">
      <c r="A13" s="757" t="s">
        <v>572</v>
      </c>
      <c r="B13" s="766" t="s">
        <v>570</v>
      </c>
      <c r="C13" s="637">
        <f>industrie!B18</f>
        <v>6699.069502024855</v>
      </c>
      <c r="D13" s="637">
        <f>industrie!C18</f>
        <v>0</v>
      </c>
      <c r="E13" s="637">
        <f>industrie!D18</f>
        <v>1971.308226776383</v>
      </c>
      <c r="F13" s="637">
        <f>industrie!E18</f>
        <v>144.8357254389791</v>
      </c>
      <c r="G13" s="637">
        <f>industrie!F18</f>
        <v>2261.9542582876311</v>
      </c>
      <c r="H13" s="637">
        <f>industrie!G18</f>
        <v>0</v>
      </c>
      <c r="I13" s="637">
        <f>industrie!H18</f>
        <v>0</v>
      </c>
      <c r="J13" s="637">
        <f>industrie!I18</f>
        <v>0</v>
      </c>
      <c r="K13" s="637">
        <f>industrie!J18</f>
        <v>27.889793029830379</v>
      </c>
      <c r="L13" s="637">
        <f>industrie!K18</f>
        <v>0</v>
      </c>
      <c r="M13" s="637">
        <f>industrie!L18</f>
        <v>0</v>
      </c>
      <c r="N13" s="637">
        <f>industrie!M18</f>
        <v>0</v>
      </c>
      <c r="O13" s="637">
        <f>industrie!N18</f>
        <v>54.690814080107188</v>
      </c>
      <c r="P13" s="637">
        <f>industrie!O18</f>
        <v>0</v>
      </c>
      <c r="Q13" s="638">
        <f>industrie!P18</f>
        <v>0</v>
      </c>
      <c r="R13" s="640">
        <f>SUM(C13:Q13)</f>
        <v>11159.748319637787</v>
      </c>
      <c r="S13" s="67"/>
    </row>
    <row r="14" spans="1:19" s="439" customFormat="1">
      <c r="A14" s="757"/>
      <c r="B14" s="766" t="s">
        <v>571</v>
      </c>
      <c r="C14" s="637"/>
      <c r="D14" s="637"/>
      <c r="E14" s="637"/>
      <c r="F14" s="637"/>
      <c r="G14" s="637"/>
      <c r="H14" s="637"/>
      <c r="I14" s="637"/>
      <c r="J14" s="637"/>
      <c r="K14" s="637"/>
      <c r="L14" s="637"/>
      <c r="M14" s="637"/>
      <c r="N14" s="637"/>
      <c r="O14" s="637"/>
      <c r="P14" s="637"/>
      <c r="Q14" s="637"/>
      <c r="R14" s="640"/>
      <c r="S14" s="67"/>
    </row>
    <row r="15" spans="1:19" s="439" customFormat="1" ht="15" thickBot="1">
      <c r="A15" s="889" t="s">
        <v>633</v>
      </c>
      <c r="B15" s="890"/>
      <c r="C15" s="891"/>
      <c r="D15" s="891"/>
      <c r="E15" s="891"/>
      <c r="F15" s="891"/>
      <c r="G15" s="891"/>
      <c r="H15" s="891"/>
      <c r="I15" s="891"/>
      <c r="J15" s="891"/>
      <c r="K15" s="891"/>
      <c r="L15" s="891"/>
      <c r="M15" s="891"/>
      <c r="N15" s="891"/>
      <c r="O15" s="891"/>
      <c r="P15" s="891"/>
      <c r="Q15" s="892"/>
      <c r="R15" s="639"/>
      <c r="S15" s="67"/>
    </row>
    <row r="16" spans="1:19" s="439" customFormat="1" ht="15.75" thickBot="1">
      <c r="A16" s="641" t="s">
        <v>215</v>
      </c>
      <c r="B16" s="764"/>
      <c r="C16" s="673">
        <f ca="1">SUM(C9:C15)</f>
        <v>60489.071009989988</v>
      </c>
      <c r="D16" s="673">
        <f t="shared" ref="D16:R16" ca="1" si="0">SUM(D9:D15)</f>
        <v>0</v>
      </c>
      <c r="E16" s="673">
        <f t="shared" ca="1" si="0"/>
        <v>75443.671723605323</v>
      </c>
      <c r="F16" s="673">
        <f t="shared" ca="1" si="0"/>
        <v>3190.7266283144463</v>
      </c>
      <c r="G16" s="673">
        <f t="shared" ca="1" si="0"/>
        <v>44687.004526919794</v>
      </c>
      <c r="H16" s="673">
        <f t="shared" si="0"/>
        <v>0</v>
      </c>
      <c r="I16" s="673">
        <f t="shared" si="0"/>
        <v>0</v>
      </c>
      <c r="J16" s="673">
        <f t="shared" si="0"/>
        <v>0</v>
      </c>
      <c r="K16" s="673">
        <f t="shared" si="0"/>
        <v>271.34225075375451</v>
      </c>
      <c r="L16" s="673">
        <f t="shared" si="0"/>
        <v>0</v>
      </c>
      <c r="M16" s="673">
        <f t="shared" ca="1" si="0"/>
        <v>0</v>
      </c>
      <c r="N16" s="673">
        <f t="shared" si="0"/>
        <v>0</v>
      </c>
      <c r="O16" s="673">
        <f t="shared" ca="1" si="0"/>
        <v>10240.393094105348</v>
      </c>
      <c r="P16" s="673">
        <f t="shared" si="0"/>
        <v>732.88465771562892</v>
      </c>
      <c r="Q16" s="673">
        <f t="shared" si="0"/>
        <v>2021.8668959158738</v>
      </c>
      <c r="R16" s="673">
        <f t="shared" ca="1" si="0"/>
        <v>197076.96078732016</v>
      </c>
      <c r="S16" s="67"/>
    </row>
    <row r="17" spans="1:19" s="439" customFormat="1" ht="15.75">
      <c r="A17" s="759" t="s">
        <v>216</v>
      </c>
      <c r="B17" s="677"/>
      <c r="C17" s="1067"/>
      <c r="D17" s="1067"/>
      <c r="E17" s="1067"/>
      <c r="F17" s="1067"/>
      <c r="G17" s="1067"/>
      <c r="H17" s="1067"/>
      <c r="I17" s="1067"/>
      <c r="J17" s="1067"/>
      <c r="K17" s="1067"/>
      <c r="L17" s="1067"/>
      <c r="M17" s="1067"/>
      <c r="N17" s="1067"/>
      <c r="O17" s="1067"/>
      <c r="P17" s="1067"/>
      <c r="Q17" s="1067"/>
      <c r="R17" s="642"/>
      <c r="S17" s="67"/>
    </row>
    <row r="18" spans="1:19" s="439" customFormat="1">
      <c r="A18" s="757" t="s">
        <v>217</v>
      </c>
      <c r="B18" s="762"/>
      <c r="C18" s="637">
        <f>'Eigen vloot'!B27</f>
        <v>0</v>
      </c>
      <c r="D18" s="637">
        <f>'Eigen vloot'!C27</f>
        <v>0</v>
      </c>
      <c r="E18" s="637">
        <f>'Eigen vloot'!D27</f>
        <v>0</v>
      </c>
      <c r="F18" s="637">
        <f>'Eigen vloot'!E27</f>
        <v>0</v>
      </c>
      <c r="G18" s="637">
        <f>'Eigen vloot'!F27</f>
        <v>0</v>
      </c>
      <c r="H18" s="637">
        <f>'Eigen vloot'!G27</f>
        <v>0</v>
      </c>
      <c r="I18" s="637">
        <f>'Eigen vloot'!H27</f>
        <v>0</v>
      </c>
      <c r="J18" s="637">
        <f>'Eigen vloot'!I27</f>
        <v>0</v>
      </c>
      <c r="K18" s="637">
        <f>'Eigen vloot'!J27</f>
        <v>0</v>
      </c>
      <c r="L18" s="637">
        <f>'Eigen vloot'!K27</f>
        <v>0</v>
      </c>
      <c r="M18" s="637">
        <f>'Eigen vloot'!L27</f>
        <v>0</v>
      </c>
      <c r="N18" s="637">
        <f>'Eigen vloot'!M27</f>
        <v>0</v>
      </c>
      <c r="O18" s="637">
        <f>'Eigen vloot'!N27</f>
        <v>0</v>
      </c>
      <c r="P18" s="637">
        <f>'Eigen vloot'!O27</f>
        <v>0</v>
      </c>
      <c r="Q18" s="638">
        <f>'Eigen vloot'!P27</f>
        <v>0</v>
      </c>
      <c r="R18" s="640">
        <f>SUM(C18:Q18)</f>
        <v>0</v>
      </c>
      <c r="S18" s="67"/>
    </row>
    <row r="19" spans="1:19" s="439" customFormat="1">
      <c r="A19" s="757" t="s">
        <v>218</v>
      </c>
      <c r="B19" s="762"/>
      <c r="C19" s="637">
        <f>transport!B54</f>
        <v>49.058174739925576</v>
      </c>
      <c r="D19" s="637">
        <f>transport!C54</f>
        <v>0</v>
      </c>
      <c r="E19" s="637">
        <f>transport!D54</f>
        <v>0</v>
      </c>
      <c r="F19" s="637">
        <f>transport!E54</f>
        <v>0</v>
      </c>
      <c r="G19" s="637">
        <f>transport!F54</f>
        <v>0</v>
      </c>
      <c r="H19" s="637">
        <f>transport!G54</f>
        <v>2014.6591888667735</v>
      </c>
      <c r="I19" s="637">
        <f>transport!H54</f>
        <v>0</v>
      </c>
      <c r="J19" s="637">
        <f>transport!I54</f>
        <v>0</v>
      </c>
      <c r="K19" s="637">
        <f>transport!J54</f>
        <v>0</v>
      </c>
      <c r="L19" s="637">
        <f>transport!K54</f>
        <v>0</v>
      </c>
      <c r="M19" s="637">
        <f>transport!L54</f>
        <v>0</v>
      </c>
      <c r="N19" s="637">
        <f>transport!M54</f>
        <v>225.51870897581321</v>
      </c>
      <c r="O19" s="637">
        <f>transport!N54</f>
        <v>0</v>
      </c>
      <c r="P19" s="637">
        <f>transport!O54</f>
        <v>0</v>
      </c>
      <c r="Q19" s="638">
        <f>transport!P54</f>
        <v>0</v>
      </c>
      <c r="R19" s="640">
        <f>SUM(C19:Q19)</f>
        <v>2289.2360725825124</v>
      </c>
      <c r="S19" s="67"/>
    </row>
    <row r="20" spans="1:19" s="439" customFormat="1">
      <c r="A20" s="757" t="s">
        <v>294</v>
      </c>
      <c r="B20" s="762"/>
      <c r="C20" s="637">
        <f>transport!B14</f>
        <v>577.38496794303899</v>
      </c>
      <c r="D20" s="637">
        <f>transport!C14</f>
        <v>0</v>
      </c>
      <c r="E20" s="637">
        <f>transport!D14</f>
        <v>592.19149858733499</v>
      </c>
      <c r="F20" s="637">
        <f>transport!E14</f>
        <v>195.07992630984521</v>
      </c>
      <c r="G20" s="637">
        <f>transport!F14</f>
        <v>0</v>
      </c>
      <c r="H20" s="637">
        <f>transport!G14</f>
        <v>73527.346942820936</v>
      </c>
      <c r="I20" s="637">
        <f>transport!H14</f>
        <v>27934.485317852763</v>
      </c>
      <c r="J20" s="637">
        <f>transport!I14</f>
        <v>0</v>
      </c>
      <c r="K20" s="637">
        <f>transport!J14</f>
        <v>0</v>
      </c>
      <c r="L20" s="637">
        <f>transport!K14</f>
        <v>0</v>
      </c>
      <c r="M20" s="637">
        <f>transport!L14</f>
        <v>0</v>
      </c>
      <c r="N20" s="637">
        <f>transport!M14</f>
        <v>10634.263385334772</v>
      </c>
      <c r="O20" s="637">
        <f>transport!N14</f>
        <v>0</v>
      </c>
      <c r="P20" s="637">
        <f>transport!O14</f>
        <v>0</v>
      </c>
      <c r="Q20" s="638">
        <f>transport!P14</f>
        <v>0</v>
      </c>
      <c r="R20" s="640">
        <f>SUM(C20:Q20)</f>
        <v>113460.7520388487</v>
      </c>
      <c r="S20" s="67"/>
    </row>
    <row r="21" spans="1:19" s="439" customFormat="1" ht="15" thickBot="1">
      <c r="A21" s="779" t="s">
        <v>636</v>
      </c>
      <c r="B21" s="890"/>
      <c r="C21" s="891"/>
      <c r="D21" s="891"/>
      <c r="E21" s="891"/>
      <c r="F21" s="891"/>
      <c r="G21" s="891"/>
      <c r="H21" s="891"/>
      <c r="I21" s="891"/>
      <c r="J21" s="891"/>
      <c r="K21" s="891"/>
      <c r="L21" s="891"/>
      <c r="M21" s="891"/>
      <c r="N21" s="891"/>
      <c r="O21" s="891"/>
      <c r="P21" s="891"/>
      <c r="Q21" s="892"/>
      <c r="R21" s="639"/>
      <c r="S21" s="67"/>
    </row>
    <row r="22" spans="1:19" s="439" customFormat="1" ht="15.75" thickBot="1">
      <c r="A22" s="645" t="s">
        <v>219</v>
      </c>
      <c r="B22" s="765"/>
      <c r="C22" s="760">
        <f>SUM(C18:C21)</f>
        <v>626.44314268296455</v>
      </c>
      <c r="D22" s="760">
        <f t="shared" ref="D22:R22" si="1">SUM(D18:D21)</f>
        <v>0</v>
      </c>
      <c r="E22" s="760">
        <f t="shared" si="1"/>
        <v>592.19149858733499</v>
      </c>
      <c r="F22" s="760">
        <f t="shared" si="1"/>
        <v>195.07992630984521</v>
      </c>
      <c r="G22" s="760">
        <f t="shared" si="1"/>
        <v>0</v>
      </c>
      <c r="H22" s="760">
        <f t="shared" si="1"/>
        <v>75542.006131687711</v>
      </c>
      <c r="I22" s="760">
        <f t="shared" si="1"/>
        <v>27934.485317852763</v>
      </c>
      <c r="J22" s="760">
        <f t="shared" si="1"/>
        <v>0</v>
      </c>
      <c r="K22" s="760">
        <f t="shared" si="1"/>
        <v>0</v>
      </c>
      <c r="L22" s="760">
        <f t="shared" si="1"/>
        <v>0</v>
      </c>
      <c r="M22" s="760">
        <f t="shared" si="1"/>
        <v>0</v>
      </c>
      <c r="N22" s="760">
        <f t="shared" si="1"/>
        <v>10859.782094310585</v>
      </c>
      <c r="O22" s="760">
        <f t="shared" si="1"/>
        <v>0</v>
      </c>
      <c r="P22" s="760">
        <f t="shared" si="1"/>
        <v>0</v>
      </c>
      <c r="Q22" s="760">
        <f t="shared" si="1"/>
        <v>0</v>
      </c>
      <c r="R22" s="760">
        <f t="shared" si="1"/>
        <v>115749.98811143122</v>
      </c>
      <c r="S22" s="67"/>
    </row>
    <row r="23" spans="1:19" s="439" customFormat="1" ht="15.75">
      <c r="A23" s="759" t="s">
        <v>226</v>
      </c>
      <c r="B23" s="677"/>
      <c r="C23" s="1067"/>
      <c r="D23" s="1067"/>
      <c r="E23" s="1067"/>
      <c r="F23" s="1067"/>
      <c r="G23" s="1067"/>
      <c r="H23" s="1067"/>
      <c r="I23" s="1067"/>
      <c r="J23" s="1067"/>
      <c r="K23" s="1067"/>
      <c r="L23" s="1067"/>
      <c r="M23" s="1067"/>
      <c r="N23" s="1067"/>
      <c r="O23" s="1067"/>
      <c r="P23" s="1067"/>
      <c r="Q23" s="1067"/>
      <c r="R23" s="642"/>
      <c r="S23" s="67"/>
    </row>
    <row r="24" spans="1:19" s="439" customFormat="1">
      <c r="A24" s="757" t="s">
        <v>567</v>
      </c>
      <c r="B24" s="762"/>
      <c r="C24" s="637">
        <f>+landbouw!B8</f>
        <v>3985.03426618512</v>
      </c>
      <c r="D24" s="637">
        <f>+landbouw!C8</f>
        <v>183.61111112580002</v>
      </c>
      <c r="E24" s="637">
        <f>+landbouw!D8</f>
        <v>337.2775347673462</v>
      </c>
      <c r="F24" s="637">
        <f>+landbouw!E8</f>
        <v>134.38145977095803</v>
      </c>
      <c r="G24" s="637">
        <f>+landbouw!F8</f>
        <v>13806.918740794539</v>
      </c>
      <c r="H24" s="637">
        <f>+landbouw!G8</f>
        <v>0</v>
      </c>
      <c r="I24" s="637">
        <f>+landbouw!H8</f>
        <v>0</v>
      </c>
      <c r="J24" s="637">
        <f>+landbouw!I8</f>
        <v>0</v>
      </c>
      <c r="K24" s="637">
        <f>+landbouw!J8</f>
        <v>864.96557711362141</v>
      </c>
      <c r="L24" s="637">
        <f>+landbouw!K8</f>
        <v>0</v>
      </c>
      <c r="M24" s="637">
        <f>+landbouw!L8</f>
        <v>0</v>
      </c>
      <c r="N24" s="637">
        <f>+landbouw!M8</f>
        <v>0</v>
      </c>
      <c r="O24" s="637">
        <f>+landbouw!N8</f>
        <v>0</v>
      </c>
      <c r="P24" s="637">
        <f>+landbouw!O8</f>
        <v>0</v>
      </c>
      <c r="Q24" s="638">
        <f>+landbouw!P8</f>
        <v>0</v>
      </c>
      <c r="R24" s="640">
        <f>SUM(C24:Q24)</f>
        <v>19312.188689757382</v>
      </c>
      <c r="S24" s="67"/>
    </row>
    <row r="25" spans="1:19" s="439" customFormat="1" ht="15" thickBot="1">
      <c r="A25" s="779" t="s">
        <v>634</v>
      </c>
      <c r="B25" s="890"/>
      <c r="C25" s="891">
        <f>IF(Onbekend_ele_kWh="---",0,Onbekend_ele_kWh)/1000+IF(REST_rest_ele_kWh="---",0,REST_rest_ele_kWh)/1000</f>
        <v>1191.67731542248</v>
      </c>
      <c r="D25" s="891"/>
      <c r="E25" s="891">
        <f>IF(onbekend_gas_kWh="---",0,onbekend_gas_kWh)/1000+IF(REST_rest_gas_kWh="---",0,REST_rest_gas_kWh)/1000</f>
        <v>1859.1213914391401</v>
      </c>
      <c r="F25" s="891"/>
      <c r="G25" s="891"/>
      <c r="H25" s="891"/>
      <c r="I25" s="891"/>
      <c r="J25" s="891"/>
      <c r="K25" s="891"/>
      <c r="L25" s="891"/>
      <c r="M25" s="891"/>
      <c r="N25" s="891"/>
      <c r="O25" s="891"/>
      <c r="P25" s="891"/>
      <c r="Q25" s="892"/>
      <c r="R25" s="640">
        <f>SUM(C25:Q25)</f>
        <v>3050.7987068616203</v>
      </c>
      <c r="S25" s="67"/>
    </row>
    <row r="26" spans="1:19" s="439" customFormat="1" ht="15.75" thickBot="1">
      <c r="A26" s="645" t="s">
        <v>635</v>
      </c>
      <c r="B26" s="765"/>
      <c r="C26" s="760">
        <f>SUM(C24:C25)</f>
        <v>5176.7115816076002</v>
      </c>
      <c r="D26" s="760">
        <f t="shared" ref="D26:R26" si="2">SUM(D24:D25)</f>
        <v>183.61111112580002</v>
      </c>
      <c r="E26" s="760">
        <f t="shared" si="2"/>
        <v>2196.3989262064861</v>
      </c>
      <c r="F26" s="760">
        <f t="shared" si="2"/>
        <v>134.38145977095803</v>
      </c>
      <c r="G26" s="760">
        <f t="shared" si="2"/>
        <v>13806.918740794539</v>
      </c>
      <c r="H26" s="760">
        <f t="shared" si="2"/>
        <v>0</v>
      </c>
      <c r="I26" s="760">
        <f t="shared" si="2"/>
        <v>0</v>
      </c>
      <c r="J26" s="760">
        <f t="shared" si="2"/>
        <v>0</v>
      </c>
      <c r="K26" s="760">
        <f t="shared" si="2"/>
        <v>864.96557711362141</v>
      </c>
      <c r="L26" s="760">
        <f t="shared" si="2"/>
        <v>0</v>
      </c>
      <c r="M26" s="760">
        <f t="shared" si="2"/>
        <v>0</v>
      </c>
      <c r="N26" s="760">
        <f t="shared" si="2"/>
        <v>0</v>
      </c>
      <c r="O26" s="760">
        <f t="shared" si="2"/>
        <v>0</v>
      </c>
      <c r="P26" s="760">
        <f t="shared" si="2"/>
        <v>0</v>
      </c>
      <c r="Q26" s="760">
        <f t="shared" si="2"/>
        <v>0</v>
      </c>
      <c r="R26" s="760">
        <f t="shared" si="2"/>
        <v>22362.987396619003</v>
      </c>
      <c r="S26" s="67"/>
    </row>
    <row r="27" spans="1:19" s="439" customFormat="1" ht="17.25" thickTop="1" thickBot="1">
      <c r="A27" s="646" t="s">
        <v>109</v>
      </c>
      <c r="B27" s="752"/>
      <c r="C27" s="647">
        <f ca="1">C22+C16+C26</f>
        <v>66292.225734280553</v>
      </c>
      <c r="D27" s="647">
        <f t="shared" ref="D27:R27" ca="1" si="3">D22+D16+D26</f>
        <v>183.61111112580002</v>
      </c>
      <c r="E27" s="647">
        <f t="shared" ca="1" si="3"/>
        <v>78232.262148399139</v>
      </c>
      <c r="F27" s="647">
        <f t="shared" ca="1" si="3"/>
        <v>3520.1880143952494</v>
      </c>
      <c r="G27" s="647">
        <f t="shared" ca="1" si="3"/>
        <v>58493.92326771433</v>
      </c>
      <c r="H27" s="647">
        <f t="shared" si="3"/>
        <v>75542.006131687711</v>
      </c>
      <c r="I27" s="647">
        <f t="shared" si="3"/>
        <v>27934.485317852763</v>
      </c>
      <c r="J27" s="647">
        <f t="shared" si="3"/>
        <v>0</v>
      </c>
      <c r="K27" s="647">
        <f t="shared" si="3"/>
        <v>1136.3078278673759</v>
      </c>
      <c r="L27" s="647">
        <f t="shared" si="3"/>
        <v>0</v>
      </c>
      <c r="M27" s="647">
        <f t="shared" ca="1" si="3"/>
        <v>0</v>
      </c>
      <c r="N27" s="647">
        <f t="shared" si="3"/>
        <v>10859.782094310585</v>
      </c>
      <c r="O27" s="647">
        <f t="shared" ca="1" si="3"/>
        <v>10240.393094105348</v>
      </c>
      <c r="P27" s="647">
        <f t="shared" si="3"/>
        <v>732.88465771562892</v>
      </c>
      <c r="Q27" s="647">
        <f t="shared" si="3"/>
        <v>2021.8668959158738</v>
      </c>
      <c r="R27" s="647">
        <f t="shared" ca="1" si="3"/>
        <v>335189.9362953704</v>
      </c>
      <c r="S27" s="67"/>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330</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331</v>
      </c>
      <c r="B30" s="654"/>
      <c r="C30" s="655" t="s">
        <v>204</v>
      </c>
      <c r="D30" s="656"/>
      <c r="E30" s="656"/>
      <c r="F30" s="656"/>
      <c r="G30" s="656"/>
      <c r="H30" s="657"/>
      <c r="I30" s="658"/>
      <c r="J30" s="658"/>
      <c r="K30" s="658"/>
      <c r="L30" s="658"/>
      <c r="M30" s="658"/>
      <c r="N30" s="658"/>
      <c r="O30" s="658"/>
      <c r="P30" s="658"/>
      <c r="Q30" s="658"/>
      <c r="R30" s="658"/>
    </row>
    <row r="31" spans="1:19" ht="15" thickTop="1">
      <c r="A31" s="1068"/>
      <c r="B31" s="1068"/>
      <c r="C31" s="1068"/>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45"/>
      <c r="B33" s="1045"/>
      <c r="C33" s="1045"/>
      <c r="D33" s="1045"/>
      <c r="E33" s="1045"/>
      <c r="F33" s="1045"/>
      <c r="G33" s="1045"/>
      <c r="H33" s="1045"/>
      <c r="I33" s="1045"/>
      <c r="J33" s="1045"/>
      <c r="K33" s="1045"/>
      <c r="L33" s="1045"/>
      <c r="M33" s="1045"/>
      <c r="N33" s="1045"/>
      <c r="O33" s="1045"/>
      <c r="P33" s="1045"/>
      <c r="Q33" s="1045"/>
      <c r="R33" s="1045"/>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106"/>
      <c r="B35" s="767"/>
      <c r="C35" s="1069" t="s">
        <v>332</v>
      </c>
      <c r="D35" s="1070"/>
      <c r="E35" s="1070"/>
      <c r="F35" s="1070"/>
      <c r="G35" s="1070"/>
      <c r="H35" s="1070"/>
      <c r="I35" s="1070"/>
      <c r="J35" s="1070"/>
      <c r="K35" s="1070"/>
      <c r="L35" s="1070"/>
      <c r="M35" s="1070"/>
      <c r="N35" s="1070"/>
      <c r="O35" s="1070"/>
      <c r="P35" s="1070"/>
      <c r="Q35" s="1070"/>
      <c r="R35" s="1071"/>
    </row>
    <row r="36" spans="1:18" ht="16.5" thickTop="1">
      <c r="A36" s="1107"/>
      <c r="B36" s="768"/>
      <c r="C36" s="1072" t="s">
        <v>20</v>
      </c>
      <c r="D36" s="1074" t="s">
        <v>221</v>
      </c>
      <c r="E36" s="1076" t="s">
        <v>190</v>
      </c>
      <c r="F36" s="1077"/>
      <c r="G36" s="1077"/>
      <c r="H36" s="1077"/>
      <c r="I36" s="1077"/>
      <c r="J36" s="1077"/>
      <c r="K36" s="1077"/>
      <c r="L36" s="1078"/>
      <c r="M36" s="1076" t="s">
        <v>191</v>
      </c>
      <c r="N36" s="1077"/>
      <c r="O36" s="1077"/>
      <c r="P36" s="1077"/>
      <c r="Q36" s="1077"/>
      <c r="R36" s="1046" t="s">
        <v>109</v>
      </c>
    </row>
    <row r="37" spans="1:18" ht="45.75" thickBot="1">
      <c r="A37" s="1107"/>
      <c r="B37" s="768"/>
      <c r="C37" s="1073"/>
      <c r="D37" s="1075"/>
      <c r="E37" s="663" t="s">
        <v>192</v>
      </c>
      <c r="F37" s="663" t="s">
        <v>193</v>
      </c>
      <c r="G37" s="663" t="s">
        <v>194</v>
      </c>
      <c r="H37" s="663" t="s">
        <v>195</v>
      </c>
      <c r="I37" s="663" t="s">
        <v>113</v>
      </c>
      <c r="J37" s="663" t="s">
        <v>196</v>
      </c>
      <c r="K37" s="664" t="s">
        <v>222</v>
      </c>
      <c r="L37" s="664" t="s">
        <v>198</v>
      </c>
      <c r="M37" s="64" t="s">
        <v>199</v>
      </c>
      <c r="N37" s="65" t="s">
        <v>200</v>
      </c>
      <c r="O37" s="663" t="s">
        <v>223</v>
      </c>
      <c r="P37" s="663" t="s">
        <v>224</v>
      </c>
      <c r="Q37" s="664" t="s">
        <v>203</v>
      </c>
      <c r="R37" s="1048"/>
    </row>
    <row r="38" spans="1:18" ht="17.25" thickTop="1" thickBot="1">
      <c r="A38" s="780" t="s">
        <v>329</v>
      </c>
      <c r="B38" s="781"/>
      <c r="C38" s="665" t="s">
        <v>225</v>
      </c>
      <c r="D38" s="666"/>
      <c r="E38" s="667"/>
      <c r="F38" s="667"/>
      <c r="G38" s="667"/>
      <c r="H38" s="667"/>
      <c r="I38" s="667"/>
      <c r="J38" s="667"/>
      <c r="K38" s="667"/>
      <c r="L38" s="667"/>
      <c r="M38" s="668"/>
      <c r="N38" s="668"/>
      <c r="O38" s="667"/>
      <c r="P38" s="668"/>
      <c r="Q38" s="669"/>
      <c r="R38" s="670"/>
    </row>
    <row r="39" spans="1:18" ht="15" thickTop="1">
      <c r="A39" s="753" t="s">
        <v>212</v>
      </c>
      <c r="B39" s="777"/>
      <c r="C39" s="637">
        <f ca="1">'Eigen gebouwen'!B19</f>
        <v>0</v>
      </c>
      <c r="D39" s="637">
        <f ca="1">'Eigen gebouwen'!C19</f>
        <v>0</v>
      </c>
      <c r="E39" s="637">
        <f>'Eigen gebouwen'!D19</f>
        <v>0</v>
      </c>
      <c r="F39" s="637">
        <f>'Eigen gebouwen'!E19</f>
        <v>0</v>
      </c>
      <c r="G39" s="637">
        <f>'Eigen gebouwen'!F19</f>
        <v>0</v>
      </c>
      <c r="H39" s="637">
        <f>'Eigen gebouwen'!G19</f>
        <v>0</v>
      </c>
      <c r="I39" s="637">
        <f>'Eigen gebouwen'!H19</f>
        <v>0</v>
      </c>
      <c r="J39" s="637">
        <f>'Eigen gebouwen'!I19</f>
        <v>0</v>
      </c>
      <c r="K39" s="637">
        <f>'Eigen gebouwen'!J19</f>
        <v>0</v>
      </c>
      <c r="L39" s="637">
        <f>'Eigen gebouwen'!K19</f>
        <v>0</v>
      </c>
      <c r="M39" s="637">
        <f>'Eigen gebouwen'!L19</f>
        <v>0</v>
      </c>
      <c r="N39" s="637">
        <f>'Eigen gebouwen'!M19</f>
        <v>0</v>
      </c>
      <c r="O39" s="637">
        <f>'Eigen gebouwen'!N19</f>
        <v>0</v>
      </c>
      <c r="P39" s="637">
        <f>'Eigen gebouwen'!O19</f>
        <v>0</v>
      </c>
      <c r="Q39" s="720">
        <f>'Eigen gebouwen'!P19</f>
        <v>0</v>
      </c>
      <c r="R39" s="895">
        <f t="shared" ref="R39:R44" ca="1" si="4">SUM(C39:Q39)</f>
        <v>0</v>
      </c>
    </row>
    <row r="40" spans="1:18">
      <c r="A40" s="758" t="s">
        <v>213</v>
      </c>
      <c r="B40" s="778"/>
      <c r="C40" s="637">
        <f ca="1">tertiair!B20+'openbare verlichting'!B12</f>
        <v>3714.4850262966593</v>
      </c>
      <c r="D40" s="637">
        <f ca="1">tertiair!C20</f>
        <v>0</v>
      </c>
      <c r="E40" s="637">
        <f ca="1">tertiair!D20</f>
        <v>6350.2456513760653</v>
      </c>
      <c r="F40" s="637">
        <f ca="1">tertiair!E20</f>
        <v>9.9773329471211536</v>
      </c>
      <c r="G40" s="637">
        <f ca="1">tertiair!F20</f>
        <v>1173.4342404598065</v>
      </c>
      <c r="H40" s="637">
        <f>tertiair!G20</f>
        <v>0</v>
      </c>
      <c r="I40" s="637">
        <f>tertiair!H20</f>
        <v>0</v>
      </c>
      <c r="J40" s="637">
        <f>tertiair!I20</f>
        <v>0</v>
      </c>
      <c r="K40" s="637">
        <f>tertiair!J20</f>
        <v>1.3269474135660883E-2</v>
      </c>
      <c r="L40" s="637">
        <f>tertiair!K20</f>
        <v>0</v>
      </c>
      <c r="M40" s="637">
        <f ca="1">tertiair!L20</f>
        <v>0</v>
      </c>
      <c r="N40" s="637">
        <f>tertiair!M20</f>
        <v>0</v>
      </c>
      <c r="O40" s="637">
        <f ca="1">tertiair!N20</f>
        <v>0</v>
      </c>
      <c r="P40" s="637">
        <f>tertiair!O20</f>
        <v>0</v>
      </c>
      <c r="Q40" s="720">
        <f>tertiair!P20</f>
        <v>0</v>
      </c>
      <c r="R40" s="798">
        <f t="shared" ca="1" si="4"/>
        <v>11248.155520553786</v>
      </c>
    </row>
    <row r="41" spans="1:18">
      <c r="A41" s="770" t="s">
        <v>214</v>
      </c>
      <c r="B41" s="777"/>
      <c r="C41" s="637">
        <f ca="1">huishoudens!B12</f>
        <v>5158.0932448588474</v>
      </c>
      <c r="D41" s="637">
        <f ca="1">huishoudens!C12</f>
        <v>0</v>
      </c>
      <c r="E41" s="637">
        <f>huishoudens!D12</f>
        <v>8491.1717749833824</v>
      </c>
      <c r="F41" s="637">
        <f>huishoudens!E12</f>
        <v>681.43990200560995</v>
      </c>
      <c r="G41" s="637">
        <f>huishoudens!F12</f>
        <v>10154.054181264983</v>
      </c>
      <c r="H41" s="637">
        <f>huishoudens!G12</f>
        <v>0</v>
      </c>
      <c r="I41" s="637">
        <f>huishoudens!H12</f>
        <v>0</v>
      </c>
      <c r="J41" s="637">
        <f>huishoudens!I12</f>
        <v>0</v>
      </c>
      <c r="K41" s="637">
        <f>huishoudens!J12</f>
        <v>86.168900560133466</v>
      </c>
      <c r="L41" s="637">
        <f>huishoudens!K12</f>
        <v>0</v>
      </c>
      <c r="M41" s="637">
        <f>huishoudens!L12</f>
        <v>0</v>
      </c>
      <c r="N41" s="637">
        <f>huishoudens!M12</f>
        <v>0</v>
      </c>
      <c r="O41" s="637">
        <f>huishoudens!N12</f>
        <v>0</v>
      </c>
      <c r="P41" s="637">
        <f>huishoudens!O12</f>
        <v>0</v>
      </c>
      <c r="Q41" s="720">
        <f>huishoudens!P12</f>
        <v>0</v>
      </c>
      <c r="R41" s="798">
        <f t="shared" ca="1" si="4"/>
        <v>24570.928003672958</v>
      </c>
    </row>
    <row r="42" spans="1:18">
      <c r="A42" s="770" t="s">
        <v>467</v>
      </c>
      <c r="B42" s="777"/>
      <c r="C42" s="637">
        <f ca="1">'Eigen openbare verlichting'!B19</f>
        <v>0</v>
      </c>
      <c r="D42" s="637"/>
      <c r="E42" s="637"/>
      <c r="F42" s="637"/>
      <c r="G42" s="637"/>
      <c r="H42" s="637"/>
      <c r="I42" s="637"/>
      <c r="J42" s="637"/>
      <c r="K42" s="637"/>
      <c r="L42" s="637"/>
      <c r="M42" s="637"/>
      <c r="N42" s="637"/>
      <c r="O42" s="637"/>
      <c r="P42" s="637"/>
      <c r="Q42" s="720"/>
      <c r="R42" s="798">
        <f t="shared" ca="1" si="4"/>
        <v>0</v>
      </c>
    </row>
    <row r="43" spans="1:18">
      <c r="A43" s="770" t="s">
        <v>573</v>
      </c>
      <c r="B43" s="785" t="s">
        <v>570</v>
      </c>
      <c r="C43" s="637">
        <f ca="1">industrie!B22</f>
        <v>1105.0012425046091</v>
      </c>
      <c r="D43" s="637">
        <f ca="1">industrie!C22</f>
        <v>0</v>
      </c>
      <c r="E43" s="637">
        <f>industrie!D22</f>
        <v>398.20426180882941</v>
      </c>
      <c r="F43" s="637">
        <f>industrie!E22</f>
        <v>32.877709674648258</v>
      </c>
      <c r="G43" s="637">
        <f>industrie!F22</f>
        <v>603.94178696279755</v>
      </c>
      <c r="H43" s="637">
        <f>industrie!G22</f>
        <v>0</v>
      </c>
      <c r="I43" s="637">
        <f>industrie!H22</f>
        <v>0</v>
      </c>
      <c r="J43" s="637">
        <f>industrie!I22</f>
        <v>0</v>
      </c>
      <c r="K43" s="637">
        <f>industrie!J22</f>
        <v>9.8729867325599532</v>
      </c>
      <c r="L43" s="637">
        <f>industrie!K22</f>
        <v>0</v>
      </c>
      <c r="M43" s="637">
        <f>industrie!L22</f>
        <v>0</v>
      </c>
      <c r="N43" s="637">
        <f>industrie!M22</f>
        <v>0</v>
      </c>
      <c r="O43" s="637">
        <f>industrie!N22</f>
        <v>0</v>
      </c>
      <c r="P43" s="637">
        <f>industrie!O22</f>
        <v>0</v>
      </c>
      <c r="Q43" s="720">
        <f>industrie!P22</f>
        <v>0</v>
      </c>
      <c r="R43" s="797">
        <f t="shared" ca="1" si="4"/>
        <v>2149.8979876834446</v>
      </c>
    </row>
    <row r="44" spans="1:18">
      <c r="A44" s="770"/>
      <c r="B44" s="777" t="s">
        <v>571</v>
      </c>
      <c r="C44" s="637"/>
      <c r="D44" s="637"/>
      <c r="E44" s="637"/>
      <c r="F44" s="637"/>
      <c r="G44" s="637"/>
      <c r="H44" s="637"/>
      <c r="I44" s="637"/>
      <c r="J44" s="637"/>
      <c r="K44" s="637"/>
      <c r="L44" s="637"/>
      <c r="M44" s="637"/>
      <c r="N44" s="637"/>
      <c r="O44" s="637"/>
      <c r="P44" s="637"/>
      <c r="Q44" s="720"/>
      <c r="R44" s="798">
        <f t="shared" si="4"/>
        <v>0</v>
      </c>
    </row>
    <row r="45" spans="1:18" ht="15" thickBot="1">
      <c r="A45" s="889" t="s">
        <v>633</v>
      </c>
      <c r="B45" s="893"/>
      <c r="C45" s="891"/>
      <c r="D45" s="891"/>
      <c r="E45" s="891"/>
      <c r="F45" s="891"/>
      <c r="G45" s="891"/>
      <c r="H45" s="891"/>
      <c r="I45" s="891"/>
      <c r="J45" s="891"/>
      <c r="K45" s="891"/>
      <c r="L45" s="891"/>
      <c r="M45" s="891"/>
      <c r="N45" s="891"/>
      <c r="O45" s="891"/>
      <c r="P45" s="891"/>
      <c r="Q45" s="892"/>
      <c r="R45" s="894"/>
    </row>
    <row r="46" spans="1:18" ht="15.75" thickBot="1">
      <c r="A46" s="771" t="s">
        <v>215</v>
      </c>
      <c r="B46" s="784"/>
      <c r="C46" s="673">
        <f ca="1">SUM(C39:C45)</f>
        <v>9977.5795136601173</v>
      </c>
      <c r="D46" s="673">
        <f t="shared" ref="D46:Q46" ca="1" si="5">SUM(D39:D45)</f>
        <v>0</v>
      </c>
      <c r="E46" s="673">
        <f t="shared" ca="1" si="5"/>
        <v>15239.621688168276</v>
      </c>
      <c r="F46" s="673">
        <f t="shared" ca="1" si="5"/>
        <v>724.29494462737932</v>
      </c>
      <c r="G46" s="673">
        <f t="shared" ca="1" si="5"/>
        <v>11931.430208687587</v>
      </c>
      <c r="H46" s="673">
        <f t="shared" si="5"/>
        <v>0</v>
      </c>
      <c r="I46" s="673">
        <f t="shared" si="5"/>
        <v>0</v>
      </c>
      <c r="J46" s="673">
        <f t="shared" si="5"/>
        <v>0</v>
      </c>
      <c r="K46" s="673">
        <f t="shared" si="5"/>
        <v>96.055156766829072</v>
      </c>
      <c r="L46" s="673">
        <f t="shared" si="5"/>
        <v>0</v>
      </c>
      <c r="M46" s="673">
        <f t="shared" ca="1" si="5"/>
        <v>0</v>
      </c>
      <c r="N46" s="673">
        <f t="shared" si="5"/>
        <v>0</v>
      </c>
      <c r="O46" s="673">
        <f t="shared" ca="1" si="5"/>
        <v>0</v>
      </c>
      <c r="P46" s="673">
        <f t="shared" si="5"/>
        <v>0</v>
      </c>
      <c r="Q46" s="673">
        <f t="shared" si="5"/>
        <v>0</v>
      </c>
      <c r="R46" s="673">
        <f ca="1">SUM(R39:R45)</f>
        <v>37968.981511910184</v>
      </c>
    </row>
    <row r="47" spans="1:18" ht="15.75">
      <c r="A47" s="772" t="s">
        <v>216</v>
      </c>
      <c r="B47" s="782"/>
      <c r="C47" s="665"/>
      <c r="D47" s="666"/>
      <c r="E47" s="666"/>
      <c r="F47" s="666"/>
      <c r="G47" s="666"/>
      <c r="H47" s="666"/>
      <c r="I47" s="666"/>
      <c r="J47" s="666"/>
      <c r="K47" s="666"/>
      <c r="L47" s="666"/>
      <c r="M47" s="676"/>
      <c r="N47" s="676"/>
      <c r="O47" s="666"/>
      <c r="P47" s="676"/>
      <c r="Q47" s="676"/>
      <c r="R47" s="670"/>
    </row>
    <row r="48" spans="1:18">
      <c r="A48" s="770" t="s">
        <v>217</v>
      </c>
      <c r="B48" s="777"/>
      <c r="C48" s="637">
        <f ca="1">'Eigen vloot'!B31</f>
        <v>0</v>
      </c>
      <c r="D48" s="637">
        <f>'Eigen vloot'!C31</f>
        <v>0</v>
      </c>
      <c r="E48" s="637">
        <f>'Eigen vloot'!D31</f>
        <v>0</v>
      </c>
      <c r="F48" s="637">
        <f>'Eigen vloot'!E31</f>
        <v>0</v>
      </c>
      <c r="G48" s="637">
        <f>'Eigen vloot'!F31</f>
        <v>0</v>
      </c>
      <c r="H48" s="637">
        <f>'Eigen vloot'!G31</f>
        <v>0</v>
      </c>
      <c r="I48" s="637">
        <f>'Eigen vloot'!H31</f>
        <v>0</v>
      </c>
      <c r="J48" s="637">
        <f>'Eigen vloot'!I31</f>
        <v>0</v>
      </c>
      <c r="K48" s="637">
        <f>'Eigen vloot'!J31</f>
        <v>0</v>
      </c>
      <c r="L48" s="637">
        <f>'Eigen vloot'!K31</f>
        <v>0</v>
      </c>
      <c r="M48" s="637">
        <f>'Eigen vloot'!L31</f>
        <v>0</v>
      </c>
      <c r="N48" s="637">
        <f>'Eigen vloot'!M31</f>
        <v>0</v>
      </c>
      <c r="O48" s="637">
        <f>'Eigen vloot'!N31</f>
        <v>0</v>
      </c>
      <c r="P48" s="637">
        <f>'Eigen vloot'!O31</f>
        <v>0</v>
      </c>
      <c r="Q48" s="637">
        <f>'Eigen vloot'!P31</f>
        <v>0</v>
      </c>
      <c r="R48" s="671">
        <f ca="1">SUM(C48:Q48)</f>
        <v>0</v>
      </c>
    </row>
    <row r="49" spans="1:18">
      <c r="A49" s="770" t="s">
        <v>218</v>
      </c>
      <c r="B49" s="777"/>
      <c r="C49" s="637">
        <f ca="1">transport!B58</f>
        <v>8.0920707011982351</v>
      </c>
      <c r="D49" s="637">
        <f ca="1">transport!C58</f>
        <v>0</v>
      </c>
      <c r="E49" s="637">
        <f>transport!D58</f>
        <v>0</v>
      </c>
      <c r="F49" s="637">
        <f>transport!E58</f>
        <v>0</v>
      </c>
      <c r="G49" s="637">
        <f>transport!F58</f>
        <v>0</v>
      </c>
      <c r="H49" s="637">
        <f>transport!G58</f>
        <v>537.91400342742861</v>
      </c>
      <c r="I49" s="637">
        <f>transport!H58</f>
        <v>0</v>
      </c>
      <c r="J49" s="637">
        <f>transport!I58</f>
        <v>0</v>
      </c>
      <c r="K49" s="637">
        <f>transport!J58</f>
        <v>0</v>
      </c>
      <c r="L49" s="637">
        <f>transport!K58</f>
        <v>0</v>
      </c>
      <c r="M49" s="637">
        <f>transport!L58</f>
        <v>0</v>
      </c>
      <c r="N49" s="637">
        <f>transport!M58</f>
        <v>0</v>
      </c>
      <c r="O49" s="637">
        <f>transport!N58</f>
        <v>0</v>
      </c>
      <c r="P49" s="637">
        <f>transport!O58</f>
        <v>0</v>
      </c>
      <c r="Q49" s="638">
        <f>transport!P58</f>
        <v>0</v>
      </c>
      <c r="R49" s="671">
        <f ca="1">SUM(C49:Q49)</f>
        <v>546.00607412862689</v>
      </c>
    </row>
    <row r="50" spans="1:18">
      <c r="A50" s="773" t="s">
        <v>294</v>
      </c>
      <c r="B50" s="783"/>
      <c r="C50" s="643">
        <f ca="1">transport!B18</f>
        <v>95.238765143084009</v>
      </c>
      <c r="D50" s="643">
        <f>transport!C18</f>
        <v>0</v>
      </c>
      <c r="E50" s="643">
        <f>transport!D18</f>
        <v>119.62268271464167</v>
      </c>
      <c r="F50" s="643">
        <f>transport!E18</f>
        <v>44.283143272334861</v>
      </c>
      <c r="G50" s="643">
        <f>transport!F18</f>
        <v>0</v>
      </c>
      <c r="H50" s="643">
        <f>transport!G18</f>
        <v>19631.80163373319</v>
      </c>
      <c r="I50" s="643">
        <f>transport!H18</f>
        <v>6955.686844145338</v>
      </c>
      <c r="J50" s="643">
        <f>transport!I18</f>
        <v>0</v>
      </c>
      <c r="K50" s="643">
        <f>transport!J18</f>
        <v>0</v>
      </c>
      <c r="L50" s="643">
        <f>transport!K18</f>
        <v>0</v>
      </c>
      <c r="M50" s="643">
        <f>transport!L18</f>
        <v>0</v>
      </c>
      <c r="N50" s="643">
        <f>transport!M18</f>
        <v>0</v>
      </c>
      <c r="O50" s="643">
        <f>transport!N18</f>
        <v>0</v>
      </c>
      <c r="P50" s="643">
        <f>transport!O18</f>
        <v>0</v>
      </c>
      <c r="Q50" s="644">
        <f>transport!P18</f>
        <v>0</v>
      </c>
      <c r="R50" s="672">
        <f ca="1">SUM(C50:Q50)</f>
        <v>26846.633069008589</v>
      </c>
    </row>
    <row r="51" spans="1:18" ht="15" thickBot="1">
      <c r="A51" s="770" t="s">
        <v>636</v>
      </c>
      <c r="B51" s="777"/>
      <c r="C51" s="637"/>
      <c r="D51" s="637"/>
      <c r="E51" s="637"/>
      <c r="F51" s="637"/>
      <c r="G51" s="637"/>
      <c r="H51" s="637"/>
      <c r="I51" s="637"/>
      <c r="J51" s="637"/>
      <c r="K51" s="637"/>
      <c r="L51" s="637"/>
      <c r="M51" s="637"/>
      <c r="N51" s="637"/>
      <c r="O51" s="637"/>
      <c r="P51" s="637"/>
      <c r="Q51" s="638"/>
      <c r="R51" s="671"/>
    </row>
    <row r="52" spans="1:18" ht="15.75" thickBot="1">
      <c r="A52" s="771" t="s">
        <v>219</v>
      </c>
      <c r="B52" s="784"/>
      <c r="C52" s="673">
        <f ca="1">SUM(C48:C51)</f>
        <v>103.33083584428225</v>
      </c>
      <c r="D52" s="673">
        <f t="shared" ref="D52:Q52" ca="1" si="6">SUM(D48:D51)</f>
        <v>0</v>
      </c>
      <c r="E52" s="673">
        <f t="shared" si="6"/>
        <v>119.62268271464167</v>
      </c>
      <c r="F52" s="673">
        <f t="shared" si="6"/>
        <v>44.283143272334861</v>
      </c>
      <c r="G52" s="673">
        <f t="shared" si="6"/>
        <v>0</v>
      </c>
      <c r="H52" s="673">
        <f t="shared" si="6"/>
        <v>20169.715637160618</v>
      </c>
      <c r="I52" s="673">
        <f t="shared" si="6"/>
        <v>6955.686844145338</v>
      </c>
      <c r="J52" s="673">
        <f t="shared" si="6"/>
        <v>0</v>
      </c>
      <c r="K52" s="673">
        <f t="shared" si="6"/>
        <v>0</v>
      </c>
      <c r="L52" s="673">
        <f t="shared" si="6"/>
        <v>0</v>
      </c>
      <c r="M52" s="673">
        <f t="shared" si="6"/>
        <v>0</v>
      </c>
      <c r="N52" s="673">
        <f t="shared" si="6"/>
        <v>0</v>
      </c>
      <c r="O52" s="673">
        <f t="shared" si="6"/>
        <v>0</v>
      </c>
      <c r="P52" s="673">
        <f t="shared" si="6"/>
        <v>0</v>
      </c>
      <c r="Q52" s="673">
        <f t="shared" si="6"/>
        <v>0</v>
      </c>
      <c r="R52" s="673">
        <f ca="1">SUM(R48:R51)</f>
        <v>27392.639143137214</v>
      </c>
    </row>
    <row r="53" spans="1:18" ht="15.75">
      <c r="A53" s="772" t="s">
        <v>226</v>
      </c>
      <c r="B53" s="751"/>
      <c r="C53" s="665"/>
      <c r="D53" s="666"/>
      <c r="E53" s="666"/>
      <c r="F53" s="666"/>
      <c r="G53" s="666"/>
      <c r="H53" s="666"/>
      <c r="I53" s="666"/>
      <c r="J53" s="666"/>
      <c r="K53" s="666"/>
      <c r="L53" s="666"/>
      <c r="M53" s="676"/>
      <c r="N53" s="676"/>
      <c r="O53" s="666"/>
      <c r="P53" s="676"/>
      <c r="Q53" s="676"/>
      <c r="R53" s="670"/>
    </row>
    <row r="54" spans="1:18">
      <c r="A54" s="773" t="s">
        <v>567</v>
      </c>
      <c r="B54" s="783"/>
      <c r="C54" s="643">
        <f ca="1">+landbouw!B12</f>
        <v>657.32529185240003</v>
      </c>
      <c r="D54" s="643">
        <f ca="1">+landbouw!C12</f>
        <v>0</v>
      </c>
      <c r="E54" s="643">
        <f>+landbouw!D12</f>
        <v>68.13006202300393</v>
      </c>
      <c r="F54" s="643">
        <f>+landbouw!E12</f>
        <v>30.504591368007475</v>
      </c>
      <c r="G54" s="643">
        <f>+landbouw!F12</f>
        <v>3686.4473037921421</v>
      </c>
      <c r="H54" s="643">
        <f>+landbouw!G12</f>
        <v>0</v>
      </c>
      <c r="I54" s="643">
        <f>+landbouw!H12</f>
        <v>0</v>
      </c>
      <c r="J54" s="643">
        <f>+landbouw!I12</f>
        <v>0</v>
      </c>
      <c r="K54" s="643">
        <f>+landbouw!J12</f>
        <v>306.19781429822194</v>
      </c>
      <c r="L54" s="643">
        <f>+landbouw!K12</f>
        <v>0</v>
      </c>
      <c r="M54" s="643">
        <f>+landbouw!L12</f>
        <v>0</v>
      </c>
      <c r="N54" s="643">
        <f>+landbouw!M12</f>
        <v>0</v>
      </c>
      <c r="O54" s="643">
        <f>+landbouw!N12</f>
        <v>0</v>
      </c>
      <c r="P54" s="643">
        <f>+landbouw!O12</f>
        <v>0</v>
      </c>
      <c r="Q54" s="644">
        <f>+landbouw!P12</f>
        <v>0</v>
      </c>
      <c r="R54" s="672">
        <f ca="1">SUM(C54:Q54)</f>
        <v>4748.6050633337754</v>
      </c>
    </row>
    <row r="55" spans="1:18" ht="15" thickBot="1">
      <c r="A55" s="773" t="s">
        <v>634</v>
      </c>
      <c r="B55" s="783"/>
      <c r="C55" s="643">
        <f ca="1">C25*'EF ele_warmte'!B12</f>
        <v>196.56534594966971</v>
      </c>
      <c r="D55" s="643"/>
      <c r="E55" s="643">
        <f>E25*EF_CO2_aardgas</f>
        <v>375.5425210707063</v>
      </c>
      <c r="F55" s="643"/>
      <c r="G55" s="643"/>
      <c r="H55" s="643"/>
      <c r="I55" s="643"/>
      <c r="J55" s="643"/>
      <c r="K55" s="643"/>
      <c r="L55" s="643"/>
      <c r="M55" s="643"/>
      <c r="N55" s="643"/>
      <c r="O55" s="643"/>
      <c r="P55" s="643"/>
      <c r="Q55" s="644"/>
      <c r="R55" s="672">
        <f ca="1">SUM(C55:Q55)</f>
        <v>572.10786702037603</v>
      </c>
    </row>
    <row r="56" spans="1:18" ht="15.75" thickBot="1">
      <c r="A56" s="771" t="s">
        <v>635</v>
      </c>
      <c r="B56" s="784"/>
      <c r="C56" s="673">
        <f ca="1">SUM(C54:C55)</f>
        <v>853.8906378020697</v>
      </c>
      <c r="D56" s="673">
        <f t="shared" ref="D56:Q56" ca="1" si="7">SUM(D54:D55)</f>
        <v>0</v>
      </c>
      <c r="E56" s="673">
        <f t="shared" si="7"/>
        <v>443.67258309371022</v>
      </c>
      <c r="F56" s="673">
        <f t="shared" si="7"/>
        <v>30.504591368007475</v>
      </c>
      <c r="G56" s="673">
        <f t="shared" si="7"/>
        <v>3686.4473037921421</v>
      </c>
      <c r="H56" s="673">
        <f t="shared" si="7"/>
        <v>0</v>
      </c>
      <c r="I56" s="673">
        <f t="shared" si="7"/>
        <v>0</v>
      </c>
      <c r="J56" s="673">
        <f t="shared" si="7"/>
        <v>0</v>
      </c>
      <c r="K56" s="673">
        <f t="shared" si="7"/>
        <v>306.19781429822194</v>
      </c>
      <c r="L56" s="673">
        <f t="shared" si="7"/>
        <v>0</v>
      </c>
      <c r="M56" s="673">
        <f t="shared" si="7"/>
        <v>0</v>
      </c>
      <c r="N56" s="673">
        <f t="shared" si="7"/>
        <v>0</v>
      </c>
      <c r="O56" s="673">
        <f t="shared" si="7"/>
        <v>0</v>
      </c>
      <c r="P56" s="673">
        <f t="shared" si="7"/>
        <v>0</v>
      </c>
      <c r="Q56" s="674">
        <f t="shared" si="7"/>
        <v>0</v>
      </c>
      <c r="R56" s="675">
        <f ca="1">SUM(R54:R55)</f>
        <v>5320.7129303541515</v>
      </c>
    </row>
    <row r="57" spans="1:18" ht="15.75">
      <c r="A57" s="751" t="s">
        <v>568</v>
      </c>
      <c r="B57" s="751"/>
      <c r="C57" s="678"/>
      <c r="D57" s="666"/>
      <c r="E57" s="666"/>
      <c r="F57" s="666"/>
      <c r="G57" s="666"/>
      <c r="H57" s="666"/>
      <c r="I57" s="666"/>
      <c r="J57" s="666"/>
      <c r="K57" s="666"/>
      <c r="L57" s="666"/>
      <c r="M57" s="676"/>
      <c r="N57" s="676"/>
      <c r="O57" s="666"/>
      <c r="P57" s="676"/>
      <c r="Q57" s="676"/>
      <c r="R57" s="670"/>
    </row>
    <row r="58" spans="1:18" ht="15">
      <c r="A58" s="774" t="s">
        <v>227</v>
      </c>
      <c r="B58" s="788"/>
      <c r="C58" s="1041"/>
      <c r="D58" s="1042"/>
      <c r="E58" s="1042"/>
      <c r="F58" s="1042"/>
      <c r="G58" s="1042"/>
      <c r="H58" s="1042"/>
      <c r="I58" s="1042"/>
      <c r="J58" s="1042"/>
      <c r="K58" s="1042"/>
      <c r="L58" s="1042"/>
      <c r="M58" s="1042"/>
      <c r="N58" s="1042"/>
      <c r="O58" s="1042"/>
      <c r="P58" s="1042"/>
      <c r="Q58" s="1042"/>
      <c r="R58" s="679"/>
    </row>
    <row r="59" spans="1:18" ht="15">
      <c r="A59" s="775" t="s">
        <v>228</v>
      </c>
      <c r="B59" s="762"/>
      <c r="C59" s="1043"/>
      <c r="D59" s="1044"/>
      <c r="E59" s="1044"/>
      <c r="F59" s="1044"/>
      <c r="G59" s="1044"/>
      <c r="H59" s="1044"/>
      <c r="I59" s="1044"/>
      <c r="J59" s="1044"/>
      <c r="K59" s="1044"/>
      <c r="L59" s="1044"/>
      <c r="M59" s="1044"/>
      <c r="N59" s="1044"/>
      <c r="O59" s="1044"/>
      <c r="P59" s="1044"/>
      <c r="Q59" s="1044"/>
      <c r="R59" s="680"/>
    </row>
    <row r="60" spans="1:18" ht="15" thickBot="1">
      <c r="A60" s="786" t="s">
        <v>229</v>
      </c>
      <c r="B60" s="787"/>
      <c r="C60" s="1043"/>
      <c r="D60" s="1044"/>
      <c r="E60" s="1044"/>
      <c r="F60" s="1044"/>
      <c r="G60" s="1044"/>
      <c r="H60" s="1044"/>
      <c r="I60" s="1044"/>
      <c r="J60" s="1044"/>
      <c r="K60" s="1044"/>
      <c r="L60" s="1044"/>
      <c r="M60" s="1044"/>
      <c r="N60" s="1044"/>
      <c r="O60" s="1044"/>
      <c r="P60" s="1044"/>
      <c r="Q60" s="1044"/>
      <c r="R60" s="672"/>
    </row>
    <row r="61" spans="1:18" ht="16.5" thickBot="1">
      <c r="A61" s="789" t="s">
        <v>109</v>
      </c>
      <c r="B61" s="790"/>
      <c r="C61" s="681">
        <f ca="1">C46+C52+C56</f>
        <v>10934.800987306469</v>
      </c>
      <c r="D61" s="681">
        <f t="shared" ref="D61:Q61" ca="1" si="8">D46+D52+D56</f>
        <v>0</v>
      </c>
      <c r="E61" s="681">
        <f t="shared" ca="1" si="8"/>
        <v>15802.916953976628</v>
      </c>
      <c r="F61" s="681">
        <f t="shared" ca="1" si="8"/>
        <v>799.08267926772169</v>
      </c>
      <c r="G61" s="681">
        <f t="shared" ca="1" si="8"/>
        <v>15617.877512479728</v>
      </c>
      <c r="H61" s="681">
        <f t="shared" si="8"/>
        <v>20169.715637160618</v>
      </c>
      <c r="I61" s="681">
        <f t="shared" si="8"/>
        <v>6955.686844145338</v>
      </c>
      <c r="J61" s="681">
        <f t="shared" si="8"/>
        <v>0</v>
      </c>
      <c r="K61" s="681">
        <f t="shared" si="8"/>
        <v>402.25297106505104</v>
      </c>
      <c r="L61" s="681">
        <f t="shared" si="8"/>
        <v>0</v>
      </c>
      <c r="M61" s="681">
        <f t="shared" ca="1" si="8"/>
        <v>0</v>
      </c>
      <c r="N61" s="681">
        <f t="shared" si="8"/>
        <v>0</v>
      </c>
      <c r="O61" s="681">
        <f t="shared" ca="1" si="8"/>
        <v>0</v>
      </c>
      <c r="P61" s="681">
        <f t="shared" si="8"/>
        <v>0</v>
      </c>
      <c r="Q61" s="681">
        <f t="shared" si="8"/>
        <v>0</v>
      </c>
      <c r="R61" s="681">
        <f ca="1">R46+R52+R56</f>
        <v>70682.33358540156</v>
      </c>
    </row>
    <row r="62" spans="1:18" ht="15.75" thickTop="1" thickBot="1">
      <c r="A62" s="744"/>
      <c r="B62" s="744"/>
      <c r="C62" s="683"/>
      <c r="D62" s="683"/>
      <c r="E62" s="684"/>
      <c r="F62" s="684"/>
      <c r="G62" s="684"/>
      <c r="H62" s="684"/>
      <c r="I62" s="684"/>
      <c r="J62" s="684"/>
      <c r="K62" s="684"/>
      <c r="L62" s="684"/>
      <c r="M62" s="684"/>
      <c r="N62" s="684"/>
      <c r="O62" s="684"/>
      <c r="P62" s="684"/>
      <c r="Q62" s="684"/>
      <c r="R62" s="684"/>
    </row>
    <row r="63" spans="1:18" ht="20.25" thickTop="1" thickBot="1">
      <c r="A63" s="685" t="s">
        <v>333</v>
      </c>
      <c r="B63" s="769"/>
      <c r="C63" s="727">
        <f t="shared" ref="C63:Q63" ca="1" si="9">IF(ISERROR(C61/C27),0,C61/C27)</f>
        <v>0.16494846667445567</v>
      </c>
      <c r="D63" s="727">
        <f t="shared" ca="1" si="9"/>
        <v>0</v>
      </c>
      <c r="E63" s="916">
        <f t="shared" ca="1" si="9"/>
        <v>0.20200000000000001</v>
      </c>
      <c r="F63" s="727">
        <f t="shared" ca="1" si="9"/>
        <v>0.22700000000000001</v>
      </c>
      <c r="G63" s="727">
        <f t="shared" ca="1" si="9"/>
        <v>0.26700000000000002</v>
      </c>
      <c r="H63" s="727">
        <f t="shared" si="9"/>
        <v>0.26700000000000002</v>
      </c>
      <c r="I63" s="727">
        <f t="shared" si="9"/>
        <v>0.249</v>
      </c>
      <c r="J63" s="727">
        <f t="shared" si="9"/>
        <v>0</v>
      </c>
      <c r="K63" s="727">
        <f t="shared" si="9"/>
        <v>0.35399999999999998</v>
      </c>
      <c r="L63" s="727">
        <f t="shared" si="9"/>
        <v>0</v>
      </c>
      <c r="M63" s="727">
        <f t="shared" ca="1" si="9"/>
        <v>0</v>
      </c>
      <c r="N63" s="727">
        <f t="shared" si="9"/>
        <v>0</v>
      </c>
      <c r="O63" s="727">
        <f t="shared" ca="1" si="9"/>
        <v>0</v>
      </c>
      <c r="P63" s="727">
        <f t="shared" si="9"/>
        <v>0</v>
      </c>
      <c r="Q63" s="727">
        <f t="shared" si="9"/>
        <v>0</v>
      </c>
      <c r="R63" s="684"/>
    </row>
    <row r="64" spans="1:18" ht="33" thickTop="1" thickBot="1">
      <c r="A64" s="776" t="s">
        <v>334</v>
      </c>
      <c r="B64" s="754"/>
      <c r="C64" s="728">
        <f>'EF ele_warmte'!B6</f>
        <v>0.221</v>
      </c>
      <c r="D64" s="729"/>
      <c r="E64" s="730"/>
      <c r="F64" s="731"/>
      <c r="G64" s="731"/>
      <c r="H64" s="731"/>
      <c r="I64" s="731"/>
      <c r="J64" s="731"/>
      <c r="K64" s="731"/>
      <c r="L64" s="731"/>
      <c r="M64" s="731"/>
      <c r="N64" s="731"/>
      <c r="O64" s="731"/>
      <c r="P64" s="731"/>
      <c r="Q64" s="731"/>
      <c r="R64" s="684"/>
    </row>
    <row r="65" spans="1:18" ht="15" thickTop="1">
      <c r="A65" s="686"/>
      <c r="B65" s="686"/>
      <c r="C65" s="684"/>
      <c r="D65" s="684"/>
      <c r="E65" s="684"/>
      <c r="F65" s="684"/>
      <c r="G65" s="684"/>
      <c r="H65" s="684"/>
      <c r="I65" s="684"/>
      <c r="J65" s="684"/>
      <c r="K65" s="684"/>
      <c r="L65" s="684"/>
      <c r="M65" s="684"/>
      <c r="N65" s="684"/>
      <c r="O65" s="684"/>
      <c r="P65" s="684"/>
      <c r="Q65" s="684"/>
      <c r="R65" s="684"/>
    </row>
    <row r="66" spans="1:18" ht="18.75">
      <c r="A66" s="687" t="s">
        <v>335</v>
      </c>
      <c r="B66" s="687"/>
      <c r="C66" s="658"/>
      <c r="D66" s="688"/>
      <c r="E66" s="658"/>
      <c r="F66" s="658"/>
      <c r="G66" s="658"/>
      <c r="H66" s="658"/>
      <c r="I66" s="658"/>
      <c r="J66" s="658"/>
      <c r="K66" s="658"/>
      <c r="L66" s="658"/>
      <c r="M66" s="658"/>
      <c r="N66" s="658"/>
      <c r="O66" s="658"/>
      <c r="P66" s="689"/>
      <c r="Q66" s="689"/>
      <c r="R66" s="689"/>
    </row>
    <row r="67" spans="1:18">
      <c r="A67" s="1045"/>
      <c r="B67" s="1045"/>
      <c r="C67" s="1045"/>
      <c r="D67" s="1045"/>
      <c r="E67" s="1045"/>
      <c r="F67" s="1045"/>
      <c r="G67" s="1045"/>
      <c r="H67" s="1045"/>
      <c r="I67" s="1045"/>
      <c r="J67" s="1045"/>
      <c r="K67" s="1045"/>
      <c r="L67" s="1045"/>
      <c r="M67" s="1045"/>
      <c r="N67" s="1045"/>
      <c r="O67" s="1045"/>
      <c r="P67" s="1045"/>
      <c r="Q67" s="1045"/>
      <c r="R67" s="690"/>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46" t="s">
        <v>230</v>
      </c>
      <c r="B69" s="1082" t="s">
        <v>336</v>
      </c>
      <c r="C69" s="1083"/>
      <c r="D69" s="1114" t="s">
        <v>337</v>
      </c>
      <c r="E69" s="1115"/>
      <c r="F69" s="1115"/>
      <c r="G69" s="1115"/>
      <c r="H69" s="1115"/>
      <c r="I69" s="1115"/>
      <c r="J69" s="1115"/>
      <c r="K69" s="1115"/>
      <c r="L69" s="1115"/>
      <c r="M69" s="1115"/>
      <c r="N69" s="1115"/>
      <c r="O69" s="1116"/>
      <c r="P69" s="904" t="s">
        <v>576</v>
      </c>
      <c r="Q69" s="1111" t="s">
        <v>575</v>
      </c>
      <c r="R69" s="1112"/>
    </row>
    <row r="70" spans="1:18" ht="61.5" thickTop="1" thickBot="1">
      <c r="A70" s="1047"/>
      <c r="B70" s="1084"/>
      <c r="C70" s="1085"/>
      <c r="D70" s="1079" t="s">
        <v>190</v>
      </c>
      <c r="E70" s="1080"/>
      <c r="F70" s="1080"/>
      <c r="G70" s="1080"/>
      <c r="H70" s="1081"/>
      <c r="I70" s="878" t="s">
        <v>235</v>
      </c>
      <c r="J70" s="878" t="s">
        <v>223</v>
      </c>
      <c r="K70" s="878" t="s">
        <v>202</v>
      </c>
      <c r="L70" s="878" t="s">
        <v>203</v>
      </c>
      <c r="M70" s="691" t="s">
        <v>234</v>
      </c>
      <c r="N70" s="878" t="s">
        <v>236</v>
      </c>
      <c r="O70" s="880" t="s">
        <v>120</v>
      </c>
      <c r="P70" s="905"/>
      <c r="Q70" s="804"/>
      <c r="R70" s="805"/>
    </row>
    <row r="71" spans="1:18" ht="95.25" customHeight="1" thickTop="1" thickBot="1">
      <c r="A71" s="1048"/>
      <c r="B71" s="883" t="s">
        <v>574</v>
      </c>
      <c r="C71" s="883" t="s">
        <v>638</v>
      </c>
      <c r="D71" s="896" t="s">
        <v>192</v>
      </c>
      <c r="E71" s="897" t="s">
        <v>193</v>
      </c>
      <c r="F71" s="878" t="s">
        <v>194</v>
      </c>
      <c r="G71" s="877" t="s">
        <v>196</v>
      </c>
      <c r="H71" s="898" t="s">
        <v>197</v>
      </c>
      <c r="I71" s="879"/>
      <c r="J71" s="879"/>
      <c r="K71" s="879"/>
      <c r="L71" s="879"/>
      <c r="M71" s="693"/>
      <c r="N71" s="879"/>
      <c r="O71" s="884"/>
      <c r="P71" s="906"/>
      <c r="Q71" s="885" t="s">
        <v>577</v>
      </c>
      <c r="R71" s="884" t="s">
        <v>578</v>
      </c>
    </row>
    <row r="72" spans="1:18" ht="15.75" thickTop="1">
      <c r="A72" s="694" t="s">
        <v>238</v>
      </c>
      <c r="B72" s="791">
        <f>'lokale energieproductie'!B4</f>
        <v>0</v>
      </c>
      <c r="C72" s="1103"/>
      <c r="D72" s="1103"/>
      <c r="E72" s="1123"/>
      <c r="F72" s="1123"/>
      <c r="G72" s="1124"/>
      <c r="H72" s="1127"/>
      <c r="I72" s="1113"/>
      <c r="J72" s="881"/>
      <c r="K72" s="1117"/>
      <c r="L72" s="1117"/>
      <c r="M72" s="1117"/>
      <c r="N72" s="1117"/>
      <c r="O72" s="1120"/>
      <c r="P72" s="799">
        <v>0</v>
      </c>
      <c r="Q72" s="907"/>
      <c r="R72" s="799">
        <v>0</v>
      </c>
    </row>
    <row r="73" spans="1:18" ht="15">
      <c r="A73" s="695" t="s">
        <v>239</v>
      </c>
      <c r="B73" s="694">
        <f>'lokale energieproductie'!B5</f>
        <v>0</v>
      </c>
      <c r="C73" s="1104"/>
      <c r="D73" s="1104"/>
      <c r="E73" s="1118"/>
      <c r="F73" s="1118"/>
      <c r="G73" s="1125"/>
      <c r="H73" s="1128"/>
      <c r="I73" s="1104"/>
      <c r="J73" s="882"/>
      <c r="K73" s="1118"/>
      <c r="L73" s="1118"/>
      <c r="M73" s="1118"/>
      <c r="N73" s="1118"/>
      <c r="O73" s="1121"/>
      <c r="P73" s="800">
        <v>0</v>
      </c>
      <c r="Q73" s="806"/>
      <c r="R73" s="800">
        <v>0</v>
      </c>
    </row>
    <row r="74" spans="1:18" ht="15">
      <c r="A74" s="695" t="s">
        <v>240</v>
      </c>
      <c r="B74" s="694">
        <f>'lokale energieproductie'!B6</f>
        <v>16765.154901819067</v>
      </c>
      <c r="C74" s="1104"/>
      <c r="D74" s="1104"/>
      <c r="E74" s="1118"/>
      <c r="F74" s="1118"/>
      <c r="G74" s="1125"/>
      <c r="H74" s="1128"/>
      <c r="I74" s="1104"/>
      <c r="J74" s="882"/>
      <c r="K74" s="1118"/>
      <c r="L74" s="1118"/>
      <c r="M74" s="1118"/>
      <c r="N74" s="1118"/>
      <c r="O74" s="1121"/>
      <c r="P74" s="800">
        <v>0</v>
      </c>
      <c r="Q74" s="806"/>
      <c r="R74" s="800">
        <v>0</v>
      </c>
    </row>
    <row r="75" spans="1:18" ht="15.75" thickBot="1">
      <c r="A75" s="695" t="s">
        <v>637</v>
      </c>
      <c r="B75" s="694">
        <f>'lokale energieproductie'!B7</f>
        <v>0</v>
      </c>
      <c r="C75" s="1105"/>
      <c r="D75" s="1105"/>
      <c r="E75" s="1119"/>
      <c r="F75" s="1119"/>
      <c r="G75" s="1126"/>
      <c r="H75" s="1129"/>
      <c r="I75" s="1105"/>
      <c r="J75" s="901"/>
      <c r="K75" s="1119"/>
      <c r="L75" s="1119"/>
      <c r="M75" s="1119"/>
      <c r="N75" s="1119"/>
      <c r="O75" s="1122"/>
      <c r="P75" s="800">
        <v>0</v>
      </c>
      <c r="Q75" s="908"/>
      <c r="R75" s="800">
        <v>0</v>
      </c>
    </row>
    <row r="76" spans="1:18" ht="15">
      <c r="A76" s="696" t="s">
        <v>241</v>
      </c>
      <c r="B76" s="694">
        <f>'lokale energieproductie'!B8*IFERROR(SUM(I76:O76)/SUM(D76:O76),0)</f>
        <v>48.333333337200003</v>
      </c>
      <c r="C76" s="694">
        <f>'lokale energieproductie'!B8*IFERROR(SUM(D76:H76)/SUM(D76:O76),0)</f>
        <v>0</v>
      </c>
      <c r="D76" s="899">
        <f>'lokale energieproductie'!C8</f>
        <v>0</v>
      </c>
      <c r="E76" s="900">
        <f>'lokale energieproductie'!D8</f>
        <v>0</v>
      </c>
      <c r="F76" s="900">
        <f>'lokale energieproductie'!E8</f>
        <v>0</v>
      </c>
      <c r="G76" s="900">
        <f>'lokale energieproductie'!F8</f>
        <v>0</v>
      </c>
      <c r="H76" s="900">
        <f>'lokale energieproductie'!G8</f>
        <v>0</v>
      </c>
      <c r="I76" s="900">
        <f>'lokale energieproductie'!I8</f>
        <v>0</v>
      </c>
      <c r="J76" s="900">
        <f>'lokale energieproductie'!J8</f>
        <v>52.426906191818901</v>
      </c>
      <c r="K76" s="900">
        <f>'lokale energieproductie'!M8</f>
        <v>0</v>
      </c>
      <c r="L76" s="900">
        <f>'lokale energieproductie'!N8</f>
        <v>0</v>
      </c>
      <c r="M76" s="900">
        <f>'lokale energieproductie'!H8</f>
        <v>0</v>
      </c>
      <c r="N76" s="900">
        <f>'lokale energieproductie'!K8</f>
        <v>0</v>
      </c>
      <c r="O76" s="910">
        <f>'lokale energieproductie'!L8</f>
        <v>0</v>
      </c>
      <c r="P76" s="909"/>
      <c r="Q76" s="801">
        <f>D76*EF_CO2_aardgas+E76*EF_VLgas_CO2+'SEAP template'!F76*EF_stookolie_CO2+EF_bruinkool_CO2*'SEAP template'!G76+'SEAP template'!H76*EF_steenkool_CO2+'EF brandstof'!M4*'SEAP template'!M76+'SEAP template'!O76*EF_anderfossiel_CO2</f>
        <v>0</v>
      </c>
      <c r="R76" s="800">
        <v>0</v>
      </c>
    </row>
    <row r="77" spans="1:18" ht="15.75" thickBot="1">
      <c r="A77" s="697" t="s">
        <v>664</v>
      </c>
      <c r="B77" s="694">
        <f>'lokale energieproductie'!B9*IFERROR(SUM(I77:O77)/SUM(D77:O77),0)</f>
        <v>0</v>
      </c>
      <c r="C77" s="694">
        <f>'lokale energieproductie'!B9*IFERROR(SUM(D77:H77)/SUM(D77:O77),0)</f>
        <v>0</v>
      </c>
      <c r="D77" s="721">
        <f>'lokale energieproductie'!C9</f>
        <v>0</v>
      </c>
      <c r="E77" s="722">
        <f>'lokale energieproductie'!D9</f>
        <v>0</v>
      </c>
      <c r="F77" s="722">
        <f>'lokale energieproductie'!E9</f>
        <v>0</v>
      </c>
      <c r="G77" s="722">
        <f>'lokale energieproductie'!F9</f>
        <v>0</v>
      </c>
      <c r="H77" s="722">
        <f>'lokale energieproductie'!G9</f>
        <v>0</v>
      </c>
      <c r="I77" s="900">
        <f>'lokale energieproductie'!I9</f>
        <v>0</v>
      </c>
      <c r="J77" s="900">
        <f>'lokale energieproductie'!J9</f>
        <v>0</v>
      </c>
      <c r="K77" s="900">
        <f>'lokale energieproductie'!M9</f>
        <v>0</v>
      </c>
      <c r="L77" s="900">
        <f>'lokale energieproductie'!N9</f>
        <v>0</v>
      </c>
      <c r="M77" s="900">
        <f>'lokale energieproductie'!H9</f>
        <v>0</v>
      </c>
      <c r="N77" s="900">
        <f>'lokale energieproductie'!K9</f>
        <v>0</v>
      </c>
      <c r="O77" s="910">
        <f>'lokale energieproductie'!L9</f>
        <v>0</v>
      </c>
      <c r="P77" s="793"/>
      <c r="Q77" s="801">
        <f>D77*EF_CO2_aardgas+E77*EF_VLgas_CO2+'SEAP template'!F77*EF_stookolie_CO2+EF_bruinkool_CO2*'SEAP template'!G77+'SEAP template'!H77*EF_steenkool_CO2+'EF brandstof'!M4*'SEAP template'!M77+'SEAP template'!O77*EF_anderfossiel_CO2</f>
        <v>0</v>
      </c>
      <c r="R77" s="803">
        <v>0</v>
      </c>
    </row>
    <row r="78" spans="1:18" ht="16.5" thickTop="1" thickBot="1">
      <c r="A78" s="698" t="s">
        <v>109</v>
      </c>
      <c r="B78" s="699">
        <f>SUM(B72:B77)</f>
        <v>16813.488235156266</v>
      </c>
      <c r="C78" s="699">
        <f>SUM(C72:C77)</f>
        <v>0</v>
      </c>
      <c r="D78" s="700">
        <f t="shared" ref="D78:H78" si="10">SUM(D76:D77)</f>
        <v>0</v>
      </c>
      <c r="E78" s="700">
        <f t="shared" si="10"/>
        <v>0</v>
      </c>
      <c r="F78" s="700">
        <f t="shared" si="10"/>
        <v>0</v>
      </c>
      <c r="G78" s="700">
        <f t="shared" si="10"/>
        <v>0</v>
      </c>
      <c r="H78" s="700">
        <f t="shared" si="10"/>
        <v>0</v>
      </c>
      <c r="I78" s="700">
        <f>SUM(I76:I77)</f>
        <v>0</v>
      </c>
      <c r="J78" s="700">
        <f>SUM(J76:J77)</f>
        <v>52.426906191818901</v>
      </c>
      <c r="K78" s="700">
        <f t="shared" ref="K78:L78" si="11">SUM(K76:K77)</f>
        <v>0</v>
      </c>
      <c r="L78" s="700">
        <f t="shared" si="11"/>
        <v>0</v>
      </c>
      <c r="M78" s="700">
        <f>SUM(M76:M77)</f>
        <v>0</v>
      </c>
      <c r="N78" s="700">
        <f>SUM(N76:N77)</f>
        <v>0</v>
      </c>
      <c r="O78" s="808">
        <f>SUM(O76:O77)</f>
        <v>0</v>
      </c>
      <c r="P78" s="701">
        <v>0</v>
      </c>
      <c r="Q78" s="701">
        <f>SUM(Q76:Q77)</f>
        <v>0</v>
      </c>
      <c r="R78" s="701">
        <f>SUM(R72:R77)</f>
        <v>0</v>
      </c>
    </row>
    <row r="79" spans="1:18" ht="15.75" thickTop="1">
      <c r="A79" s="702"/>
      <c r="B79" s="755"/>
      <c r="C79" s="703"/>
      <c r="D79" s="703"/>
      <c r="E79" s="659"/>
      <c r="F79" s="658"/>
      <c r="G79" s="658"/>
      <c r="H79" s="658"/>
      <c r="I79" s="704"/>
      <c r="J79" s="658"/>
      <c r="K79" s="658"/>
      <c r="L79" s="658"/>
      <c r="M79" s="658"/>
      <c r="N79" s="705"/>
      <c r="O79" s="658"/>
      <c r="P79" s="658"/>
      <c r="Q79" s="658"/>
      <c r="R79" s="658"/>
    </row>
    <row r="80" spans="1:18" ht="15">
      <c r="A80" s="682"/>
      <c r="B80" s="744"/>
      <c r="C80" s="703"/>
      <c r="D80" s="703"/>
      <c r="E80" s="658"/>
      <c r="F80" s="658"/>
      <c r="G80" s="658"/>
      <c r="H80" s="658"/>
      <c r="I80" s="658"/>
      <c r="J80" s="658"/>
      <c r="K80" s="658"/>
      <c r="L80" s="658"/>
      <c r="M80" s="658"/>
      <c r="N80" s="658"/>
      <c r="O80" s="658"/>
      <c r="P80" s="658"/>
      <c r="Q80" s="658"/>
      <c r="R80" s="658"/>
    </row>
    <row r="81" spans="1:19" ht="18.75">
      <c r="A81" s="706" t="s">
        <v>339</v>
      </c>
      <c r="B81" s="706"/>
      <c r="C81" s="707"/>
      <c r="D81" s="688"/>
      <c r="E81" s="658"/>
      <c r="F81" s="658"/>
      <c r="G81" s="658"/>
      <c r="H81" s="658"/>
      <c r="I81" s="658"/>
      <c r="J81" s="658"/>
      <c r="K81" s="658"/>
      <c r="L81" s="658"/>
      <c r="M81" s="658"/>
      <c r="N81" s="658"/>
      <c r="O81" s="658"/>
      <c r="P81" s="658"/>
      <c r="Q81" s="658"/>
      <c r="R81" s="658"/>
    </row>
    <row r="82" spans="1:19">
      <c r="A82" s="1045"/>
      <c r="B82" s="1045"/>
      <c r="C82" s="1045"/>
      <c r="D82" s="1045"/>
      <c r="E82" s="1045"/>
      <c r="F82" s="1045"/>
      <c r="G82" s="1045"/>
      <c r="H82" s="1045"/>
      <c r="I82" s="1045"/>
      <c r="J82" s="1045"/>
      <c r="K82" s="1045"/>
      <c r="L82" s="1045"/>
      <c r="M82" s="1045"/>
      <c r="N82" s="1045"/>
      <c r="O82" s="1045"/>
      <c r="P82" s="1045"/>
      <c r="Q82" s="690"/>
      <c r="R82" s="690"/>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46" t="s">
        <v>242</v>
      </c>
      <c r="B84" s="1082" t="s">
        <v>340</v>
      </c>
      <c r="C84" s="1100"/>
      <c r="D84" s="1092" t="s">
        <v>341</v>
      </c>
      <c r="E84" s="1093"/>
      <c r="F84" s="1093"/>
      <c r="G84" s="1093"/>
      <c r="H84" s="1093"/>
      <c r="I84" s="1093"/>
      <c r="J84" s="1093"/>
      <c r="K84" s="1093"/>
      <c r="L84" s="1093"/>
      <c r="M84" s="1093"/>
      <c r="N84" s="1093"/>
      <c r="O84" s="1094"/>
      <c r="P84" s="904" t="s">
        <v>576</v>
      </c>
      <c r="Q84" s="1082" t="s">
        <v>575</v>
      </c>
      <c r="R84" s="1083"/>
    </row>
    <row r="85" spans="1:19" ht="16.5" customHeight="1" thickTop="1" thickBot="1">
      <c r="A85" s="1047"/>
      <c r="B85" s="1101"/>
      <c r="C85" s="1102"/>
      <c r="D85" s="1095" t="s">
        <v>190</v>
      </c>
      <c r="E85" s="1096"/>
      <c r="F85" s="1096"/>
      <c r="G85" s="1096"/>
      <c r="H85" s="1097"/>
      <c r="I85" s="1090" t="s">
        <v>235</v>
      </c>
      <c r="J85" s="1074" t="s">
        <v>223</v>
      </c>
      <c r="K85" s="1087" t="s">
        <v>202</v>
      </c>
      <c r="L85" s="1087" t="s">
        <v>203</v>
      </c>
      <c r="M85" s="1098" t="s">
        <v>234</v>
      </c>
      <c r="N85" s="1087" t="s">
        <v>246</v>
      </c>
      <c r="O85" s="1088" t="s">
        <v>120</v>
      </c>
      <c r="P85" s="905"/>
      <c r="Q85" s="804"/>
      <c r="R85" s="805"/>
    </row>
    <row r="86" spans="1:19" ht="110.25" customHeight="1" thickTop="1" thickBot="1">
      <c r="A86" s="1048"/>
      <c r="B86" s="792" t="s">
        <v>574</v>
      </c>
      <c r="C86" s="792" t="s">
        <v>638</v>
      </c>
      <c r="D86" s="708" t="s">
        <v>192</v>
      </c>
      <c r="E86" s="692" t="s">
        <v>193</v>
      </c>
      <c r="F86" s="709" t="s">
        <v>194</v>
      </c>
      <c r="G86" s="692" t="s">
        <v>196</v>
      </c>
      <c r="H86" s="710" t="s">
        <v>197</v>
      </c>
      <c r="I86" s="1091"/>
      <c r="J86" s="1086"/>
      <c r="K86" s="1075"/>
      <c r="L86" s="1075"/>
      <c r="M86" s="1099"/>
      <c r="N86" s="1075"/>
      <c r="O86" s="1089"/>
      <c r="P86" s="906"/>
      <c r="Q86" s="745" t="s">
        <v>577</v>
      </c>
      <c r="R86" s="743" t="s">
        <v>578</v>
      </c>
    </row>
    <row r="87" spans="1:19" ht="15.75" thickTop="1">
      <c r="A87" s="711" t="s">
        <v>241</v>
      </c>
      <c r="B87" s="712">
        <f>'lokale energieproductie'!B17*IFERROR(SUM(I87:O87)/SUM(D87:O87),0)</f>
        <v>183.61111112580002</v>
      </c>
      <c r="C87" s="712">
        <f>'lokale energieproductie'!B17*IFERROR(SUM(D87:H87)/SUM(D87:O87),0)</f>
        <v>0</v>
      </c>
      <c r="D87" s="723">
        <f>'lokale energieproductie'!C17</f>
        <v>0</v>
      </c>
      <c r="E87" s="723">
        <f>'lokale energieproductie'!D17</f>
        <v>0</v>
      </c>
      <c r="F87" s="723">
        <f>'lokale energieproductie'!E17</f>
        <v>0</v>
      </c>
      <c r="G87" s="723">
        <f>'lokale energieproductie'!F17</f>
        <v>0</v>
      </c>
      <c r="H87" s="723">
        <f>'lokale energieproductie'!G17</f>
        <v>0</v>
      </c>
      <c r="I87" s="723">
        <f>'lokale energieproductie'!I17</f>
        <v>0</v>
      </c>
      <c r="J87" s="723">
        <f>'lokale energieproductie'!J17</f>
        <v>199.16198271719713</v>
      </c>
      <c r="K87" s="723">
        <f>'lokale energieproductie'!M17</f>
        <v>0</v>
      </c>
      <c r="L87" s="723">
        <f>'lokale energieproductie'!N17</f>
        <v>0</v>
      </c>
      <c r="M87" s="723">
        <f>'lokale energieproductie'!H17</f>
        <v>0</v>
      </c>
      <c r="N87" s="723">
        <f>'lokale energieproductie'!K17</f>
        <v>0</v>
      </c>
      <c r="O87" s="723">
        <f>'lokale energieproductie'!L17</f>
        <v>0</v>
      </c>
      <c r="P87" s="1108"/>
      <c r="Q87" s="807">
        <f>D87*EF_CO2_aardgas+E87*EF_VLgas_CO2+'SEAP template'!F87*EF_stookolie_CO2+EF_bruinkool_CO2*'SEAP template'!G87+'SEAP template'!H87*EF_steenkool_CO2+'EF brandstof'!M4*'SEAP template'!M87+'SEAP template'!O87*EF_anderfossiel_CO2</f>
        <v>0</v>
      </c>
      <c r="R87" s="794">
        <v>0</v>
      </c>
    </row>
    <row r="88" spans="1:19" ht="15">
      <c r="A88" s="713" t="s">
        <v>247</v>
      </c>
      <c r="B88" s="712">
        <f>'lokale energieproductie'!B18*IFERROR(SUM(I88:O88)/SUM(D88:O88),0)</f>
        <v>0</v>
      </c>
      <c r="C88" s="712">
        <f>'lokale energieproductie'!B18*IFERROR(SUM(D88:H88)/SUM(D88:O88),0)</f>
        <v>0</v>
      </c>
      <c r="D88" s="723">
        <f>'lokale energieproductie'!C18</f>
        <v>0</v>
      </c>
      <c r="E88" s="723">
        <f>'lokale energieproductie'!D18</f>
        <v>0</v>
      </c>
      <c r="F88" s="723">
        <f>'lokale energieproductie'!E18</f>
        <v>0</v>
      </c>
      <c r="G88" s="723">
        <f>'lokale energieproductie'!F18</f>
        <v>0</v>
      </c>
      <c r="H88" s="723">
        <f>'lokale energieproductie'!G18</f>
        <v>0</v>
      </c>
      <c r="I88" s="723">
        <f>'lokale energieproductie'!I18</f>
        <v>0</v>
      </c>
      <c r="J88" s="723">
        <f>'lokale energieproductie'!J18</f>
        <v>0</v>
      </c>
      <c r="K88" s="723">
        <f>'lokale energieproductie'!M18</f>
        <v>0</v>
      </c>
      <c r="L88" s="723">
        <f>'lokale energieproductie'!N18</f>
        <v>0</v>
      </c>
      <c r="M88" s="723">
        <f>'lokale energieproductie'!H18</f>
        <v>0</v>
      </c>
      <c r="N88" s="723">
        <f>'lokale energieproductie'!K18</f>
        <v>0</v>
      </c>
      <c r="O88" s="723">
        <f>'lokale energieproductie'!L18</f>
        <v>0</v>
      </c>
      <c r="P88" s="1109"/>
      <c r="Q88" s="801">
        <f>D88*EF_CO2_aardgas+E88*EF_VLgas_CO2+'SEAP template'!F88*EF_stookolie_CO2+EF_bruinkool_CO2*'SEAP template'!G88+'SEAP template'!H88*EF_steenkool_CO2+'EF brandstof'!M4*'SEAP template'!M88+'SEAP template'!O88*EF_anderfossiel_CO2</f>
        <v>0</v>
      </c>
      <c r="R88" s="795">
        <v>0</v>
      </c>
    </row>
    <row r="89" spans="1:19" ht="30" thickBot="1">
      <c r="A89" s="697" t="s">
        <v>338</v>
      </c>
      <c r="B89" s="712">
        <f>'lokale energieproductie'!B19*IFERROR(SUM(I89:O89)/SUM(D89:O89),0)</f>
        <v>0</v>
      </c>
      <c r="C89" s="712">
        <f>'lokale energieproductie'!B19*IFERROR(SUM(D89:H89)/SUM(D89:O89),0)</f>
        <v>0</v>
      </c>
      <c r="D89" s="723">
        <f>'lokale energieproductie'!C19</f>
        <v>0</v>
      </c>
      <c r="E89" s="723">
        <f>'lokale energieproductie'!D19</f>
        <v>0</v>
      </c>
      <c r="F89" s="723">
        <f>'lokale energieproductie'!E19</f>
        <v>0</v>
      </c>
      <c r="G89" s="723">
        <f>'lokale energieproductie'!F19</f>
        <v>0</v>
      </c>
      <c r="H89" s="723">
        <f>'lokale energieproductie'!G19</f>
        <v>0</v>
      </c>
      <c r="I89" s="723">
        <f>'lokale energieproductie'!I19</f>
        <v>0</v>
      </c>
      <c r="J89" s="723">
        <f>'lokale energieproductie'!J19</f>
        <v>0</v>
      </c>
      <c r="K89" s="723">
        <f>'lokale energieproductie'!M19</f>
        <v>0</v>
      </c>
      <c r="L89" s="723">
        <f>'lokale energieproductie'!N19</f>
        <v>0</v>
      </c>
      <c r="M89" s="723">
        <f>'lokale energieproductie'!H19</f>
        <v>0</v>
      </c>
      <c r="N89" s="723">
        <f>'lokale energieproductie'!K19</f>
        <v>0</v>
      </c>
      <c r="O89" s="723">
        <f>'lokale energieproductie'!L19</f>
        <v>0</v>
      </c>
      <c r="P89" s="1110"/>
      <c r="Q89" s="802">
        <f>D89*EF_CO2_aardgas+E89*EF_VLgas_CO2+'SEAP template'!F89*EF_stookolie_CO2+EF_bruinkool_CO2*'SEAP template'!G89+'SEAP template'!H89*EF_steenkool_CO2+'EF brandstof'!M4*'SEAP template'!M89+'SEAP template'!O89*EF_anderfossiel_CO2</f>
        <v>0</v>
      </c>
      <c r="R89" s="796">
        <v>0</v>
      </c>
    </row>
    <row r="90" spans="1:19" ht="16.5" thickTop="1" thickBot="1">
      <c r="A90" s="714" t="s">
        <v>109</v>
      </c>
      <c r="B90" s="699">
        <f>SUM(B87:B89)</f>
        <v>183.61111112580002</v>
      </c>
      <c r="C90" s="699">
        <f>SUM(C87:C89)</f>
        <v>0</v>
      </c>
      <c r="D90" s="699">
        <f t="shared" ref="D90:H90" si="12">SUM(D87:D89)</f>
        <v>0</v>
      </c>
      <c r="E90" s="699">
        <f t="shared" si="12"/>
        <v>0</v>
      </c>
      <c r="F90" s="699">
        <f t="shared" si="12"/>
        <v>0</v>
      </c>
      <c r="G90" s="699">
        <f t="shared" si="12"/>
        <v>0</v>
      </c>
      <c r="H90" s="699">
        <f t="shared" si="12"/>
        <v>0</v>
      </c>
      <c r="I90" s="699">
        <f>SUM(I87:I89)</f>
        <v>0</v>
      </c>
      <c r="J90" s="699">
        <f>SUM(J87:J89)</f>
        <v>199.16198271719713</v>
      </c>
      <c r="K90" s="699">
        <f t="shared" ref="K90:L90" si="13">SUM(K87:K89)</f>
        <v>0</v>
      </c>
      <c r="L90" s="699">
        <f t="shared" si="13"/>
        <v>0</v>
      </c>
      <c r="M90" s="699">
        <f>SUM(M87:M89)</f>
        <v>0</v>
      </c>
      <c r="N90" s="699">
        <f>SUM(N87:N89)</f>
        <v>0</v>
      </c>
      <c r="O90" s="699">
        <f>SUM(O87:O89)</f>
        <v>0</v>
      </c>
      <c r="P90" s="699">
        <v>0</v>
      </c>
      <c r="Q90" s="699">
        <f>SUM(Q87:Q89)</f>
        <v>0</v>
      </c>
      <c r="R90" s="808">
        <f>SUM(R87:R89)</f>
        <v>0</v>
      </c>
    </row>
    <row r="91" spans="1:19" ht="15.75" thickTop="1">
      <c r="A91" s="715"/>
      <c r="B91" s="715"/>
      <c r="C91" s="716"/>
      <c r="D91" s="717"/>
      <c r="E91" s="718"/>
      <c r="F91" s="704"/>
      <c r="G91" s="704"/>
      <c r="H91" s="704"/>
      <c r="I91" s="704"/>
      <c r="J91" s="704"/>
      <c r="K91" s="704"/>
      <c r="L91" s="704"/>
      <c r="M91" s="658"/>
      <c r="Q91" s="704"/>
      <c r="R91" s="658"/>
      <c r="S91" s="689"/>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5"/>
  <sheetViews>
    <sheetView showGridLines="0" workbookViewId="0"/>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381</v>
      </c>
      <c r="B1" s="343" t="s">
        <v>388</v>
      </c>
      <c r="C1" s="343" t="s">
        <v>387</v>
      </c>
      <c r="D1" s="343" t="s">
        <v>386</v>
      </c>
      <c r="E1" s="344" t="s">
        <v>382</v>
      </c>
      <c r="F1" s="345" t="s">
        <v>383</v>
      </c>
      <c r="G1" s="345" t="s">
        <v>384</v>
      </c>
      <c r="H1" s="345" t="s">
        <v>385</v>
      </c>
    </row>
    <row r="2" spans="1:8" s="11" customFormat="1">
      <c r="A2" s="994" t="s">
        <v>688</v>
      </c>
      <c r="B2" s="1010" t="s">
        <v>717</v>
      </c>
      <c r="C2" s="994" t="s">
        <v>584</v>
      </c>
      <c r="D2" s="994" t="s">
        <v>689</v>
      </c>
      <c r="E2" s="340"/>
      <c r="F2" s="846" t="s">
        <v>611</v>
      </c>
      <c r="G2" s="846" t="s">
        <v>610</v>
      </c>
      <c r="H2" s="846" t="s">
        <v>612</v>
      </c>
    </row>
    <row r="3" spans="1:8" s="10" customFormat="1">
      <c r="A3" s="994" t="s">
        <v>715</v>
      </c>
      <c r="B3" s="1010" t="s">
        <v>823</v>
      </c>
      <c r="C3" s="994" t="s">
        <v>186</v>
      </c>
      <c r="D3" s="1032" t="s">
        <v>819</v>
      </c>
      <c r="E3" s="1024"/>
      <c r="F3" s="846" t="s">
        <v>611</v>
      </c>
      <c r="G3" s="846" t="s">
        <v>610</v>
      </c>
      <c r="H3" s="846" t="s">
        <v>612</v>
      </c>
    </row>
    <row r="4" spans="1:8" s="10" customFormat="1">
      <c r="A4" s="339" t="s">
        <v>376</v>
      </c>
      <c r="B4" s="747">
        <v>2021</v>
      </c>
      <c r="C4" s="339" t="s">
        <v>376</v>
      </c>
      <c r="D4" s="339" t="s">
        <v>618</v>
      </c>
      <c r="E4" s="1024"/>
      <c r="F4" s="846" t="s">
        <v>608</v>
      </c>
      <c r="G4" s="846" t="s">
        <v>609</v>
      </c>
      <c r="H4" s="846" t="s">
        <v>822</v>
      </c>
    </row>
    <row r="5" spans="1:8">
      <c r="A5" s="334" t="s">
        <v>682</v>
      </c>
      <c r="B5" s="842" t="s">
        <v>756</v>
      </c>
      <c r="C5" s="334" t="s">
        <v>682</v>
      </c>
      <c r="D5" s="334" t="s">
        <v>619</v>
      </c>
      <c r="E5" s="341" t="s">
        <v>757</v>
      </c>
      <c r="F5" s="337"/>
      <c r="G5" s="337"/>
      <c r="H5" s="338"/>
    </row>
    <row r="6" spans="1:8">
      <c r="A6" s="339" t="s">
        <v>396</v>
      </c>
      <c r="B6" s="342" t="s">
        <v>397</v>
      </c>
      <c r="C6" s="339" t="s">
        <v>399</v>
      </c>
      <c r="D6" s="339" t="s">
        <v>395</v>
      </c>
      <c r="E6" s="336" t="s">
        <v>398</v>
      </c>
      <c r="F6" s="337"/>
      <c r="G6" s="337"/>
      <c r="H6" s="338"/>
    </row>
    <row r="7" spans="1:8" s="10" customFormat="1">
      <c r="A7" s="339" t="s">
        <v>613</v>
      </c>
      <c r="B7" s="747">
        <v>2021</v>
      </c>
      <c r="C7" s="339" t="s">
        <v>376</v>
      </c>
      <c r="D7" s="339" t="s">
        <v>818</v>
      </c>
      <c r="E7" s="341" t="s">
        <v>614</v>
      </c>
      <c r="F7" s="1025"/>
      <c r="G7" s="1025"/>
      <c r="H7" s="1026"/>
    </row>
    <row r="8" spans="1:8" s="836" customFormat="1">
      <c r="A8" s="339" t="s">
        <v>624</v>
      </c>
      <c r="B8" s="747">
        <v>2017</v>
      </c>
      <c r="C8" s="339" t="s">
        <v>626</v>
      </c>
      <c r="D8" s="339" t="s">
        <v>625</v>
      </c>
      <c r="E8" s="341" t="s">
        <v>623</v>
      </c>
      <c r="F8" s="337"/>
      <c r="G8" s="337"/>
      <c r="H8" s="338"/>
    </row>
    <row r="9" spans="1:8" s="11" customFormat="1">
      <c r="A9" s="339" t="s">
        <v>562</v>
      </c>
      <c r="B9" s="747" t="s">
        <v>754</v>
      </c>
      <c r="C9" s="339" t="s">
        <v>563</v>
      </c>
      <c r="D9" s="339" t="s">
        <v>564</v>
      </c>
      <c r="E9" s="341" t="s">
        <v>755</v>
      </c>
      <c r="F9" s="846" t="s">
        <v>690</v>
      </c>
      <c r="G9" s="846"/>
      <c r="H9" s="993" t="s">
        <v>691</v>
      </c>
    </row>
    <row r="10" spans="1:8" s="10" customFormat="1">
      <c r="A10" s="339" t="s">
        <v>617</v>
      </c>
      <c r="B10" s="747">
        <v>2017</v>
      </c>
      <c r="C10" s="339" t="s">
        <v>390</v>
      </c>
      <c r="D10" s="339" t="s">
        <v>616</v>
      </c>
      <c r="E10" s="1024"/>
      <c r="F10" s="846" t="s">
        <v>615</v>
      </c>
      <c r="G10" s="846" t="s">
        <v>620</v>
      </c>
      <c r="H10" s="1033" t="s">
        <v>621</v>
      </c>
    </row>
    <row r="11" spans="1:8">
      <c r="A11" s="334" t="s">
        <v>759</v>
      </c>
      <c r="B11" s="335" t="s">
        <v>752</v>
      </c>
      <c r="C11" s="334" t="s">
        <v>759</v>
      </c>
      <c r="D11" s="334" t="s">
        <v>760</v>
      </c>
      <c r="E11" s="341" t="s">
        <v>758</v>
      </c>
      <c r="F11" s="337"/>
      <c r="G11" s="337"/>
      <c r="H11" s="337"/>
    </row>
    <row r="12" spans="1:8" s="843" customFormat="1">
      <c r="A12" s="1012" t="s">
        <v>727</v>
      </c>
      <c r="B12" s="1013" t="s">
        <v>803</v>
      </c>
      <c r="C12" s="1012" t="s">
        <v>727</v>
      </c>
      <c r="D12" s="1012" t="s">
        <v>389</v>
      </c>
      <c r="E12" s="1014"/>
      <c r="F12" s="1015" t="s">
        <v>798</v>
      </c>
      <c r="G12" s="1015" t="s">
        <v>799</v>
      </c>
      <c r="H12" s="1015" t="s">
        <v>800</v>
      </c>
    </row>
    <row r="13" spans="1:8" s="843" customFormat="1">
      <c r="A13" s="339" t="s">
        <v>471</v>
      </c>
      <c r="B13" s="342" t="s">
        <v>702</v>
      </c>
      <c r="C13" s="339" t="s">
        <v>630</v>
      </c>
      <c r="D13" s="1017" t="s">
        <v>701</v>
      </c>
      <c r="E13" s="1014"/>
      <c r="F13" s="1015" t="s">
        <v>607</v>
      </c>
      <c r="G13" s="1015" t="s">
        <v>805</v>
      </c>
      <c r="H13" s="1018" t="s">
        <v>730</v>
      </c>
    </row>
    <row r="14" spans="1:8" s="843" customFormat="1">
      <c r="A14" s="1012" t="s">
        <v>727</v>
      </c>
      <c r="B14" s="1016" t="s">
        <v>804</v>
      </c>
      <c r="C14" s="1012" t="s">
        <v>727</v>
      </c>
      <c r="D14" s="1017" t="s">
        <v>703</v>
      </c>
      <c r="E14" s="1014"/>
      <c r="F14" s="1015" t="s">
        <v>798</v>
      </c>
      <c r="G14" s="1015" t="s">
        <v>799</v>
      </c>
      <c r="H14" s="1015" t="s">
        <v>800</v>
      </c>
    </row>
    <row r="15" spans="1:8" s="843" customFormat="1">
      <c r="A15" s="1012" t="s">
        <v>728</v>
      </c>
      <c r="B15" s="1016" t="s">
        <v>767</v>
      </c>
      <c r="C15" s="1012" t="s">
        <v>727</v>
      </c>
      <c r="D15" s="1012" t="s">
        <v>766</v>
      </c>
      <c r="E15" s="1019" t="s">
        <v>731</v>
      </c>
      <c r="F15" s="1015" t="s">
        <v>607</v>
      </c>
      <c r="G15" s="1015" t="s">
        <v>805</v>
      </c>
      <c r="H15" s="1018" t="s">
        <v>730</v>
      </c>
    </row>
    <row r="16" spans="1:8" s="843" customFormat="1">
      <c r="A16" s="1012" t="s">
        <v>186</v>
      </c>
      <c r="B16" s="1020" t="s">
        <v>752</v>
      </c>
      <c r="C16" s="1012" t="s">
        <v>391</v>
      </c>
      <c r="D16" s="1012" t="s">
        <v>753</v>
      </c>
      <c r="E16" s="1014"/>
      <c r="F16" s="1015" t="s">
        <v>392</v>
      </c>
      <c r="G16" s="1015" t="s">
        <v>393</v>
      </c>
      <c r="H16" s="1018" t="s">
        <v>394</v>
      </c>
    </row>
    <row r="17" spans="1:8" s="10" customFormat="1">
      <c r="A17" s="994" t="s">
        <v>821</v>
      </c>
      <c r="B17" s="1034" t="s">
        <v>823</v>
      </c>
      <c r="C17" s="994" t="s">
        <v>186</v>
      </c>
      <c r="D17" s="994" t="s">
        <v>825</v>
      </c>
      <c r="E17" s="336"/>
      <c r="F17" s="846" t="s">
        <v>611</v>
      </c>
      <c r="G17" s="846" t="s">
        <v>610</v>
      </c>
      <c r="H17" s="846" t="s">
        <v>612</v>
      </c>
    </row>
    <row r="18" spans="1:8" s="843" customFormat="1">
      <c r="A18" s="1012" t="s">
        <v>727</v>
      </c>
      <c r="B18" s="1020" t="s">
        <v>806</v>
      </c>
      <c r="C18" s="1012" t="s">
        <v>727</v>
      </c>
      <c r="D18" s="1012" t="s">
        <v>700</v>
      </c>
      <c r="E18" s="1014"/>
      <c r="F18" s="1015" t="s">
        <v>632</v>
      </c>
      <c r="G18" s="1015" t="s">
        <v>684</v>
      </c>
      <c r="H18" s="993" t="s">
        <v>802</v>
      </c>
    </row>
    <row r="19" spans="1:8" s="843" customFormat="1">
      <c r="A19" s="1012" t="s">
        <v>727</v>
      </c>
      <c r="B19" s="1021" t="s">
        <v>806</v>
      </c>
      <c r="C19" s="1012" t="s">
        <v>727</v>
      </c>
      <c r="D19" s="1012" t="s">
        <v>699</v>
      </c>
      <c r="E19" s="1014"/>
      <c r="F19" s="1015" t="s">
        <v>632</v>
      </c>
      <c r="G19" s="1015" t="s">
        <v>684</v>
      </c>
      <c r="H19" s="993" t="s">
        <v>802</v>
      </c>
    </row>
    <row r="20" spans="1:8" s="843" customFormat="1">
      <c r="A20" s="1012" t="s">
        <v>727</v>
      </c>
      <c r="B20" s="1020" t="s">
        <v>729</v>
      </c>
      <c r="C20" s="1012" t="s">
        <v>727</v>
      </c>
      <c r="D20" s="1012" t="s">
        <v>631</v>
      </c>
      <c r="E20" s="1014"/>
      <c r="F20" s="1015" t="s">
        <v>683</v>
      </c>
      <c r="G20" s="1015" t="s">
        <v>685</v>
      </c>
      <c r="H20" s="993" t="s">
        <v>801</v>
      </c>
    </row>
    <row r="21" spans="1:8" s="843" customFormat="1">
      <c r="A21" s="1012" t="s">
        <v>727</v>
      </c>
      <c r="B21" s="1013" t="s">
        <v>797</v>
      </c>
      <c r="C21" s="1012" t="s">
        <v>727</v>
      </c>
      <c r="D21" s="1012" t="s">
        <v>809</v>
      </c>
      <c r="E21" s="1014"/>
      <c r="F21" s="1015" t="s">
        <v>798</v>
      </c>
      <c r="G21" s="1015" t="s">
        <v>799</v>
      </c>
      <c r="H21" s="1015" t="s">
        <v>800</v>
      </c>
    </row>
    <row r="24" spans="1:8">
      <c r="F24" s="836"/>
    </row>
    <row r="25" spans="1:8">
      <c r="G25" s="836"/>
    </row>
  </sheetData>
  <phoneticPr fontId="131" type="noConversion"/>
  <hyperlinks>
    <hyperlink ref="H10" r:id="rId1" xr:uid="{00000000-0004-0000-1F00-000005000000}"/>
    <hyperlink ref="E8" r:id="rId2" xr:uid="{00000000-0004-0000-1F00-000007000000}"/>
    <hyperlink ref="H9" r:id="rId3" xr:uid="{B6B245E2-5237-4B18-80D4-B23FF83155D0}"/>
    <hyperlink ref="H14:H15" r:id="rId4" display="kaat.jespers@vlaanderen.be" xr:uid="{4F7662B0-176D-4997-945F-1D8DC7244E59}"/>
    <hyperlink ref="E9" r:id="rId5" xr:uid="{F2765C98-35F9-4AB1-9CF3-F129BF6945F0}"/>
    <hyperlink ref="E5" r:id="rId6" xr:uid="{3548521E-90E5-405B-B41A-E2FA8F1AB4D8}"/>
    <hyperlink ref="E11" r:id="rId7" xr:uid="{00000000-0004-0000-1F00-000001000000}"/>
    <hyperlink ref="H18" r:id="rId8" xr:uid="{E7484BD8-BF76-411D-B262-7764978FCC50}"/>
    <hyperlink ref="H19" r:id="rId9" xr:uid="{688A8B6E-F2AE-47F3-8004-2C0327F62933}"/>
    <hyperlink ref="H20" r:id="rId10" xr:uid="{A9055A9B-BCE6-4D69-8C41-AA9360476766}"/>
    <hyperlink ref="H13" r:id="rId11" xr:uid="{E1AD4139-E3A4-4DB7-92B6-F5EF2C738BE7}"/>
    <hyperlink ref="E7" r:id="rId12" xr:uid="{DCC5AA64-D93C-4723-8580-EF8C050577D4}"/>
  </hyperlinks>
  <pageMargins left="0.7" right="0.7" top="0.75" bottom="0.75" header="0.3" footer="0.3"/>
  <pageSetup paperSize="9" orientation="portrait" r:id="rId13"/>
  <ignoredErrors>
    <ignoredError sqref="B6"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5"/>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47" t="s">
        <v>552</v>
      </c>
      <c r="B1" s="847" t="s">
        <v>553</v>
      </c>
      <c r="C1" s="847" t="s">
        <v>555</v>
      </c>
      <c r="D1" s="847" t="s">
        <v>554</v>
      </c>
    </row>
    <row r="2" spans="1:4" s="837" customFormat="1">
      <c r="A2" s="965" t="s">
        <v>746</v>
      </c>
      <c r="B2" s="870"/>
      <c r="C2" s="995" t="s">
        <v>694</v>
      </c>
      <c r="D2" s="996" t="s">
        <v>695</v>
      </c>
    </row>
    <row r="3" spans="1:4" s="837" customFormat="1">
      <c r="A3" s="965" t="s">
        <v>746</v>
      </c>
      <c r="B3" s="870"/>
      <c r="C3" s="995" t="s">
        <v>697</v>
      </c>
      <c r="D3" s="874" t="s">
        <v>696</v>
      </c>
    </row>
    <row r="4" spans="1:4" s="7" customFormat="1">
      <c r="A4" s="965" t="s">
        <v>746</v>
      </c>
      <c r="B4" s="870"/>
      <c r="C4" s="997" t="s">
        <v>721</v>
      </c>
      <c r="D4" s="1009" t="s">
        <v>718</v>
      </c>
    </row>
    <row r="5" spans="1:4" s="7" customFormat="1">
      <c r="A5" s="965" t="s">
        <v>746</v>
      </c>
      <c r="B5" s="856"/>
      <c r="C5" s="997" t="s">
        <v>720</v>
      </c>
      <c r="D5" s="1009" t="s">
        <v>719</v>
      </c>
    </row>
    <row r="6" spans="1:4" s="1007" customFormat="1">
      <c r="A6" s="965" t="s">
        <v>746</v>
      </c>
      <c r="B6" s="1008"/>
      <c r="C6" s="997" t="s">
        <v>723</v>
      </c>
      <c r="D6" s="1009" t="s">
        <v>724</v>
      </c>
    </row>
    <row r="7" spans="1:4" s="7" customFormat="1">
      <c r="A7" s="965" t="s">
        <v>746</v>
      </c>
      <c r="B7" s="856"/>
      <c r="C7" s="997" t="s">
        <v>817</v>
      </c>
      <c r="D7" s="1009" t="s">
        <v>725</v>
      </c>
    </row>
    <row r="8" spans="1:4" s="7" customFormat="1">
      <c r="A8" s="965" t="s">
        <v>746</v>
      </c>
      <c r="B8" s="856"/>
      <c r="C8" s="997" t="s">
        <v>816</v>
      </c>
      <c r="D8" s="1009" t="s">
        <v>726</v>
      </c>
    </row>
    <row r="9" spans="1:4" s="7" customFormat="1">
      <c r="A9" s="965" t="s">
        <v>746</v>
      </c>
      <c r="B9" s="856"/>
      <c r="C9" s="997" t="s">
        <v>815</v>
      </c>
      <c r="D9" s="1009" t="s">
        <v>722</v>
      </c>
    </row>
    <row r="10" spans="1:4" s="7" customFormat="1">
      <c r="A10" s="965" t="s">
        <v>746</v>
      </c>
      <c r="B10" s="856"/>
      <c r="C10" s="997" t="s">
        <v>732</v>
      </c>
      <c r="D10" s="1009" t="s">
        <v>733</v>
      </c>
    </row>
    <row r="11" spans="1:4" s="7" customFormat="1">
      <c r="A11" s="965"/>
      <c r="B11" s="856"/>
      <c r="C11" s="856"/>
      <c r="D11" s="874"/>
    </row>
    <row r="12" spans="1:4" s="7" customFormat="1">
      <c r="A12" s="965"/>
      <c r="B12" s="991"/>
      <c r="C12" s="991"/>
      <c r="D12" s="990"/>
    </row>
    <row r="13" spans="1:4" s="7" customFormat="1">
      <c r="A13" s="965"/>
      <c r="B13" s="991"/>
      <c r="C13" s="991"/>
      <c r="D13" s="990"/>
    </row>
    <row r="14" spans="1:4" s="7" customFormat="1">
      <c r="B14" s="844"/>
      <c r="C14" s="856"/>
      <c r="D14" s="871"/>
    </row>
    <row r="15" spans="1:4" s="7" customFormat="1">
      <c r="B15" s="844"/>
      <c r="D15" s="845"/>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topLeftCell="A7" workbookViewId="0">
      <selection sqref="A1:A3"/>
    </sheetView>
  </sheetViews>
  <sheetFormatPr defaultColWidth="9.140625" defaultRowHeight="15"/>
  <cols>
    <col min="1" max="1" width="35.7109375" style="441" bestFit="1" customWidth="1"/>
    <col min="2" max="2" width="11.28515625" style="441" bestFit="1" customWidth="1"/>
    <col min="3" max="3" width="15.42578125" style="441" bestFit="1" customWidth="1"/>
    <col min="4" max="4" width="9.140625" style="441"/>
    <col min="5" max="5" width="16.28515625" style="441" customWidth="1"/>
    <col min="6" max="8" width="9.140625" style="441"/>
    <col min="9" max="9" width="14.28515625" style="441" customWidth="1"/>
    <col min="10" max="10" width="18.5703125" style="441" customWidth="1"/>
    <col min="11" max="11" width="15.140625" style="441" customWidth="1"/>
    <col min="12" max="12" width="15.42578125" style="441" customWidth="1"/>
    <col min="13" max="13" width="17" style="441" customWidth="1"/>
    <col min="14" max="14" width="16.42578125" style="441" customWidth="1"/>
    <col min="15" max="15" width="13.42578125" style="441" customWidth="1"/>
    <col min="16" max="16" width="18.28515625" style="441" customWidth="1"/>
    <col min="17" max="17" width="10.5703125" style="441" bestFit="1" customWidth="1"/>
    <col min="18" max="18" width="9.5703125" style="441" bestFit="1" customWidth="1"/>
    <col min="19" max="16384" width="9.140625" style="441"/>
  </cols>
  <sheetData>
    <row r="1" spans="1:17" ht="15.75">
      <c r="A1" s="1130" t="s">
        <v>510</v>
      </c>
      <c r="B1" s="1131" t="s">
        <v>507</v>
      </c>
      <c r="C1" s="1131"/>
      <c r="D1" s="1131"/>
      <c r="E1" s="1131"/>
      <c r="F1" s="1131"/>
      <c r="G1" s="1131"/>
      <c r="H1" s="1131"/>
      <c r="I1" s="1131"/>
      <c r="J1" s="1131"/>
      <c r="K1" s="1131"/>
      <c r="L1" s="1131"/>
      <c r="M1" s="1131"/>
      <c r="N1" s="1131"/>
      <c r="O1" s="1131"/>
      <c r="P1" s="1132"/>
      <c r="Q1" s="440"/>
    </row>
    <row r="2" spans="1:17">
      <c r="A2" s="1130"/>
      <c r="B2" s="1133" t="s">
        <v>20</v>
      </c>
      <c r="C2" s="1135" t="s">
        <v>189</v>
      </c>
      <c r="D2" s="1137" t="s">
        <v>190</v>
      </c>
      <c r="E2" s="1138"/>
      <c r="F2" s="1138"/>
      <c r="G2" s="1138"/>
      <c r="H2" s="1138"/>
      <c r="I2" s="1138"/>
      <c r="J2" s="1138"/>
      <c r="K2" s="1134"/>
      <c r="L2" s="1137" t="s">
        <v>191</v>
      </c>
      <c r="M2" s="1138"/>
      <c r="N2" s="1138"/>
      <c r="O2" s="1138"/>
      <c r="P2" s="1134"/>
      <c r="Q2" s="440"/>
    </row>
    <row r="3" spans="1:17" ht="45">
      <c r="A3" s="1130"/>
      <c r="B3" s="1134"/>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c r="Q3" s="440" t="s">
        <v>109</v>
      </c>
    </row>
    <row r="4" spans="1:17">
      <c r="A4" s="442" t="s">
        <v>148</v>
      </c>
      <c r="B4" s="443">
        <f>huishoudens!B8</f>
        <v>31270.937819864215</v>
      </c>
      <c r="C4" s="443">
        <f>huishoudens!C8</f>
        <v>0</v>
      </c>
      <c r="D4" s="443">
        <f>huishoudens!D8</f>
        <v>42035.503836551397</v>
      </c>
      <c r="E4" s="443">
        <f>huishoudens!E8</f>
        <v>3001.937894297841</v>
      </c>
      <c r="F4" s="443">
        <f>huishoudens!F8</f>
        <v>38030.165472902554</v>
      </c>
      <c r="G4" s="443">
        <f>huishoudens!G8</f>
        <v>0</v>
      </c>
      <c r="H4" s="443">
        <f>huishoudens!H8</f>
        <v>0</v>
      </c>
      <c r="I4" s="443">
        <f>huishoudens!I8</f>
        <v>0</v>
      </c>
      <c r="J4" s="443">
        <f>huishoudens!J8</f>
        <v>243.41497333371038</v>
      </c>
      <c r="K4" s="443">
        <f>huishoudens!K8</f>
        <v>0</v>
      </c>
      <c r="L4" s="443">
        <f>huishoudens!L8</f>
        <v>0</v>
      </c>
      <c r="M4" s="443">
        <f>huishoudens!M8</f>
        <v>0</v>
      </c>
      <c r="N4" s="443">
        <f>huishoudens!N8</f>
        <v>8747.8721309065622</v>
      </c>
      <c r="O4" s="443">
        <f>huishoudens!O8</f>
        <v>718.19287541810547</v>
      </c>
      <c r="P4" s="444">
        <f>huishoudens!P8</f>
        <v>1759.1712043833986</v>
      </c>
      <c r="Q4" s="445">
        <f>SUM(B4:P4)</f>
        <v>125807.19620765776</v>
      </c>
    </row>
    <row r="5" spans="1:17">
      <c r="A5" s="442" t="s">
        <v>149</v>
      </c>
      <c r="B5" s="443">
        <f ca="1">tertiair!B16</f>
        <v>21430.019382814582</v>
      </c>
      <c r="C5" s="443">
        <f ca="1">tertiair!C16</f>
        <v>0</v>
      </c>
      <c r="D5" s="443">
        <f ca="1">tertiair!D16</f>
        <v>31436.859660277551</v>
      </c>
      <c r="E5" s="443">
        <f ca="1">tertiair!E16</f>
        <v>43.953008577626228</v>
      </c>
      <c r="F5" s="443">
        <f ca="1">tertiair!F16</f>
        <v>4394.8847957296121</v>
      </c>
      <c r="G5" s="443">
        <f>tertiair!G16</f>
        <v>0</v>
      </c>
      <c r="H5" s="443">
        <f>tertiair!H16</f>
        <v>0</v>
      </c>
      <c r="I5" s="443">
        <f>tertiair!I16</f>
        <v>0</v>
      </c>
      <c r="J5" s="443">
        <f>tertiair!J16</f>
        <v>3.748439021373131E-2</v>
      </c>
      <c r="K5" s="443">
        <f>tertiair!K16</f>
        <v>0</v>
      </c>
      <c r="L5" s="443">
        <f ca="1">tertiair!L16</f>
        <v>0</v>
      </c>
      <c r="M5" s="443">
        <f>tertiair!M16</f>
        <v>0</v>
      </c>
      <c r="N5" s="443">
        <f ca="1">tertiair!N16</f>
        <v>1437.830149118678</v>
      </c>
      <c r="O5" s="443">
        <f>tertiair!O16</f>
        <v>14.691782297523464</v>
      </c>
      <c r="P5" s="444">
        <f>tertiair!P16</f>
        <v>262.69569153247511</v>
      </c>
      <c r="Q5" s="442">
        <f t="shared" ref="Q5:Q14" ca="1" si="0">SUM(B5:P5)</f>
        <v>59020.97195473827</v>
      </c>
    </row>
    <row r="6" spans="1:17">
      <c r="A6" s="442" t="s">
        <v>187</v>
      </c>
      <c r="B6" s="443">
        <f>'openbare verlichting'!B8</f>
        <v>1089.04430528634</v>
      </c>
      <c r="C6" s="443"/>
      <c r="D6" s="443"/>
      <c r="E6" s="443"/>
      <c r="F6" s="443"/>
      <c r="G6" s="443"/>
      <c r="H6" s="443"/>
      <c r="I6" s="443"/>
      <c r="J6" s="443"/>
      <c r="K6" s="443"/>
      <c r="L6" s="443"/>
      <c r="M6" s="443"/>
      <c r="N6" s="443"/>
      <c r="O6" s="443"/>
      <c r="P6" s="444"/>
      <c r="Q6" s="442">
        <f t="shared" si="0"/>
        <v>1089.04430528634</v>
      </c>
    </row>
    <row r="7" spans="1:17">
      <c r="A7" s="442" t="s">
        <v>105</v>
      </c>
      <c r="B7" s="443">
        <f>landbouw!B8</f>
        <v>3985.03426618512</v>
      </c>
      <c r="C7" s="443">
        <f>landbouw!C8</f>
        <v>183.61111112580002</v>
      </c>
      <c r="D7" s="443">
        <f>landbouw!D8</f>
        <v>337.2775347673462</v>
      </c>
      <c r="E7" s="443">
        <f>landbouw!E8</f>
        <v>134.38145977095803</v>
      </c>
      <c r="F7" s="443">
        <f>landbouw!F8</f>
        <v>13806.918740794539</v>
      </c>
      <c r="G7" s="443">
        <f>landbouw!G8</f>
        <v>0</v>
      </c>
      <c r="H7" s="443">
        <f>landbouw!H8</f>
        <v>0</v>
      </c>
      <c r="I7" s="443">
        <f>landbouw!I8</f>
        <v>0</v>
      </c>
      <c r="J7" s="443">
        <f>landbouw!J8</f>
        <v>864.96557711362141</v>
      </c>
      <c r="K7" s="443">
        <f>landbouw!K8</f>
        <v>0</v>
      </c>
      <c r="L7" s="443">
        <f>landbouw!L8</f>
        <v>0</v>
      </c>
      <c r="M7" s="443">
        <f>landbouw!M8</f>
        <v>0</v>
      </c>
      <c r="N7" s="443">
        <f>landbouw!N8</f>
        <v>0</v>
      </c>
      <c r="O7" s="443">
        <f>landbouw!O8</f>
        <v>0</v>
      </c>
      <c r="P7" s="444">
        <f>landbouw!P8</f>
        <v>0</v>
      </c>
      <c r="Q7" s="442">
        <f t="shared" si="0"/>
        <v>19312.188689757382</v>
      </c>
    </row>
    <row r="8" spans="1:17">
      <c r="A8" s="442" t="s">
        <v>569</v>
      </c>
      <c r="B8" s="443">
        <f>industrie!B18</f>
        <v>6699.069502024855</v>
      </c>
      <c r="C8" s="443">
        <f>industrie!C18</f>
        <v>0</v>
      </c>
      <c r="D8" s="443">
        <f>industrie!D18</f>
        <v>1971.308226776383</v>
      </c>
      <c r="E8" s="443">
        <f>industrie!E18</f>
        <v>144.8357254389791</v>
      </c>
      <c r="F8" s="443">
        <f>industrie!F18</f>
        <v>2261.9542582876311</v>
      </c>
      <c r="G8" s="443">
        <f>industrie!G18</f>
        <v>0</v>
      </c>
      <c r="H8" s="443">
        <f>industrie!H18</f>
        <v>0</v>
      </c>
      <c r="I8" s="443">
        <f>industrie!I18</f>
        <v>0</v>
      </c>
      <c r="J8" s="443">
        <f>industrie!J18</f>
        <v>27.889793029830379</v>
      </c>
      <c r="K8" s="443">
        <f>industrie!K18</f>
        <v>0</v>
      </c>
      <c r="L8" s="443">
        <f>industrie!L18</f>
        <v>0</v>
      </c>
      <c r="M8" s="443">
        <f>industrie!M18</f>
        <v>0</v>
      </c>
      <c r="N8" s="443">
        <f>industrie!N18</f>
        <v>54.690814080107188</v>
      </c>
      <c r="O8" s="443">
        <f>industrie!O18</f>
        <v>0</v>
      </c>
      <c r="P8" s="444">
        <f>industrie!P18</f>
        <v>0</v>
      </c>
      <c r="Q8" s="442">
        <f t="shared" si="0"/>
        <v>11159.748319637787</v>
      </c>
    </row>
    <row r="9" spans="1:17" s="448" customFormat="1">
      <c r="A9" s="446" t="s">
        <v>521</v>
      </c>
      <c r="B9" s="447">
        <f>transport!B14</f>
        <v>577.38496794303899</v>
      </c>
      <c r="C9" s="447">
        <f>transport!C14</f>
        <v>0</v>
      </c>
      <c r="D9" s="447">
        <f>transport!D14</f>
        <v>592.19149858733499</v>
      </c>
      <c r="E9" s="447">
        <f>transport!E14</f>
        <v>195.07992630984521</v>
      </c>
      <c r="F9" s="447">
        <f>transport!F14</f>
        <v>0</v>
      </c>
      <c r="G9" s="447">
        <f>transport!G14</f>
        <v>73527.346942820936</v>
      </c>
      <c r="H9" s="447">
        <f>transport!H14</f>
        <v>27934.485317852763</v>
      </c>
      <c r="I9" s="447">
        <f>transport!I14</f>
        <v>0</v>
      </c>
      <c r="J9" s="447">
        <f>transport!J14</f>
        <v>0</v>
      </c>
      <c r="K9" s="447">
        <f>transport!K14</f>
        <v>0</v>
      </c>
      <c r="L9" s="447">
        <f>transport!L14</f>
        <v>0</v>
      </c>
      <c r="M9" s="447">
        <f>transport!M14</f>
        <v>10634.263385334772</v>
      </c>
      <c r="N9" s="447">
        <f>transport!N14</f>
        <v>0</v>
      </c>
      <c r="O9" s="447">
        <f>transport!O14</f>
        <v>0</v>
      </c>
      <c r="P9" s="447">
        <f>transport!P14</f>
        <v>0</v>
      </c>
      <c r="Q9" s="446">
        <f>SUM(B9:P9)</f>
        <v>113460.7520388487</v>
      </c>
    </row>
    <row r="10" spans="1:17">
      <c r="A10" s="442" t="s">
        <v>511</v>
      </c>
      <c r="B10" s="443">
        <f>transport!B54</f>
        <v>49.058174739925576</v>
      </c>
      <c r="C10" s="443">
        <f>transport!C54</f>
        <v>0</v>
      </c>
      <c r="D10" s="443">
        <f>transport!D54</f>
        <v>0</v>
      </c>
      <c r="E10" s="443">
        <f>transport!E54</f>
        <v>0</v>
      </c>
      <c r="F10" s="443">
        <f>transport!F54</f>
        <v>0</v>
      </c>
      <c r="G10" s="443">
        <f>transport!G54</f>
        <v>2014.6591888667735</v>
      </c>
      <c r="H10" s="443">
        <f>transport!H54</f>
        <v>0</v>
      </c>
      <c r="I10" s="443">
        <f>transport!I54</f>
        <v>0</v>
      </c>
      <c r="J10" s="443">
        <f>transport!J54</f>
        <v>0</v>
      </c>
      <c r="K10" s="443">
        <f>transport!K54</f>
        <v>0</v>
      </c>
      <c r="L10" s="443">
        <f>transport!L54</f>
        <v>0</v>
      </c>
      <c r="M10" s="443">
        <f>transport!M54</f>
        <v>225.51870897581321</v>
      </c>
      <c r="N10" s="443">
        <f>transport!N54</f>
        <v>0</v>
      </c>
      <c r="O10" s="443">
        <f>transport!O54</f>
        <v>0</v>
      </c>
      <c r="P10" s="444">
        <f>transport!P54</f>
        <v>0</v>
      </c>
      <c r="Q10" s="442">
        <f t="shared" si="0"/>
        <v>2289.2360725825124</v>
      </c>
    </row>
    <row r="11" spans="1:17">
      <c r="A11" s="442" t="s">
        <v>512</v>
      </c>
      <c r="B11" s="443">
        <f>'Eigen gebouwen'!B15</f>
        <v>0</v>
      </c>
      <c r="C11" s="443">
        <f>'Eigen gebouwen'!C15</f>
        <v>0</v>
      </c>
      <c r="D11" s="443">
        <f>'Eigen gebouwen'!D15</f>
        <v>0</v>
      </c>
      <c r="E11" s="443">
        <f>'Eigen gebouwen'!E15</f>
        <v>0</v>
      </c>
      <c r="F11" s="443">
        <f>'Eigen gebouwen'!F15</f>
        <v>0</v>
      </c>
      <c r="G11" s="443">
        <f>'Eigen gebouwen'!G15</f>
        <v>0</v>
      </c>
      <c r="H11" s="443">
        <f>'Eigen gebouwen'!H15</f>
        <v>0</v>
      </c>
      <c r="I11" s="443">
        <f>'Eigen gebouwen'!I15</f>
        <v>0</v>
      </c>
      <c r="J11" s="443">
        <f>'Eigen gebouwen'!J15</f>
        <v>0</v>
      </c>
      <c r="K11" s="443">
        <f>'Eigen gebouwen'!K15</f>
        <v>0</v>
      </c>
      <c r="L11" s="443">
        <f>'Eigen gebouwen'!L15</f>
        <v>0</v>
      </c>
      <c r="M11" s="443">
        <f>'Eigen gebouwen'!M15</f>
        <v>0</v>
      </c>
      <c r="N11" s="443">
        <f>'Eigen gebouwen'!N15</f>
        <v>0</v>
      </c>
      <c r="O11" s="443">
        <f>'Eigen gebouwen'!O15</f>
        <v>0</v>
      </c>
      <c r="P11" s="444">
        <f>'Eigen gebouwen'!P15</f>
        <v>0</v>
      </c>
      <c r="Q11" s="442">
        <f t="shared" si="0"/>
        <v>0</v>
      </c>
    </row>
    <row r="12" spans="1:17">
      <c r="A12" s="442" t="s">
        <v>513</v>
      </c>
      <c r="B12" s="443">
        <f>'Eigen openbare verlichting'!B15</f>
        <v>0</v>
      </c>
      <c r="C12" s="443"/>
      <c r="D12" s="443"/>
      <c r="E12" s="443"/>
      <c r="F12" s="443"/>
      <c r="G12" s="443"/>
      <c r="H12" s="443"/>
      <c r="I12" s="443"/>
      <c r="J12" s="443"/>
      <c r="K12" s="443"/>
      <c r="L12" s="443"/>
      <c r="M12" s="443"/>
      <c r="N12" s="443"/>
      <c r="O12" s="443"/>
      <c r="P12" s="444"/>
      <c r="Q12" s="442">
        <f t="shared" si="0"/>
        <v>0</v>
      </c>
    </row>
    <row r="13" spans="1:17">
      <c r="A13" s="442" t="s">
        <v>514</v>
      </c>
      <c r="B13" s="443">
        <f>'Eigen vloot'!B27</f>
        <v>0</v>
      </c>
      <c r="C13" s="443">
        <f>'Eigen vloot'!C27</f>
        <v>0</v>
      </c>
      <c r="D13" s="443">
        <f>'Eigen vloot'!D27</f>
        <v>0</v>
      </c>
      <c r="E13" s="443">
        <f>'Eigen vloot'!E27</f>
        <v>0</v>
      </c>
      <c r="F13" s="443">
        <f>'Eigen vloot'!F27</f>
        <v>0</v>
      </c>
      <c r="G13" s="443">
        <f>'Eigen vloot'!G27</f>
        <v>0</v>
      </c>
      <c r="H13" s="443">
        <f>'Eigen vloot'!H27</f>
        <v>0</v>
      </c>
      <c r="I13" s="443">
        <f>'Eigen vloot'!I27</f>
        <v>0</v>
      </c>
      <c r="J13" s="443">
        <f>'Eigen vloot'!J27</f>
        <v>0</v>
      </c>
      <c r="K13" s="443">
        <f>'Eigen vloot'!K27</f>
        <v>0</v>
      </c>
      <c r="L13" s="443">
        <f>'Eigen vloot'!L27</f>
        <v>0</v>
      </c>
      <c r="M13" s="443">
        <f>'Eigen vloot'!M27</f>
        <v>0</v>
      </c>
      <c r="N13" s="443">
        <f>'Eigen vloot'!N27</f>
        <v>0</v>
      </c>
      <c r="O13" s="443">
        <f>'Eigen vloot'!O27</f>
        <v>0</v>
      </c>
      <c r="P13" s="444">
        <f>'Eigen vloot'!P27</f>
        <v>0</v>
      </c>
      <c r="Q13" s="442">
        <f t="shared" si="0"/>
        <v>0</v>
      </c>
    </row>
    <row r="14" spans="1:17">
      <c r="A14" s="449" t="s">
        <v>657</v>
      </c>
      <c r="B14" s="450">
        <f>'SEAP template'!C25</f>
        <v>1191.67731542248</v>
      </c>
      <c r="C14" s="450"/>
      <c r="D14" s="450">
        <f>'SEAP template'!E25</f>
        <v>1859.1213914391401</v>
      </c>
      <c r="E14" s="450"/>
      <c r="F14" s="450"/>
      <c r="G14" s="450"/>
      <c r="H14" s="450"/>
      <c r="I14" s="450"/>
      <c r="J14" s="450"/>
      <c r="K14" s="450"/>
      <c r="L14" s="450"/>
      <c r="M14" s="450"/>
      <c r="N14" s="450"/>
      <c r="O14" s="450"/>
      <c r="P14" s="451"/>
      <c r="Q14" s="442">
        <f t="shared" si="0"/>
        <v>3050.7987068616203</v>
      </c>
    </row>
    <row r="15" spans="1:17" s="454" customFormat="1">
      <c r="A15" s="452" t="s">
        <v>515</v>
      </c>
      <c r="B15" s="453">
        <f ca="1">SUM(B4:B14)</f>
        <v>66292.225734280553</v>
      </c>
      <c r="C15" s="453">
        <f t="shared" ref="C15:Q15" ca="1" si="1">SUM(C4:C14)</f>
        <v>183.61111112580002</v>
      </c>
      <c r="D15" s="453">
        <f t="shared" ca="1" si="1"/>
        <v>78232.262148399139</v>
      </c>
      <c r="E15" s="453">
        <f t="shared" ca="1" si="1"/>
        <v>3520.1880143952494</v>
      </c>
      <c r="F15" s="453">
        <f t="shared" ca="1" si="1"/>
        <v>58493.92326771433</v>
      </c>
      <c r="G15" s="453">
        <f t="shared" si="1"/>
        <v>75542.006131687711</v>
      </c>
      <c r="H15" s="453">
        <f t="shared" si="1"/>
        <v>27934.485317852763</v>
      </c>
      <c r="I15" s="453">
        <f t="shared" si="1"/>
        <v>0</v>
      </c>
      <c r="J15" s="453">
        <f t="shared" si="1"/>
        <v>1136.3078278673759</v>
      </c>
      <c r="K15" s="453">
        <f t="shared" si="1"/>
        <v>0</v>
      </c>
      <c r="L15" s="453">
        <f t="shared" ca="1" si="1"/>
        <v>0</v>
      </c>
      <c r="M15" s="453">
        <f t="shared" si="1"/>
        <v>10859.782094310585</v>
      </c>
      <c r="N15" s="453">
        <f t="shared" ca="1" si="1"/>
        <v>10240.393094105348</v>
      </c>
      <c r="O15" s="453">
        <f t="shared" si="1"/>
        <v>732.88465771562892</v>
      </c>
      <c r="P15" s="453">
        <f t="shared" si="1"/>
        <v>2021.8668959158738</v>
      </c>
      <c r="Q15" s="453">
        <f t="shared" ca="1" si="1"/>
        <v>335189.93629537034</v>
      </c>
    </row>
    <row r="17" spans="1:17">
      <c r="A17" s="455" t="s">
        <v>516</v>
      </c>
      <c r="B17" s="732">
        <f ca="1">huishoudens!B10</f>
        <v>0.16494846667445565</v>
      </c>
      <c r="C17" s="732">
        <f ca="1">huishoudens!C10</f>
        <v>0</v>
      </c>
      <c r="D17" s="732">
        <f>huishoudens!D10</f>
        <v>0.20200000000000001</v>
      </c>
      <c r="E17" s="732">
        <f>huishoudens!E10</f>
        <v>0.22700000000000001</v>
      </c>
      <c r="F17" s="732">
        <f>huishoudens!F10</f>
        <v>0.26700000000000002</v>
      </c>
      <c r="G17" s="732">
        <f>huishoudens!G10</f>
        <v>0.26700000000000002</v>
      </c>
      <c r="H17" s="732">
        <f>huishoudens!H10</f>
        <v>0.249</v>
      </c>
      <c r="I17" s="732">
        <f>huishoudens!I10</f>
        <v>0.35099999999999998</v>
      </c>
      <c r="J17" s="732">
        <f>huishoudens!J10</f>
        <v>0.35399999999999998</v>
      </c>
      <c r="K17" s="732">
        <f>huishoudens!K10</f>
        <v>0.26400000000000001</v>
      </c>
      <c r="L17" s="732">
        <f>huishoudens!L10</f>
        <v>0</v>
      </c>
      <c r="M17" s="732">
        <f>huishoudens!M10</f>
        <v>0</v>
      </c>
      <c r="N17" s="732">
        <f>huishoudens!N10</f>
        <v>0</v>
      </c>
      <c r="O17" s="732">
        <f>huishoudens!O10</f>
        <v>0</v>
      </c>
      <c r="P17" s="732">
        <f>huishoudens!P10</f>
        <v>0</v>
      </c>
    </row>
    <row r="19" spans="1:17" ht="15.75">
      <c r="A19" s="1130" t="s">
        <v>518</v>
      </c>
      <c r="B19" s="1131" t="s">
        <v>517</v>
      </c>
      <c r="C19" s="1131"/>
      <c r="D19" s="1131"/>
      <c r="E19" s="1131"/>
      <c r="F19" s="1131"/>
      <c r="G19" s="1131"/>
      <c r="H19" s="1131"/>
      <c r="I19" s="1131"/>
      <c r="J19" s="1131"/>
      <c r="K19" s="1131"/>
      <c r="L19" s="1131"/>
      <c r="M19" s="1131"/>
      <c r="N19" s="1131"/>
      <c r="O19" s="1131"/>
      <c r="P19" s="1132"/>
      <c r="Q19" s="440"/>
    </row>
    <row r="20" spans="1:17" ht="15" customHeight="1">
      <c r="A20" s="1130"/>
      <c r="B20" s="1133" t="s">
        <v>20</v>
      </c>
      <c r="C20" s="1135" t="s">
        <v>189</v>
      </c>
      <c r="D20" s="1137" t="s">
        <v>190</v>
      </c>
      <c r="E20" s="1138"/>
      <c r="F20" s="1138"/>
      <c r="G20" s="1138"/>
      <c r="H20" s="1138"/>
      <c r="I20" s="1138"/>
      <c r="J20" s="1138"/>
      <c r="K20" s="1134"/>
      <c r="L20" s="1137" t="s">
        <v>191</v>
      </c>
      <c r="M20" s="1138"/>
      <c r="N20" s="1138"/>
      <c r="O20" s="1138"/>
      <c r="P20" s="1134"/>
      <c r="Q20" s="440"/>
    </row>
    <row r="21" spans="1:17" ht="45">
      <c r="A21" s="1130"/>
      <c r="B21" s="1134"/>
      <c r="C21" s="1136"/>
      <c r="D21" s="440" t="s">
        <v>192</v>
      </c>
      <c r="E21" s="440" t="s">
        <v>193</v>
      </c>
      <c r="F21" s="440" t="s">
        <v>194</v>
      </c>
      <c r="G21" s="440" t="s">
        <v>195</v>
      </c>
      <c r="H21" s="440" t="s">
        <v>113</v>
      </c>
      <c r="I21" s="440" t="s">
        <v>196</v>
      </c>
      <c r="J21" s="440" t="s">
        <v>197</v>
      </c>
      <c r="K21" s="440" t="s">
        <v>198</v>
      </c>
      <c r="L21" s="440" t="s">
        <v>199</v>
      </c>
      <c r="M21" s="440" t="s">
        <v>200</v>
      </c>
      <c r="N21" s="440" t="s">
        <v>201</v>
      </c>
      <c r="O21" s="440" t="s">
        <v>202</v>
      </c>
      <c r="P21" s="440" t="s">
        <v>203</v>
      </c>
      <c r="Q21" s="440" t="s">
        <v>109</v>
      </c>
    </row>
    <row r="22" spans="1:17">
      <c r="A22" s="442" t="s">
        <v>148</v>
      </c>
      <c r="B22" s="443">
        <f t="shared" ref="B22:B32" ca="1" si="2">B4*$B$17</f>
        <v>5158.0932448588474</v>
      </c>
      <c r="C22" s="443">
        <f t="shared" ref="C22:C32" ca="1" si="3">C4*$C$17</f>
        <v>0</v>
      </c>
      <c r="D22" s="443">
        <f t="shared" ref="D22:D32" si="4">D4*$D$17</f>
        <v>8491.1717749833824</v>
      </c>
      <c r="E22" s="443">
        <f t="shared" ref="E22:E32" si="5">E4*$E$17</f>
        <v>681.43990200560995</v>
      </c>
      <c r="F22" s="443">
        <f t="shared" ref="F22:F32" si="6">F4*$F$17</f>
        <v>10154.054181264983</v>
      </c>
      <c r="G22" s="443">
        <f t="shared" ref="G22:G32" si="7">G4*$G$17</f>
        <v>0</v>
      </c>
      <c r="H22" s="443">
        <f t="shared" ref="H22:H32" si="8">H4*$H$17</f>
        <v>0</v>
      </c>
      <c r="I22" s="443">
        <f t="shared" ref="I22:I32" si="9">I4*$I$17</f>
        <v>0</v>
      </c>
      <c r="J22" s="443">
        <f t="shared" ref="J22:J32" si="10">J4*$J$17</f>
        <v>86.168900560133466</v>
      </c>
      <c r="K22" s="443">
        <f t="shared" ref="K22:K32" si="11">K4*$K$17</f>
        <v>0</v>
      </c>
      <c r="L22" s="443">
        <f t="shared" ref="L22:L32" si="12">L4*$L$17</f>
        <v>0</v>
      </c>
      <c r="M22" s="443">
        <f t="shared" ref="M22:M32" si="13">M4*$M$17</f>
        <v>0</v>
      </c>
      <c r="N22" s="443">
        <f t="shared" ref="N22:N32" si="14">N4*$N$17</f>
        <v>0</v>
      </c>
      <c r="O22" s="443">
        <f t="shared" ref="O22:O32" si="15">O4*$O$17</f>
        <v>0</v>
      </c>
      <c r="P22" s="456">
        <f t="shared" ref="P22:P32" si="16">P4*$P$17</f>
        <v>0</v>
      </c>
      <c r="Q22" s="445">
        <f ca="1">SUM(B22:P22)</f>
        <v>24570.928003672958</v>
      </c>
    </row>
    <row r="23" spans="1:17">
      <c r="A23" s="442" t="s">
        <v>149</v>
      </c>
      <c r="B23" s="443">
        <f t="shared" ca="1" si="2"/>
        <v>3534.8488379991295</v>
      </c>
      <c r="C23" s="443">
        <f t="shared" ca="1" si="3"/>
        <v>0</v>
      </c>
      <c r="D23" s="443">
        <f t="shared" ca="1" si="4"/>
        <v>6350.2456513760653</v>
      </c>
      <c r="E23" s="443">
        <f t="shared" ca="1" si="5"/>
        <v>9.9773329471211536</v>
      </c>
      <c r="F23" s="443">
        <f t="shared" ca="1" si="6"/>
        <v>1173.4342404598065</v>
      </c>
      <c r="G23" s="443">
        <f t="shared" si="7"/>
        <v>0</v>
      </c>
      <c r="H23" s="443">
        <f t="shared" si="8"/>
        <v>0</v>
      </c>
      <c r="I23" s="443">
        <f t="shared" si="9"/>
        <v>0</v>
      </c>
      <c r="J23" s="443">
        <f t="shared" si="10"/>
        <v>1.3269474135660883E-2</v>
      </c>
      <c r="K23" s="443">
        <f t="shared" si="11"/>
        <v>0</v>
      </c>
      <c r="L23" s="443">
        <f t="shared" ca="1" si="12"/>
        <v>0</v>
      </c>
      <c r="M23" s="443">
        <f t="shared" si="13"/>
        <v>0</v>
      </c>
      <c r="N23" s="443">
        <f t="shared" ca="1" si="14"/>
        <v>0</v>
      </c>
      <c r="O23" s="443">
        <f t="shared" si="15"/>
        <v>0</v>
      </c>
      <c r="P23" s="444">
        <f t="shared" si="16"/>
        <v>0</v>
      </c>
      <c r="Q23" s="442">
        <f t="shared" ref="Q23:Q31" ca="1" si="17">SUM(B23:P23)</f>
        <v>11068.519332256257</v>
      </c>
    </row>
    <row r="24" spans="1:17">
      <c r="A24" s="442" t="s">
        <v>187</v>
      </c>
      <c r="B24" s="443">
        <f t="shared" ca="1" si="2"/>
        <v>179.63618829752954</v>
      </c>
      <c r="C24" s="443">
        <f t="shared" ca="1" si="3"/>
        <v>0</v>
      </c>
      <c r="D24" s="443">
        <f t="shared" si="4"/>
        <v>0</v>
      </c>
      <c r="E24" s="443">
        <f t="shared" si="5"/>
        <v>0</v>
      </c>
      <c r="F24" s="443">
        <f t="shared" si="6"/>
        <v>0</v>
      </c>
      <c r="G24" s="443">
        <f t="shared" si="7"/>
        <v>0</v>
      </c>
      <c r="H24" s="443">
        <f t="shared" si="8"/>
        <v>0</v>
      </c>
      <c r="I24" s="443">
        <f t="shared" si="9"/>
        <v>0</v>
      </c>
      <c r="J24" s="443">
        <f t="shared" si="10"/>
        <v>0</v>
      </c>
      <c r="K24" s="443">
        <f t="shared" si="11"/>
        <v>0</v>
      </c>
      <c r="L24" s="443">
        <f t="shared" si="12"/>
        <v>0</v>
      </c>
      <c r="M24" s="443">
        <f t="shared" si="13"/>
        <v>0</v>
      </c>
      <c r="N24" s="443">
        <f t="shared" si="14"/>
        <v>0</v>
      </c>
      <c r="O24" s="443">
        <f t="shared" si="15"/>
        <v>0</v>
      </c>
      <c r="P24" s="444">
        <f t="shared" si="16"/>
        <v>0</v>
      </c>
      <c r="Q24" s="442">
        <f t="shared" ca="1" si="17"/>
        <v>179.63618829752954</v>
      </c>
    </row>
    <row r="25" spans="1:17">
      <c r="A25" s="442" t="s">
        <v>105</v>
      </c>
      <c r="B25" s="443">
        <f t="shared" ca="1" si="2"/>
        <v>657.32529185240003</v>
      </c>
      <c r="C25" s="443">
        <f t="shared" ca="1" si="3"/>
        <v>0</v>
      </c>
      <c r="D25" s="443">
        <f t="shared" si="4"/>
        <v>68.13006202300393</v>
      </c>
      <c r="E25" s="443">
        <f t="shared" si="5"/>
        <v>30.504591368007475</v>
      </c>
      <c r="F25" s="443">
        <f t="shared" si="6"/>
        <v>3686.4473037921421</v>
      </c>
      <c r="G25" s="443">
        <f t="shared" si="7"/>
        <v>0</v>
      </c>
      <c r="H25" s="443">
        <f t="shared" si="8"/>
        <v>0</v>
      </c>
      <c r="I25" s="443">
        <f t="shared" si="9"/>
        <v>0</v>
      </c>
      <c r="J25" s="443">
        <f t="shared" si="10"/>
        <v>306.19781429822194</v>
      </c>
      <c r="K25" s="443">
        <f t="shared" si="11"/>
        <v>0</v>
      </c>
      <c r="L25" s="443">
        <f t="shared" si="12"/>
        <v>0</v>
      </c>
      <c r="M25" s="443">
        <f t="shared" si="13"/>
        <v>0</v>
      </c>
      <c r="N25" s="443">
        <f t="shared" si="14"/>
        <v>0</v>
      </c>
      <c r="O25" s="443">
        <f t="shared" si="15"/>
        <v>0</v>
      </c>
      <c r="P25" s="444">
        <f t="shared" si="16"/>
        <v>0</v>
      </c>
      <c r="Q25" s="442">
        <f t="shared" ca="1" si="17"/>
        <v>4748.6050633337754</v>
      </c>
    </row>
    <row r="26" spans="1:17">
      <c r="A26" s="442" t="s">
        <v>569</v>
      </c>
      <c r="B26" s="443">
        <f t="shared" ca="1" si="2"/>
        <v>1105.0012425046091</v>
      </c>
      <c r="C26" s="443">
        <f t="shared" ca="1" si="3"/>
        <v>0</v>
      </c>
      <c r="D26" s="443">
        <f t="shared" si="4"/>
        <v>398.20426180882941</v>
      </c>
      <c r="E26" s="443">
        <f t="shared" si="5"/>
        <v>32.877709674648258</v>
      </c>
      <c r="F26" s="443">
        <f t="shared" si="6"/>
        <v>603.94178696279755</v>
      </c>
      <c r="G26" s="443">
        <f t="shared" si="7"/>
        <v>0</v>
      </c>
      <c r="H26" s="443">
        <f t="shared" si="8"/>
        <v>0</v>
      </c>
      <c r="I26" s="443">
        <f t="shared" si="9"/>
        <v>0</v>
      </c>
      <c r="J26" s="443">
        <f t="shared" si="10"/>
        <v>9.8729867325599532</v>
      </c>
      <c r="K26" s="443">
        <f t="shared" si="11"/>
        <v>0</v>
      </c>
      <c r="L26" s="443">
        <f t="shared" si="12"/>
        <v>0</v>
      </c>
      <c r="M26" s="443">
        <f t="shared" si="13"/>
        <v>0</v>
      </c>
      <c r="N26" s="443">
        <f t="shared" si="14"/>
        <v>0</v>
      </c>
      <c r="O26" s="443">
        <f t="shared" si="15"/>
        <v>0</v>
      </c>
      <c r="P26" s="444">
        <f t="shared" si="16"/>
        <v>0</v>
      </c>
      <c r="Q26" s="442">
        <f t="shared" ca="1" si="17"/>
        <v>2149.8979876834446</v>
      </c>
    </row>
    <row r="27" spans="1:17" s="448" customFormat="1">
      <c r="A27" s="446" t="s">
        <v>521</v>
      </c>
      <c r="B27" s="726">
        <f t="shared" ca="1" si="2"/>
        <v>95.238765143084009</v>
      </c>
      <c r="C27" s="447">
        <f t="shared" ca="1" si="3"/>
        <v>0</v>
      </c>
      <c r="D27" s="447">
        <f t="shared" si="4"/>
        <v>119.62268271464167</v>
      </c>
      <c r="E27" s="447">
        <f t="shared" si="5"/>
        <v>44.283143272334861</v>
      </c>
      <c r="F27" s="447">
        <f t="shared" si="6"/>
        <v>0</v>
      </c>
      <c r="G27" s="447">
        <f t="shared" si="7"/>
        <v>19631.80163373319</v>
      </c>
      <c r="H27" s="447">
        <f t="shared" si="8"/>
        <v>6955.686844145338</v>
      </c>
      <c r="I27" s="447">
        <f t="shared" si="9"/>
        <v>0</v>
      </c>
      <c r="J27" s="447">
        <f t="shared" si="10"/>
        <v>0</v>
      </c>
      <c r="K27" s="447">
        <f t="shared" si="11"/>
        <v>0</v>
      </c>
      <c r="L27" s="447">
        <f t="shared" si="12"/>
        <v>0</v>
      </c>
      <c r="M27" s="447">
        <f t="shared" si="13"/>
        <v>0</v>
      </c>
      <c r="N27" s="447">
        <f t="shared" si="14"/>
        <v>0</v>
      </c>
      <c r="O27" s="447">
        <f t="shared" si="15"/>
        <v>0</v>
      </c>
      <c r="P27" s="457">
        <f t="shared" si="16"/>
        <v>0</v>
      </c>
      <c r="Q27" s="446">
        <f t="shared" ca="1" si="17"/>
        <v>26846.633069008589</v>
      </c>
    </row>
    <row r="28" spans="1:17" ht="16.5" customHeight="1">
      <c r="A28" s="442" t="s">
        <v>511</v>
      </c>
      <c r="B28" s="443">
        <f t="shared" ca="1" si="2"/>
        <v>8.0920707011982351</v>
      </c>
      <c r="C28" s="443">
        <f t="shared" ca="1" si="3"/>
        <v>0</v>
      </c>
      <c r="D28" s="443">
        <f t="shared" si="4"/>
        <v>0</v>
      </c>
      <c r="E28" s="443">
        <f t="shared" si="5"/>
        <v>0</v>
      </c>
      <c r="F28" s="443">
        <f t="shared" si="6"/>
        <v>0</v>
      </c>
      <c r="G28" s="443">
        <f t="shared" si="7"/>
        <v>537.91400342742861</v>
      </c>
      <c r="H28" s="443">
        <f t="shared" si="8"/>
        <v>0</v>
      </c>
      <c r="I28" s="443">
        <f t="shared" si="9"/>
        <v>0</v>
      </c>
      <c r="J28" s="443">
        <f t="shared" si="10"/>
        <v>0</v>
      </c>
      <c r="K28" s="443">
        <f t="shared" si="11"/>
        <v>0</v>
      </c>
      <c r="L28" s="443">
        <f t="shared" si="12"/>
        <v>0</v>
      </c>
      <c r="M28" s="443">
        <f t="shared" si="13"/>
        <v>0</v>
      </c>
      <c r="N28" s="443">
        <f t="shared" si="14"/>
        <v>0</v>
      </c>
      <c r="O28" s="443">
        <f t="shared" si="15"/>
        <v>0</v>
      </c>
      <c r="P28" s="444">
        <f t="shared" si="16"/>
        <v>0</v>
      </c>
      <c r="Q28" s="442">
        <f t="shared" ca="1" si="17"/>
        <v>546.00607412862689</v>
      </c>
    </row>
    <row r="29" spans="1:17">
      <c r="A29" s="442" t="s">
        <v>512</v>
      </c>
      <c r="B29" s="443">
        <f t="shared" ca="1" si="2"/>
        <v>0</v>
      </c>
      <c r="C29" s="443">
        <f t="shared" ca="1" si="3"/>
        <v>0</v>
      </c>
      <c r="D29" s="443">
        <f t="shared" si="4"/>
        <v>0</v>
      </c>
      <c r="E29" s="443">
        <f t="shared" si="5"/>
        <v>0</v>
      </c>
      <c r="F29" s="443">
        <f t="shared" si="6"/>
        <v>0</v>
      </c>
      <c r="G29" s="443">
        <f t="shared" si="7"/>
        <v>0</v>
      </c>
      <c r="H29" s="443">
        <f t="shared" si="8"/>
        <v>0</v>
      </c>
      <c r="I29" s="443">
        <f t="shared" si="9"/>
        <v>0</v>
      </c>
      <c r="J29" s="443">
        <f t="shared" si="10"/>
        <v>0</v>
      </c>
      <c r="K29" s="443">
        <f t="shared" si="11"/>
        <v>0</v>
      </c>
      <c r="L29" s="443">
        <f t="shared" si="12"/>
        <v>0</v>
      </c>
      <c r="M29" s="443">
        <f t="shared" si="13"/>
        <v>0</v>
      </c>
      <c r="N29" s="443">
        <f t="shared" si="14"/>
        <v>0</v>
      </c>
      <c r="O29" s="443">
        <f t="shared" si="15"/>
        <v>0</v>
      </c>
      <c r="P29" s="444">
        <f t="shared" si="16"/>
        <v>0</v>
      </c>
      <c r="Q29" s="442">
        <f t="shared" ca="1" si="17"/>
        <v>0</v>
      </c>
    </row>
    <row r="30" spans="1:17">
      <c r="A30" s="442" t="s">
        <v>513</v>
      </c>
      <c r="B30" s="443">
        <f t="shared" ca="1" si="2"/>
        <v>0</v>
      </c>
      <c r="C30" s="443">
        <f t="shared" ca="1" si="3"/>
        <v>0</v>
      </c>
      <c r="D30" s="443">
        <f t="shared" si="4"/>
        <v>0</v>
      </c>
      <c r="E30" s="443">
        <f t="shared" si="5"/>
        <v>0</v>
      </c>
      <c r="F30" s="443">
        <f t="shared" si="6"/>
        <v>0</v>
      </c>
      <c r="G30" s="443">
        <f t="shared" si="7"/>
        <v>0</v>
      </c>
      <c r="H30" s="443">
        <f t="shared" si="8"/>
        <v>0</v>
      </c>
      <c r="I30" s="443">
        <f t="shared" si="9"/>
        <v>0</v>
      </c>
      <c r="J30" s="443">
        <f t="shared" si="10"/>
        <v>0</v>
      </c>
      <c r="K30" s="443">
        <f t="shared" si="11"/>
        <v>0</v>
      </c>
      <c r="L30" s="443">
        <f t="shared" si="12"/>
        <v>0</v>
      </c>
      <c r="M30" s="443">
        <f t="shared" si="13"/>
        <v>0</v>
      </c>
      <c r="N30" s="443">
        <f t="shared" si="14"/>
        <v>0</v>
      </c>
      <c r="O30" s="443">
        <f t="shared" si="15"/>
        <v>0</v>
      </c>
      <c r="P30" s="444">
        <f t="shared" si="16"/>
        <v>0</v>
      </c>
      <c r="Q30" s="442">
        <f t="shared" ca="1" si="17"/>
        <v>0</v>
      </c>
    </row>
    <row r="31" spans="1:17">
      <c r="A31" s="442" t="s">
        <v>514</v>
      </c>
      <c r="B31" s="443">
        <f t="shared" ca="1" si="2"/>
        <v>0</v>
      </c>
      <c r="C31" s="443">
        <f t="shared" ca="1" si="3"/>
        <v>0</v>
      </c>
      <c r="D31" s="443">
        <f t="shared" si="4"/>
        <v>0</v>
      </c>
      <c r="E31" s="443">
        <f t="shared" si="5"/>
        <v>0</v>
      </c>
      <c r="F31" s="443">
        <f t="shared" si="6"/>
        <v>0</v>
      </c>
      <c r="G31" s="443">
        <f t="shared" si="7"/>
        <v>0</v>
      </c>
      <c r="H31" s="443">
        <f t="shared" si="8"/>
        <v>0</v>
      </c>
      <c r="I31" s="443">
        <f t="shared" si="9"/>
        <v>0</v>
      </c>
      <c r="J31" s="443">
        <f t="shared" si="10"/>
        <v>0</v>
      </c>
      <c r="K31" s="443">
        <f t="shared" si="11"/>
        <v>0</v>
      </c>
      <c r="L31" s="443">
        <f t="shared" si="12"/>
        <v>0</v>
      </c>
      <c r="M31" s="443">
        <f t="shared" si="13"/>
        <v>0</v>
      </c>
      <c r="N31" s="443">
        <f t="shared" si="14"/>
        <v>0</v>
      </c>
      <c r="O31" s="443">
        <f t="shared" si="15"/>
        <v>0</v>
      </c>
      <c r="P31" s="444">
        <f t="shared" si="16"/>
        <v>0</v>
      </c>
      <c r="Q31" s="442">
        <f t="shared" ca="1" si="17"/>
        <v>0</v>
      </c>
    </row>
    <row r="32" spans="1:17">
      <c r="A32" s="442" t="s">
        <v>657</v>
      </c>
      <c r="B32" s="443">
        <f t="shared" ca="1" si="2"/>
        <v>196.56534594966971</v>
      </c>
      <c r="C32" s="443">
        <f t="shared" ca="1" si="3"/>
        <v>0</v>
      </c>
      <c r="D32" s="443">
        <f t="shared" si="4"/>
        <v>375.5425210707063</v>
      </c>
      <c r="E32" s="443">
        <f t="shared" si="5"/>
        <v>0</v>
      </c>
      <c r="F32" s="443">
        <f t="shared" si="6"/>
        <v>0</v>
      </c>
      <c r="G32" s="443">
        <f t="shared" si="7"/>
        <v>0</v>
      </c>
      <c r="H32" s="443">
        <f t="shared" si="8"/>
        <v>0</v>
      </c>
      <c r="I32" s="443">
        <f t="shared" si="9"/>
        <v>0</v>
      </c>
      <c r="J32" s="443">
        <f t="shared" si="10"/>
        <v>0</v>
      </c>
      <c r="K32" s="443">
        <f t="shared" si="11"/>
        <v>0</v>
      </c>
      <c r="L32" s="443">
        <f t="shared" si="12"/>
        <v>0</v>
      </c>
      <c r="M32" s="443">
        <f t="shared" si="13"/>
        <v>0</v>
      </c>
      <c r="N32" s="443">
        <f t="shared" si="14"/>
        <v>0</v>
      </c>
      <c r="O32" s="443">
        <f t="shared" si="15"/>
        <v>0</v>
      </c>
      <c r="P32" s="444">
        <f t="shared" si="16"/>
        <v>0</v>
      </c>
      <c r="Q32" s="442">
        <f t="shared" ref="Q32" ca="1" si="18">SUM(B32:P32)</f>
        <v>572.10786702037603</v>
      </c>
    </row>
    <row r="33" spans="1:17" s="454" customFormat="1">
      <c r="A33" s="452" t="s">
        <v>515</v>
      </c>
      <c r="B33" s="453">
        <f ca="1">SUM(B22:B32)</f>
        <v>10934.800987306466</v>
      </c>
      <c r="C33" s="453">
        <f t="shared" ref="C33:Q33" ca="1" si="19">SUM(C22:C32)</f>
        <v>0</v>
      </c>
      <c r="D33" s="453">
        <f t="shared" ca="1" si="19"/>
        <v>15802.916953976628</v>
      </c>
      <c r="E33" s="453">
        <f t="shared" ca="1" si="19"/>
        <v>799.08267926772169</v>
      </c>
      <c r="F33" s="453">
        <f t="shared" ca="1" si="19"/>
        <v>15617.877512479728</v>
      </c>
      <c r="G33" s="453">
        <f t="shared" si="19"/>
        <v>20169.715637160618</v>
      </c>
      <c r="H33" s="453">
        <f t="shared" si="19"/>
        <v>6955.686844145338</v>
      </c>
      <c r="I33" s="453">
        <f t="shared" si="19"/>
        <v>0</v>
      </c>
      <c r="J33" s="453">
        <f t="shared" si="19"/>
        <v>402.25297106505104</v>
      </c>
      <c r="K33" s="453">
        <f t="shared" si="19"/>
        <v>0</v>
      </c>
      <c r="L33" s="453">
        <f t="shared" ca="1" si="19"/>
        <v>0</v>
      </c>
      <c r="M33" s="453">
        <f t="shared" si="19"/>
        <v>0</v>
      </c>
      <c r="N33" s="453">
        <f t="shared" ca="1" si="19"/>
        <v>0</v>
      </c>
      <c r="O33" s="453">
        <f t="shared" si="19"/>
        <v>0</v>
      </c>
      <c r="P33" s="453">
        <f t="shared" si="19"/>
        <v>0</v>
      </c>
      <c r="Q33" s="453">
        <f t="shared" ca="1" si="19"/>
        <v>70682.33358540156</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79" zoomScaleNormal="79" workbookViewId="0">
      <selection sqref="A1:A3"/>
    </sheetView>
  </sheetViews>
  <sheetFormatPr defaultColWidth="9.140625" defaultRowHeight="15"/>
  <cols>
    <col min="1" max="1" width="51.42578125" style="441" customWidth="1"/>
    <col min="2" max="8" width="26.28515625" style="441" customWidth="1"/>
    <col min="9" max="9" width="32" style="441" customWidth="1"/>
    <col min="10" max="11" width="26.28515625" style="441" customWidth="1"/>
    <col min="12" max="12" width="23.7109375" style="441" customWidth="1"/>
    <col min="13" max="15" width="26.28515625" style="441" customWidth="1"/>
    <col min="16" max="16" width="42" style="441" customWidth="1"/>
    <col min="17" max="17" width="26.28515625" style="441" customWidth="1"/>
    <col min="18" max="18" width="9.5703125" style="441" bestFit="1" customWidth="1"/>
    <col min="19" max="16384" width="9.140625" style="441"/>
  </cols>
  <sheetData>
    <row r="1" spans="1:17" s="918" customFormat="1" ht="21">
      <c r="A1" s="1139" t="s">
        <v>510</v>
      </c>
      <c r="B1" s="1140" t="s">
        <v>641</v>
      </c>
      <c r="C1" s="1140"/>
      <c r="D1" s="1140"/>
      <c r="E1" s="1140"/>
      <c r="F1" s="1140"/>
      <c r="G1" s="1140"/>
      <c r="H1" s="1140"/>
      <c r="I1" s="1140"/>
      <c r="J1" s="1140"/>
      <c r="K1" s="1140"/>
      <c r="L1" s="1140"/>
      <c r="M1" s="1140"/>
      <c r="N1" s="1140"/>
      <c r="O1" s="1140"/>
      <c r="P1" s="1141"/>
      <c r="Q1" s="917"/>
    </row>
    <row r="2" spans="1:17" s="918" customFormat="1" ht="21">
      <c r="A2" s="1139"/>
      <c r="B2" s="1142" t="s">
        <v>20</v>
      </c>
      <c r="C2" s="1144" t="s">
        <v>189</v>
      </c>
      <c r="D2" s="1146" t="s">
        <v>190</v>
      </c>
      <c r="E2" s="1147"/>
      <c r="F2" s="1147"/>
      <c r="G2" s="1147"/>
      <c r="H2" s="1147"/>
      <c r="I2" s="1147"/>
      <c r="J2" s="1147"/>
      <c r="K2" s="1143"/>
      <c r="L2" s="1146" t="s">
        <v>191</v>
      </c>
      <c r="M2" s="1147"/>
      <c r="N2" s="1147"/>
      <c r="O2" s="1147"/>
      <c r="P2" s="1143"/>
      <c r="Q2" s="917"/>
    </row>
    <row r="3" spans="1:17" s="918" customFormat="1" ht="42">
      <c r="A3" s="1139"/>
      <c r="B3" s="1143"/>
      <c r="C3" s="1145"/>
      <c r="D3" s="919" t="s">
        <v>192</v>
      </c>
      <c r="E3" s="919" t="s">
        <v>193</v>
      </c>
      <c r="F3" s="919" t="s">
        <v>194</v>
      </c>
      <c r="G3" s="919" t="s">
        <v>195</v>
      </c>
      <c r="H3" s="919" t="s">
        <v>113</v>
      </c>
      <c r="I3" s="919" t="s">
        <v>196</v>
      </c>
      <c r="J3" s="919" t="s">
        <v>197</v>
      </c>
      <c r="K3" s="919" t="s">
        <v>198</v>
      </c>
      <c r="L3" s="919" t="s">
        <v>199</v>
      </c>
      <c r="M3" s="919" t="s">
        <v>200</v>
      </c>
      <c r="N3" s="919" t="s">
        <v>201</v>
      </c>
      <c r="O3" s="919" t="s">
        <v>202</v>
      </c>
      <c r="P3" s="919" t="s">
        <v>203</v>
      </c>
      <c r="Q3" s="917" t="s">
        <v>109</v>
      </c>
    </row>
    <row r="4" spans="1:17" ht="240">
      <c r="A4" s="920" t="s">
        <v>148</v>
      </c>
      <c r="B4" s="921" t="s">
        <v>642</v>
      </c>
      <c r="C4" s="922" t="s">
        <v>643</v>
      </c>
      <c r="D4" s="923" t="s">
        <v>644</v>
      </c>
      <c r="E4" s="924" t="s">
        <v>780</v>
      </c>
      <c r="F4" s="924" t="s">
        <v>781</v>
      </c>
      <c r="G4" s="925" t="s">
        <v>645</v>
      </c>
      <c r="H4" s="925" t="s">
        <v>645</v>
      </c>
      <c r="I4" s="925" t="s">
        <v>645</v>
      </c>
      <c r="J4" s="924" t="s">
        <v>782</v>
      </c>
      <c r="K4" s="925" t="s">
        <v>645</v>
      </c>
      <c r="L4" s="925" t="s">
        <v>645</v>
      </c>
      <c r="M4" s="925" t="s">
        <v>645</v>
      </c>
      <c r="N4" s="924" t="s">
        <v>783</v>
      </c>
      <c r="O4" s="926" t="s">
        <v>646</v>
      </c>
      <c r="P4" s="927" t="s">
        <v>647</v>
      </c>
      <c r="Q4" s="928"/>
    </row>
    <row r="5" spans="1:17" ht="195">
      <c r="A5" s="929" t="s">
        <v>149</v>
      </c>
      <c r="B5" s="930" t="s">
        <v>784</v>
      </c>
      <c r="C5" s="931" t="s">
        <v>785</v>
      </c>
      <c r="D5" s="931" t="s">
        <v>786</v>
      </c>
      <c r="E5" s="932" t="s">
        <v>648</v>
      </c>
      <c r="F5" s="932" t="s">
        <v>787</v>
      </c>
      <c r="G5" s="933" t="s">
        <v>645</v>
      </c>
      <c r="H5" s="933" t="s">
        <v>645</v>
      </c>
      <c r="I5" s="933" t="s">
        <v>645</v>
      </c>
      <c r="J5" s="932" t="s">
        <v>650</v>
      </c>
      <c r="K5" s="933" t="s">
        <v>645</v>
      </c>
      <c r="L5" s="933" t="s">
        <v>645</v>
      </c>
      <c r="M5" s="933" t="s">
        <v>645</v>
      </c>
      <c r="N5" s="932" t="s">
        <v>788</v>
      </c>
      <c r="O5" s="934" t="s">
        <v>646</v>
      </c>
      <c r="P5" s="935" t="s">
        <v>647</v>
      </c>
      <c r="Q5" s="936"/>
    </row>
    <row r="6" spans="1:17" ht="30">
      <c r="A6" s="929" t="s">
        <v>187</v>
      </c>
      <c r="B6" s="937" t="s">
        <v>651</v>
      </c>
      <c r="C6" s="938" t="s">
        <v>652</v>
      </c>
      <c r="D6" s="933" t="s">
        <v>652</v>
      </c>
      <c r="E6" s="933" t="s">
        <v>652</v>
      </c>
      <c r="F6" s="933" t="s">
        <v>652</v>
      </c>
      <c r="G6" s="933" t="s">
        <v>652</v>
      </c>
      <c r="H6" s="933" t="s">
        <v>652</v>
      </c>
      <c r="I6" s="933" t="s">
        <v>652</v>
      </c>
      <c r="J6" s="933" t="s">
        <v>652</v>
      </c>
      <c r="K6" s="933" t="s">
        <v>652</v>
      </c>
      <c r="L6" s="933" t="s">
        <v>652</v>
      </c>
      <c r="M6" s="933" t="s">
        <v>652</v>
      </c>
      <c r="N6" s="933" t="s">
        <v>652</v>
      </c>
      <c r="O6" s="939" t="s">
        <v>652</v>
      </c>
      <c r="P6" s="940" t="s">
        <v>652</v>
      </c>
      <c r="Q6" s="941"/>
    </row>
    <row r="7" spans="1:17" ht="195">
      <c r="A7" s="929" t="s">
        <v>105</v>
      </c>
      <c r="B7" s="937" t="s">
        <v>651</v>
      </c>
      <c r="C7" s="931" t="s">
        <v>785</v>
      </c>
      <c r="D7" s="931" t="s">
        <v>786</v>
      </c>
      <c r="E7" s="932" t="s">
        <v>648</v>
      </c>
      <c r="F7" s="932" t="s">
        <v>649</v>
      </c>
      <c r="G7" s="933" t="s">
        <v>645</v>
      </c>
      <c r="H7" s="933" t="s">
        <v>645</v>
      </c>
      <c r="I7" s="933" t="s">
        <v>645</v>
      </c>
      <c r="J7" s="932" t="s">
        <v>650</v>
      </c>
      <c r="K7" s="933" t="s">
        <v>645</v>
      </c>
      <c r="L7" s="933" t="s">
        <v>645</v>
      </c>
      <c r="M7" s="933" t="s">
        <v>645</v>
      </c>
      <c r="N7" s="942" t="s">
        <v>645</v>
      </c>
      <c r="O7" s="938" t="s">
        <v>645</v>
      </c>
      <c r="P7" s="943" t="s">
        <v>645</v>
      </c>
      <c r="Q7" s="936"/>
    </row>
    <row r="8" spans="1:17" ht="195">
      <c r="A8" s="929" t="s">
        <v>569</v>
      </c>
      <c r="B8" s="930" t="s">
        <v>789</v>
      </c>
      <c r="C8" s="931" t="s">
        <v>785</v>
      </c>
      <c r="D8" s="931" t="s">
        <v>786</v>
      </c>
      <c r="E8" s="932" t="s">
        <v>648</v>
      </c>
      <c r="F8" s="932" t="s">
        <v>649</v>
      </c>
      <c r="G8" s="933" t="s">
        <v>645</v>
      </c>
      <c r="H8" s="933" t="s">
        <v>645</v>
      </c>
      <c r="I8" s="933" t="s">
        <v>645</v>
      </c>
      <c r="J8" s="932" t="s">
        <v>650</v>
      </c>
      <c r="K8" s="933" t="s">
        <v>645</v>
      </c>
      <c r="L8" s="933" t="s">
        <v>645</v>
      </c>
      <c r="M8" s="933" t="s">
        <v>645</v>
      </c>
      <c r="N8" s="932" t="s">
        <v>788</v>
      </c>
      <c r="O8" s="934" t="s">
        <v>646</v>
      </c>
      <c r="P8" s="935" t="s">
        <v>647</v>
      </c>
      <c r="Q8" s="936"/>
    </row>
    <row r="9" spans="1:17" s="448" customFormat="1" ht="390">
      <c r="A9" s="944" t="s">
        <v>521</v>
      </c>
      <c r="B9" s="932" t="s">
        <v>790</v>
      </c>
      <c r="C9" s="939" t="s">
        <v>652</v>
      </c>
      <c r="D9" s="932" t="s">
        <v>791</v>
      </c>
      <c r="E9" s="932" t="s">
        <v>792</v>
      </c>
      <c r="F9" s="933" t="s">
        <v>652</v>
      </c>
      <c r="G9" s="932" t="s">
        <v>793</v>
      </c>
      <c r="H9" s="932" t="s">
        <v>794</v>
      </c>
      <c r="I9" s="933" t="s">
        <v>652</v>
      </c>
      <c r="J9" s="933" t="s">
        <v>652</v>
      </c>
      <c r="K9" s="933" t="s">
        <v>652</v>
      </c>
      <c r="L9" s="933" t="s">
        <v>652</v>
      </c>
      <c r="M9" s="932" t="s">
        <v>795</v>
      </c>
      <c r="N9" s="933" t="s">
        <v>652</v>
      </c>
      <c r="O9" s="933" t="s">
        <v>652</v>
      </c>
      <c r="P9" s="945" t="s">
        <v>652</v>
      </c>
      <c r="Q9" s="946"/>
    </row>
    <row r="10" spans="1:17" ht="360">
      <c r="A10" s="929" t="s">
        <v>511</v>
      </c>
      <c r="B10" s="930" t="s">
        <v>653</v>
      </c>
      <c r="C10" s="939" t="s">
        <v>652</v>
      </c>
      <c r="D10" s="939" t="s">
        <v>652</v>
      </c>
      <c r="E10" s="939" t="s">
        <v>652</v>
      </c>
      <c r="F10" s="933" t="s">
        <v>652</v>
      </c>
      <c r="G10" s="930" t="s">
        <v>654</v>
      </c>
      <c r="H10" s="933" t="s">
        <v>652</v>
      </c>
      <c r="I10" s="933" t="s">
        <v>652</v>
      </c>
      <c r="J10" s="933" t="s">
        <v>652</v>
      </c>
      <c r="K10" s="933" t="s">
        <v>652</v>
      </c>
      <c r="L10" s="933" t="s">
        <v>652</v>
      </c>
      <c r="M10" s="930" t="s">
        <v>655</v>
      </c>
      <c r="N10" s="933" t="s">
        <v>652</v>
      </c>
      <c r="O10" s="933" t="s">
        <v>652</v>
      </c>
      <c r="P10" s="945" t="s">
        <v>652</v>
      </c>
      <c r="Q10" s="936"/>
    </row>
    <row r="11" spans="1:17" ht="21">
      <c r="A11" s="929" t="s">
        <v>512</v>
      </c>
      <c r="B11" s="947" t="s">
        <v>656</v>
      </c>
      <c r="C11" s="947" t="s">
        <v>656</v>
      </c>
      <c r="D11" s="947" t="s">
        <v>656</v>
      </c>
      <c r="E11" s="947" t="s">
        <v>656</v>
      </c>
      <c r="F11" s="947" t="s">
        <v>656</v>
      </c>
      <c r="G11" s="947" t="s">
        <v>656</v>
      </c>
      <c r="H11" s="947" t="s">
        <v>656</v>
      </c>
      <c r="I11" s="947" t="s">
        <v>656</v>
      </c>
      <c r="J11" s="947" t="s">
        <v>656</v>
      </c>
      <c r="K11" s="947" t="s">
        <v>656</v>
      </c>
      <c r="L11" s="947" t="s">
        <v>656</v>
      </c>
      <c r="M11" s="947" t="s">
        <v>656</v>
      </c>
      <c r="N11" s="947" t="s">
        <v>656</v>
      </c>
      <c r="O11" s="947" t="s">
        <v>656</v>
      </c>
      <c r="P11" s="948" t="s">
        <v>656</v>
      </c>
      <c r="Q11" s="949"/>
    </row>
    <row r="12" spans="1:17" ht="21">
      <c r="A12" s="929" t="s">
        <v>513</v>
      </c>
      <c r="B12" s="947" t="s">
        <v>656</v>
      </c>
      <c r="C12" s="947" t="s">
        <v>652</v>
      </c>
      <c r="D12" s="947" t="s">
        <v>652</v>
      </c>
      <c r="E12" s="947" t="s">
        <v>652</v>
      </c>
      <c r="F12" s="947" t="s">
        <v>652</v>
      </c>
      <c r="G12" s="947" t="s">
        <v>652</v>
      </c>
      <c r="H12" s="947" t="s">
        <v>652</v>
      </c>
      <c r="I12" s="947" t="s">
        <v>652</v>
      </c>
      <c r="J12" s="947" t="s">
        <v>652</v>
      </c>
      <c r="K12" s="947" t="s">
        <v>652</v>
      </c>
      <c r="L12" s="947" t="s">
        <v>652</v>
      </c>
      <c r="M12" s="947" t="s">
        <v>652</v>
      </c>
      <c r="N12" s="947" t="s">
        <v>652</v>
      </c>
      <c r="O12" s="947" t="s">
        <v>652</v>
      </c>
      <c r="P12" s="950" t="s">
        <v>652</v>
      </c>
      <c r="Q12" s="444"/>
    </row>
    <row r="13" spans="1:17" ht="21">
      <c r="A13" s="929" t="s">
        <v>514</v>
      </c>
      <c r="B13" s="947" t="s">
        <v>656</v>
      </c>
      <c r="C13" s="947" t="s">
        <v>652</v>
      </c>
      <c r="D13" s="947" t="s">
        <v>656</v>
      </c>
      <c r="E13" s="947" t="s">
        <v>656</v>
      </c>
      <c r="F13" s="947" t="s">
        <v>652</v>
      </c>
      <c r="G13" s="947" t="s">
        <v>656</v>
      </c>
      <c r="H13" s="947" t="s">
        <v>656</v>
      </c>
      <c r="I13" s="947" t="s">
        <v>652</v>
      </c>
      <c r="J13" s="947" t="s">
        <v>652</v>
      </c>
      <c r="K13" s="947" t="s">
        <v>652</v>
      </c>
      <c r="L13" s="947" t="s">
        <v>652</v>
      </c>
      <c r="M13" s="947" t="s">
        <v>656</v>
      </c>
      <c r="N13" s="947" t="s">
        <v>652</v>
      </c>
      <c r="O13" s="947" t="s">
        <v>652</v>
      </c>
      <c r="P13" s="950" t="s">
        <v>652</v>
      </c>
      <c r="Q13" s="444"/>
    </row>
    <row r="14" spans="1:17" ht="30">
      <c r="A14" s="951" t="s">
        <v>657</v>
      </c>
      <c r="B14" s="937" t="s">
        <v>651</v>
      </c>
      <c r="C14" s="947" t="s">
        <v>652</v>
      </c>
      <c r="D14" s="937" t="s">
        <v>651</v>
      </c>
      <c r="E14" s="947" t="s">
        <v>652</v>
      </c>
      <c r="F14" s="947" t="s">
        <v>652</v>
      </c>
      <c r="G14" s="947" t="s">
        <v>652</v>
      </c>
      <c r="H14" s="947" t="s">
        <v>652</v>
      </c>
      <c r="I14" s="947" t="s">
        <v>652</v>
      </c>
      <c r="J14" s="947" t="s">
        <v>652</v>
      </c>
      <c r="K14" s="947" t="s">
        <v>652</v>
      </c>
      <c r="L14" s="947" t="s">
        <v>652</v>
      </c>
      <c r="M14" s="947" t="s">
        <v>652</v>
      </c>
      <c r="N14" s="947" t="s">
        <v>652</v>
      </c>
      <c r="O14" s="947" t="s">
        <v>652</v>
      </c>
      <c r="P14" s="948" t="s">
        <v>652</v>
      </c>
      <c r="Q14" s="952"/>
    </row>
    <row r="15" spans="1:17" s="454" customFormat="1" ht="21">
      <c r="A15" s="953" t="s">
        <v>515</v>
      </c>
      <c r="B15" s="453"/>
      <c r="C15" s="453"/>
      <c r="D15" s="453"/>
      <c r="E15" s="453"/>
      <c r="F15" s="453"/>
      <c r="G15" s="453"/>
      <c r="H15" s="453"/>
      <c r="I15" s="453"/>
      <c r="J15" s="453"/>
      <c r="K15" s="453"/>
      <c r="L15" s="453"/>
      <c r="M15" s="954"/>
      <c r="N15" s="453"/>
      <c r="O15" s="453"/>
      <c r="P15" s="955"/>
      <c r="Q15" s="956"/>
    </row>
    <row r="16" spans="1:17">
      <c r="M16" s="957"/>
    </row>
    <row r="17" spans="1:4">
      <c r="B17" s="958">
        <v>1</v>
      </c>
      <c r="C17" s="959">
        <v>2</v>
      </c>
      <c r="D17" s="960">
        <v>3</v>
      </c>
    </row>
    <row r="18" spans="1:4" ht="252">
      <c r="A18" s="961" t="s">
        <v>658</v>
      </c>
      <c r="B18" s="962" t="s">
        <v>659</v>
      </c>
      <c r="C18" s="963" t="s">
        <v>660</v>
      </c>
      <c r="D18" s="964" t="s">
        <v>661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50" t="s">
        <v>230</v>
      </c>
      <c r="B1" s="1148" t="s">
        <v>336</v>
      </c>
      <c r="C1" s="1148"/>
      <c r="D1" s="1151" t="s">
        <v>337</v>
      </c>
      <c r="E1" s="1151"/>
      <c r="F1" s="1151"/>
      <c r="G1" s="1151"/>
      <c r="H1" s="1151"/>
      <c r="I1" s="1151"/>
      <c r="J1" s="1151"/>
      <c r="K1" s="1151"/>
      <c r="L1" s="1151"/>
      <c r="M1" s="1151"/>
      <c r="N1" s="1151"/>
      <c r="O1" s="1151"/>
      <c r="P1" s="1148" t="s">
        <v>662</v>
      </c>
    </row>
    <row r="2" spans="1:16" ht="60">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c r="A4" s="971" t="s">
        <v>238</v>
      </c>
      <c r="B4" s="967">
        <f>'SEAP template'!B72</f>
        <v>0</v>
      </c>
      <c r="C4" s="967"/>
      <c r="D4" s="967"/>
      <c r="E4" s="967"/>
      <c r="F4" s="967"/>
      <c r="G4" s="967"/>
      <c r="H4" s="967"/>
      <c r="I4" s="967"/>
      <c r="J4" s="967"/>
      <c r="K4" s="967"/>
      <c r="L4" s="967"/>
      <c r="M4" s="967"/>
      <c r="N4" s="967"/>
      <c r="O4" s="967"/>
      <c r="P4" s="968">
        <f>'SEAP template'!Q72</f>
        <v>0</v>
      </c>
    </row>
    <row r="5" spans="1:16">
      <c r="A5" s="972" t="s">
        <v>239</v>
      </c>
      <c r="B5" s="967">
        <f>'SEAP template'!B73</f>
        <v>0</v>
      </c>
      <c r="C5" s="967"/>
      <c r="D5" s="967"/>
      <c r="E5" s="967"/>
      <c r="F5" s="967"/>
      <c r="G5" s="967"/>
      <c r="H5" s="967"/>
      <c r="I5" s="967"/>
      <c r="J5" s="967"/>
      <c r="K5" s="967"/>
      <c r="L5" s="967"/>
      <c r="M5" s="967"/>
      <c r="N5" s="967"/>
      <c r="O5" s="967"/>
      <c r="P5" s="968">
        <f>'SEAP template'!Q73</f>
        <v>0</v>
      </c>
    </row>
    <row r="6" spans="1:16">
      <c r="A6" s="972" t="s">
        <v>240</v>
      </c>
      <c r="B6" s="967">
        <f>'SEAP template'!B74</f>
        <v>16765.154901819067</v>
      </c>
      <c r="C6" s="967"/>
      <c r="D6" s="967"/>
      <c r="E6" s="967"/>
      <c r="F6" s="967"/>
      <c r="G6" s="967"/>
      <c r="H6" s="967"/>
      <c r="I6" s="967"/>
      <c r="J6" s="967"/>
      <c r="K6" s="967"/>
      <c r="L6" s="967"/>
      <c r="M6" s="967"/>
      <c r="N6" s="967"/>
      <c r="O6" s="967"/>
      <c r="P6" s="968">
        <f>'SEAP template'!Q74</f>
        <v>0</v>
      </c>
    </row>
    <row r="7" spans="1:16">
      <c r="A7" s="972" t="s">
        <v>637</v>
      </c>
      <c r="B7" s="967">
        <f>'SEAP template'!B75</f>
        <v>0</v>
      </c>
      <c r="C7" s="967"/>
      <c r="D7" s="967"/>
      <c r="E7" s="967"/>
      <c r="F7" s="967"/>
      <c r="G7" s="967"/>
      <c r="H7" s="967"/>
      <c r="I7" s="967"/>
      <c r="J7" s="967"/>
      <c r="K7" s="967"/>
      <c r="L7" s="967"/>
      <c r="M7" s="967"/>
      <c r="N7" s="967"/>
      <c r="O7" s="967"/>
      <c r="P7" s="968">
        <f>'SEAP template'!Q75</f>
        <v>0</v>
      </c>
    </row>
    <row r="8" spans="1:16">
      <c r="A8" s="971" t="s">
        <v>241</v>
      </c>
      <c r="B8" s="967">
        <f>'SEAP template'!B76</f>
        <v>48.333333337200003</v>
      </c>
      <c r="C8" s="967">
        <f>'SEAP template'!C76</f>
        <v>0</v>
      </c>
      <c r="D8" s="967">
        <f>'SEAP template'!D76</f>
        <v>0</v>
      </c>
      <c r="E8" s="967">
        <f>'SEAP template'!E76</f>
        <v>0</v>
      </c>
      <c r="F8" s="967">
        <f>'SEAP template'!F76</f>
        <v>0</v>
      </c>
      <c r="G8" s="967">
        <f>'SEAP template'!G76</f>
        <v>0</v>
      </c>
      <c r="H8" s="967">
        <f>'SEAP template'!H76</f>
        <v>0</v>
      </c>
      <c r="I8" s="967">
        <f>'SEAP template'!I76</f>
        <v>0</v>
      </c>
      <c r="J8" s="967">
        <f>'SEAP template'!J76</f>
        <v>52.426906191818901</v>
      </c>
      <c r="K8" s="967">
        <f>'SEAP template'!K76</f>
        <v>0</v>
      </c>
      <c r="L8" s="967">
        <f>'SEAP template'!L76</f>
        <v>0</v>
      </c>
      <c r="M8" s="967">
        <f>'SEAP template'!M76</f>
        <v>0</v>
      </c>
      <c r="N8" s="967">
        <f>'SEAP template'!N76</f>
        <v>0</v>
      </c>
      <c r="O8" s="967">
        <f>'SEAP template'!O76</f>
        <v>0</v>
      </c>
      <c r="P8" s="968">
        <f>'SEAP template'!Q76</f>
        <v>0</v>
      </c>
    </row>
    <row r="9" spans="1:16">
      <c r="A9" s="973" t="s">
        <v>665</v>
      </c>
      <c r="B9" s="967">
        <f>'SEAP template'!B77</f>
        <v>0</v>
      </c>
      <c r="C9" s="967">
        <f>'SEAP template'!C77</f>
        <v>0</v>
      </c>
      <c r="D9" s="967">
        <f>'SEAP template'!D77</f>
        <v>0</v>
      </c>
      <c r="E9" s="967">
        <f>'SEAP template'!E77</f>
        <v>0</v>
      </c>
      <c r="F9" s="967">
        <f>'SEAP template'!F77</f>
        <v>0</v>
      </c>
      <c r="G9" s="967">
        <f>'SEAP template'!G77</f>
        <v>0</v>
      </c>
      <c r="H9" s="967">
        <f>'SEAP template'!H77</f>
        <v>0</v>
      </c>
      <c r="I9" s="967">
        <f>'SEAP template'!I77</f>
        <v>0</v>
      </c>
      <c r="J9" s="967">
        <f>'SEAP template'!J77</f>
        <v>0</v>
      </c>
      <c r="K9" s="967">
        <f>'SEAP template'!K77</f>
        <v>0</v>
      </c>
      <c r="L9" s="967">
        <f>'SEAP template'!L77</f>
        <v>0</v>
      </c>
      <c r="M9" s="967">
        <f>'SEAP template'!M77</f>
        <v>0</v>
      </c>
      <c r="N9" s="967">
        <f>'SEAP template'!N77</f>
        <v>0</v>
      </c>
      <c r="O9" s="967">
        <f>'SEAP template'!O77</f>
        <v>0</v>
      </c>
      <c r="P9" s="968">
        <f>'SEAP template'!Q77</f>
        <v>0</v>
      </c>
    </row>
    <row r="10" spans="1:16">
      <c r="A10" s="972" t="s">
        <v>109</v>
      </c>
      <c r="B10" s="969">
        <f>SUM(B4:B9)</f>
        <v>16813.488235156266</v>
      </c>
      <c r="C10" s="969">
        <f>SUM(C4:C9)</f>
        <v>0</v>
      </c>
      <c r="D10" s="969">
        <f t="shared" ref="D10:H10" si="0">SUM(D8:D9)</f>
        <v>0</v>
      </c>
      <c r="E10" s="969">
        <f t="shared" si="0"/>
        <v>0</v>
      </c>
      <c r="F10" s="969">
        <f t="shared" si="0"/>
        <v>0</v>
      </c>
      <c r="G10" s="969">
        <f t="shared" si="0"/>
        <v>0</v>
      </c>
      <c r="H10" s="969">
        <f t="shared" si="0"/>
        <v>0</v>
      </c>
      <c r="I10" s="969">
        <f>SUM(I8:I9)</f>
        <v>0</v>
      </c>
      <c r="J10" s="969">
        <f>SUM(J8:J9)</f>
        <v>52.426906191818901</v>
      </c>
      <c r="K10" s="969">
        <f t="shared" ref="K10:L10" si="1">SUM(K8:K9)</f>
        <v>0</v>
      </c>
      <c r="L10" s="969">
        <f t="shared" si="1"/>
        <v>0</v>
      </c>
      <c r="M10" s="969">
        <f>SUM(M8:M9)</f>
        <v>0</v>
      </c>
      <c r="N10" s="969">
        <f>SUM(N8:N9)</f>
        <v>0</v>
      </c>
      <c r="O10" s="969">
        <f>SUM(O8:O9)</f>
        <v>0</v>
      </c>
      <c r="P10" s="969">
        <f>SUM(P8:P9)</f>
        <v>0</v>
      </c>
    </row>
    <row r="11" spans="1:16">
      <c r="A11" s="843"/>
      <c r="B11" s="843"/>
      <c r="C11" s="843"/>
      <c r="D11" s="843"/>
      <c r="E11" s="843"/>
      <c r="F11" s="843"/>
      <c r="G11" s="843"/>
      <c r="H11" s="843"/>
      <c r="I11" s="843"/>
      <c r="J11" s="843"/>
      <c r="K11" s="843"/>
      <c r="L11" s="843"/>
      <c r="M11" s="843"/>
      <c r="N11" s="843"/>
      <c r="O11" s="843"/>
      <c r="P11" s="843"/>
    </row>
    <row r="12" spans="1:16">
      <c r="A12" s="455" t="s">
        <v>676</v>
      </c>
      <c r="B12" s="732" t="s">
        <v>675</v>
      </c>
      <c r="C12" s="732">
        <f ca="1">'EF ele_warmte'!B12</f>
        <v>0.16494846667445565</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7.25" customHeight="1">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c r="A17" s="974" t="s">
        <v>241</v>
      </c>
      <c r="B17" s="970">
        <f>'SEAP template'!B87</f>
        <v>183.61111112580002</v>
      </c>
      <c r="C17" s="970">
        <f>'SEAP template'!C87</f>
        <v>0</v>
      </c>
      <c r="D17" s="968">
        <f>'SEAP template'!D87</f>
        <v>0</v>
      </c>
      <c r="E17" s="968">
        <f>'SEAP template'!E87</f>
        <v>0</v>
      </c>
      <c r="F17" s="968">
        <f>'SEAP template'!F87</f>
        <v>0</v>
      </c>
      <c r="G17" s="968">
        <f>'SEAP template'!G87</f>
        <v>0</v>
      </c>
      <c r="H17" s="968">
        <f>'SEAP template'!H87</f>
        <v>0</v>
      </c>
      <c r="I17" s="968">
        <f>'SEAP template'!I87</f>
        <v>0</v>
      </c>
      <c r="J17" s="968">
        <f>'SEAP template'!J87</f>
        <v>199.16198271719713</v>
      </c>
      <c r="K17" s="968">
        <f>'SEAP template'!K87</f>
        <v>0</v>
      </c>
      <c r="L17" s="968">
        <f>'SEAP template'!L87</f>
        <v>0</v>
      </c>
      <c r="M17" s="968">
        <f>'SEAP template'!M87</f>
        <v>0</v>
      </c>
      <c r="N17" s="968">
        <f>'SEAP template'!N87</f>
        <v>0</v>
      </c>
      <c r="O17" s="968">
        <f>'SEAP template'!O87</f>
        <v>0</v>
      </c>
      <c r="P17" s="968">
        <f>'SEAP template'!Q87</f>
        <v>0</v>
      </c>
    </row>
    <row r="18" spans="1:16">
      <c r="A18" s="975" t="s">
        <v>247</v>
      </c>
      <c r="B18" s="970">
        <f>'SEAP template'!B88</f>
        <v>0</v>
      </c>
      <c r="C18" s="970">
        <f>'SEAP template'!C88</f>
        <v>0</v>
      </c>
      <c r="D18" s="968">
        <f>'SEAP template'!D88</f>
        <v>0</v>
      </c>
      <c r="E18" s="968">
        <f>'SEAP template'!E88</f>
        <v>0</v>
      </c>
      <c r="F18" s="968">
        <f>'SEAP template'!F88</f>
        <v>0</v>
      </c>
      <c r="G18" s="968">
        <f>'SEAP template'!G88</f>
        <v>0</v>
      </c>
      <c r="H18" s="968">
        <f>'SEAP template'!H88</f>
        <v>0</v>
      </c>
      <c r="I18" s="968">
        <f>'SEAP template'!I88</f>
        <v>0</v>
      </c>
      <c r="J18" s="968">
        <f>'SEAP template'!J88</f>
        <v>0</v>
      </c>
      <c r="K18" s="968">
        <f>'SEAP template'!K88</f>
        <v>0</v>
      </c>
      <c r="L18" s="968">
        <f>'SEAP template'!L88</f>
        <v>0</v>
      </c>
      <c r="M18" s="968">
        <f>'SEAP template'!M88</f>
        <v>0</v>
      </c>
      <c r="N18" s="968">
        <f>'SEAP template'!N88</f>
        <v>0</v>
      </c>
      <c r="O18" s="968">
        <f>'SEAP template'!O88</f>
        <v>0</v>
      </c>
      <c r="P18" s="968">
        <f>'SEAP template'!Q88</f>
        <v>0</v>
      </c>
    </row>
    <row r="19" spans="1:16">
      <c r="A19" s="973" t="s">
        <v>666</v>
      </c>
      <c r="B19" s="970">
        <f>'SEAP template'!B89</f>
        <v>0</v>
      </c>
      <c r="C19" s="970">
        <f>'SEAP template'!C89</f>
        <v>0</v>
      </c>
      <c r="D19" s="968">
        <f>'SEAP template'!D89</f>
        <v>0</v>
      </c>
      <c r="E19" s="968">
        <f>'SEAP template'!E89</f>
        <v>0</v>
      </c>
      <c r="F19" s="968">
        <f>'SEAP template'!F89</f>
        <v>0</v>
      </c>
      <c r="G19" s="968">
        <f>'SEAP template'!G89</f>
        <v>0</v>
      </c>
      <c r="H19" s="968">
        <f>'SEAP template'!H89</f>
        <v>0</v>
      </c>
      <c r="I19" s="968">
        <f>'SEAP template'!I89</f>
        <v>0</v>
      </c>
      <c r="J19" s="968">
        <f>'SEAP template'!J89</f>
        <v>0</v>
      </c>
      <c r="K19" s="968">
        <f>'SEAP template'!K89</f>
        <v>0</v>
      </c>
      <c r="L19" s="968">
        <f>'SEAP template'!L89</f>
        <v>0</v>
      </c>
      <c r="M19" s="968">
        <f>'SEAP template'!M89</f>
        <v>0</v>
      </c>
      <c r="N19" s="968">
        <f>'SEAP template'!N89</f>
        <v>0</v>
      </c>
      <c r="O19" s="968">
        <f>'SEAP template'!O89</f>
        <v>0</v>
      </c>
      <c r="P19" s="968">
        <f>'SEAP template'!Q89</f>
        <v>0</v>
      </c>
    </row>
    <row r="20" spans="1:16">
      <c r="A20" s="976" t="s">
        <v>109</v>
      </c>
      <c r="B20" s="969">
        <f>SUM(B17:B19)</f>
        <v>183.61111112580002</v>
      </c>
      <c r="C20" s="969">
        <f>SUM(C17:C19)</f>
        <v>0</v>
      </c>
      <c r="D20" s="969">
        <f t="shared" ref="D20:H20" si="2">SUM(D17:D19)</f>
        <v>0</v>
      </c>
      <c r="E20" s="969">
        <f t="shared" si="2"/>
        <v>0</v>
      </c>
      <c r="F20" s="969">
        <f t="shared" si="2"/>
        <v>0</v>
      </c>
      <c r="G20" s="969">
        <f t="shared" si="2"/>
        <v>0</v>
      </c>
      <c r="H20" s="969">
        <f t="shared" si="2"/>
        <v>0</v>
      </c>
      <c r="I20" s="969">
        <f>SUM(I17:I19)</f>
        <v>0</v>
      </c>
      <c r="J20" s="969">
        <f>SUM(J17:J19)</f>
        <v>199.16198271719713</v>
      </c>
      <c r="K20" s="969">
        <f t="shared" ref="K20:L20" si="3">SUM(K17:K19)</f>
        <v>0</v>
      </c>
      <c r="L20" s="969">
        <f t="shared" si="3"/>
        <v>0</v>
      </c>
      <c r="M20" s="969">
        <f>SUM(M17:M19)</f>
        <v>0</v>
      </c>
      <c r="N20" s="969">
        <f>SUM(N17:N19)</f>
        <v>0</v>
      </c>
      <c r="O20" s="969">
        <f>SUM(O17:O19)</f>
        <v>0</v>
      </c>
      <c r="P20" s="969">
        <f>SUM(P17:P19)</f>
        <v>0</v>
      </c>
    </row>
    <row r="21" spans="1:16">
      <c r="B21" s="836"/>
    </row>
    <row r="22" spans="1:16">
      <c r="A22" s="455" t="s">
        <v>677</v>
      </c>
      <c r="B22" s="732" t="s">
        <v>675</v>
      </c>
      <c r="C22" s="732">
        <f ca="1">'EF ele_warmte'!B22</f>
        <v>0</v>
      </c>
    </row>
  </sheetData>
  <mergeCells count="17">
    <mergeCell ref="M15:M16"/>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workbookViewId="0">
      <selection sqref="A1:A3"/>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50" t="s">
        <v>230</v>
      </c>
      <c r="B1" s="1148" t="s">
        <v>336</v>
      </c>
      <c r="C1" s="1148"/>
      <c r="D1" s="1151" t="s">
        <v>337</v>
      </c>
      <c r="E1" s="1151"/>
      <c r="F1" s="1151"/>
      <c r="G1" s="1151"/>
      <c r="H1" s="1151"/>
      <c r="I1" s="1151"/>
      <c r="J1" s="1151"/>
      <c r="K1" s="1151"/>
      <c r="L1" s="1151"/>
      <c r="M1" s="1151"/>
      <c r="N1" s="1151"/>
      <c r="O1" s="1151"/>
      <c r="P1" s="1148" t="s">
        <v>662</v>
      </c>
    </row>
    <row r="2" spans="1:16" ht="15.75">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ht="110.25" customHeight="1">
      <c r="A4" s="979" t="s">
        <v>238</v>
      </c>
      <c r="B4" s="977" t="s">
        <v>796</v>
      </c>
      <c r="C4" s="982" t="s">
        <v>652</v>
      </c>
      <c r="D4" s="982" t="s">
        <v>652</v>
      </c>
      <c r="E4" s="982" t="s">
        <v>652</v>
      </c>
      <c r="F4" s="982" t="s">
        <v>652</v>
      </c>
      <c r="G4" s="982" t="s">
        <v>652</v>
      </c>
      <c r="H4" s="982" t="s">
        <v>652</v>
      </c>
      <c r="I4" s="982" t="s">
        <v>652</v>
      </c>
      <c r="J4" s="982" t="s">
        <v>652</v>
      </c>
      <c r="K4" s="982" t="s">
        <v>652</v>
      </c>
      <c r="L4" s="982" t="s">
        <v>652</v>
      </c>
      <c r="M4" s="982" t="s">
        <v>652</v>
      </c>
      <c r="N4" s="982" t="s">
        <v>652</v>
      </c>
      <c r="O4" s="982" t="s">
        <v>652</v>
      </c>
      <c r="P4" s="978" t="s">
        <v>678</v>
      </c>
    </row>
    <row r="5" spans="1:16" ht="135">
      <c r="A5" s="980" t="s">
        <v>239</v>
      </c>
      <c r="B5" s="977" t="s">
        <v>796</v>
      </c>
      <c r="C5" s="982" t="s">
        <v>652</v>
      </c>
      <c r="D5" s="982" t="s">
        <v>652</v>
      </c>
      <c r="E5" s="982" t="s">
        <v>652</v>
      </c>
      <c r="F5" s="982" t="s">
        <v>652</v>
      </c>
      <c r="G5" s="982" t="s">
        <v>652</v>
      </c>
      <c r="H5" s="982" t="s">
        <v>652</v>
      </c>
      <c r="I5" s="982" t="s">
        <v>652</v>
      </c>
      <c r="J5" s="982" t="s">
        <v>652</v>
      </c>
      <c r="K5" s="982" t="s">
        <v>652</v>
      </c>
      <c r="L5" s="982" t="s">
        <v>652</v>
      </c>
      <c r="M5" s="982" t="s">
        <v>652</v>
      </c>
      <c r="N5" s="982" t="s">
        <v>652</v>
      </c>
      <c r="O5" s="982" t="s">
        <v>652</v>
      </c>
      <c r="P5" s="978" t="s">
        <v>678</v>
      </c>
    </row>
    <row r="6" spans="1:16" ht="135">
      <c r="A6" s="980" t="s">
        <v>240</v>
      </c>
      <c r="B6" s="977" t="s">
        <v>796</v>
      </c>
      <c r="C6" s="982" t="s">
        <v>652</v>
      </c>
      <c r="D6" s="982" t="s">
        <v>652</v>
      </c>
      <c r="E6" s="982" t="s">
        <v>652</v>
      </c>
      <c r="F6" s="982" t="s">
        <v>652</v>
      </c>
      <c r="G6" s="982" t="s">
        <v>652</v>
      </c>
      <c r="H6" s="982" t="s">
        <v>652</v>
      </c>
      <c r="I6" s="982" t="s">
        <v>652</v>
      </c>
      <c r="J6" s="982" t="s">
        <v>652</v>
      </c>
      <c r="K6" s="982" t="s">
        <v>652</v>
      </c>
      <c r="L6" s="982" t="s">
        <v>652</v>
      </c>
      <c r="M6" s="982" t="s">
        <v>652</v>
      </c>
      <c r="N6" s="982" t="s">
        <v>652</v>
      </c>
      <c r="O6" s="982" t="s">
        <v>652</v>
      </c>
      <c r="P6" s="978" t="s">
        <v>678</v>
      </c>
    </row>
    <row r="7" spans="1:16" ht="135">
      <c r="A7" s="980" t="s">
        <v>637</v>
      </c>
      <c r="B7" s="982" t="s">
        <v>652</v>
      </c>
      <c r="C7" s="982" t="s">
        <v>652</v>
      </c>
      <c r="D7" s="982" t="s">
        <v>652</v>
      </c>
      <c r="E7" s="982" t="s">
        <v>652</v>
      </c>
      <c r="F7" s="982" t="s">
        <v>652</v>
      </c>
      <c r="G7" s="982" t="s">
        <v>652</v>
      </c>
      <c r="H7" s="982" t="s">
        <v>652</v>
      </c>
      <c r="I7" s="982" t="s">
        <v>652</v>
      </c>
      <c r="J7" s="982" t="s">
        <v>652</v>
      </c>
      <c r="K7" s="982" t="s">
        <v>652</v>
      </c>
      <c r="L7" s="982" t="s">
        <v>652</v>
      </c>
      <c r="M7" s="982" t="s">
        <v>652</v>
      </c>
      <c r="N7" s="982" t="s">
        <v>652</v>
      </c>
      <c r="O7" s="982" t="s">
        <v>652</v>
      </c>
      <c r="P7" s="978" t="s">
        <v>678</v>
      </c>
    </row>
    <row r="8" spans="1:16" ht="105">
      <c r="A8" s="979" t="s">
        <v>241</v>
      </c>
      <c r="B8" s="1023" t="s">
        <v>810</v>
      </c>
      <c r="C8" s="1023" t="s">
        <v>810</v>
      </c>
      <c r="D8" s="1023" t="s">
        <v>811</v>
      </c>
      <c r="E8" s="1023" t="s">
        <v>811</v>
      </c>
      <c r="F8" s="1023" t="s">
        <v>811</v>
      </c>
      <c r="G8" s="1023" t="s">
        <v>811</v>
      </c>
      <c r="H8" s="1023" t="s">
        <v>811</v>
      </c>
      <c r="I8" s="1023" t="s">
        <v>811</v>
      </c>
      <c r="J8" s="1023" t="s">
        <v>811</v>
      </c>
      <c r="K8" s="982" t="s">
        <v>652</v>
      </c>
      <c r="L8" s="982" t="s">
        <v>652</v>
      </c>
      <c r="M8" s="1023" t="s">
        <v>811</v>
      </c>
      <c r="N8" s="1023" t="s">
        <v>811</v>
      </c>
      <c r="O8" s="1023" t="s">
        <v>811</v>
      </c>
      <c r="P8" s="1027"/>
    </row>
    <row r="9" spans="1:16" ht="105">
      <c r="A9" s="981" t="s">
        <v>665</v>
      </c>
      <c r="B9" s="1023" t="s">
        <v>810</v>
      </c>
      <c r="C9" s="1023" t="s">
        <v>810</v>
      </c>
      <c r="D9" s="1023" t="s">
        <v>811</v>
      </c>
      <c r="E9" s="1023" t="s">
        <v>811</v>
      </c>
      <c r="F9" s="1023" t="s">
        <v>811</v>
      </c>
      <c r="G9" s="1023" t="s">
        <v>811</v>
      </c>
      <c r="H9" s="1023" t="s">
        <v>811</v>
      </c>
      <c r="I9" s="1023" t="s">
        <v>811</v>
      </c>
      <c r="J9" s="1023" t="s">
        <v>811</v>
      </c>
      <c r="K9" s="982" t="s">
        <v>652</v>
      </c>
      <c r="L9" s="982" t="s">
        <v>652</v>
      </c>
      <c r="M9" s="1023" t="s">
        <v>811</v>
      </c>
      <c r="N9" s="1023" t="s">
        <v>811</v>
      </c>
      <c r="O9" s="1023" t="s">
        <v>811</v>
      </c>
      <c r="P9" s="1027"/>
    </row>
    <row r="10" spans="1:16">
      <c r="A10" s="980" t="s">
        <v>109</v>
      </c>
      <c r="B10" s="983"/>
      <c r="C10" s="983"/>
      <c r="D10" s="983"/>
      <c r="E10" s="983"/>
      <c r="F10" s="983"/>
      <c r="G10" s="983"/>
      <c r="H10" s="983"/>
      <c r="I10" s="983"/>
      <c r="J10" s="983"/>
      <c r="K10" s="983"/>
      <c r="L10" s="983"/>
      <c r="M10" s="983"/>
      <c r="N10" s="983"/>
      <c r="O10" s="983"/>
      <c r="P10" s="983"/>
    </row>
    <row r="11" spans="1:16">
      <c r="A11" s="843"/>
      <c r="B11" s="843"/>
      <c r="C11" s="843"/>
      <c r="D11" s="843"/>
      <c r="E11" s="843"/>
      <c r="F11" s="843"/>
      <c r="G11" s="843"/>
      <c r="H11" s="843"/>
      <c r="I11" s="843"/>
      <c r="J11" s="843"/>
      <c r="K11" s="843"/>
      <c r="L11" s="843"/>
      <c r="M11" s="843"/>
      <c r="N11" s="843"/>
      <c r="O11" s="843"/>
      <c r="P11" s="843"/>
    </row>
    <row r="12" spans="1:16" ht="150">
      <c r="A12" s="455" t="s">
        <v>676</v>
      </c>
      <c r="B12" s="732" t="s">
        <v>675</v>
      </c>
      <c r="C12" s="1028" t="s">
        <v>679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5.75">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ht="105">
      <c r="A17" s="974" t="s">
        <v>241</v>
      </c>
      <c r="B17" s="1023" t="s">
        <v>810</v>
      </c>
      <c r="C17" s="1023" t="s">
        <v>810</v>
      </c>
      <c r="D17" s="1023" t="s">
        <v>811</v>
      </c>
      <c r="E17" s="1023" t="s">
        <v>811</v>
      </c>
      <c r="F17" s="1023" t="s">
        <v>811</v>
      </c>
      <c r="G17" s="1023" t="s">
        <v>811</v>
      </c>
      <c r="H17" s="1023" t="s">
        <v>811</v>
      </c>
      <c r="I17" s="1023" t="s">
        <v>811</v>
      </c>
      <c r="J17" s="1023" t="s">
        <v>811</v>
      </c>
      <c r="K17" s="982" t="s">
        <v>652</v>
      </c>
      <c r="L17" s="982" t="s">
        <v>652</v>
      </c>
      <c r="M17" s="1023" t="s">
        <v>811</v>
      </c>
      <c r="N17" s="1023" t="s">
        <v>811</v>
      </c>
      <c r="O17" s="1023" t="s">
        <v>811</v>
      </c>
      <c r="P17" s="1029"/>
    </row>
    <row r="18" spans="1:16" ht="45">
      <c r="A18" s="975" t="s">
        <v>247</v>
      </c>
      <c r="B18" s="1030" t="s">
        <v>656</v>
      </c>
      <c r="C18" s="1030" t="s">
        <v>656</v>
      </c>
      <c r="D18" s="1030" t="s">
        <v>656</v>
      </c>
      <c r="E18" s="1030" t="s">
        <v>656</v>
      </c>
      <c r="F18" s="1030" t="s">
        <v>656</v>
      </c>
      <c r="G18" s="1030" t="s">
        <v>656</v>
      </c>
      <c r="H18" s="1030" t="s">
        <v>656</v>
      </c>
      <c r="I18" s="1030" t="s">
        <v>656</v>
      </c>
      <c r="J18" s="1030" t="s">
        <v>656</v>
      </c>
      <c r="K18" s="1030" t="s">
        <v>656</v>
      </c>
      <c r="L18" s="1030" t="s">
        <v>656</v>
      </c>
      <c r="M18" s="1030" t="s">
        <v>656</v>
      </c>
      <c r="N18" s="1030" t="s">
        <v>656</v>
      </c>
      <c r="O18" s="1030" t="s">
        <v>656</v>
      </c>
      <c r="P18" s="1030" t="s">
        <v>656</v>
      </c>
    </row>
    <row r="19" spans="1:16" ht="105">
      <c r="A19" s="973" t="s">
        <v>666</v>
      </c>
      <c r="B19" s="1023" t="s">
        <v>810</v>
      </c>
      <c r="C19" s="1023" t="s">
        <v>810</v>
      </c>
      <c r="D19" s="1023" t="s">
        <v>811</v>
      </c>
      <c r="E19" s="1023" t="s">
        <v>811</v>
      </c>
      <c r="F19" s="1023" t="s">
        <v>811</v>
      </c>
      <c r="G19" s="1023" t="s">
        <v>811</v>
      </c>
      <c r="H19" s="1023" t="s">
        <v>811</v>
      </c>
      <c r="I19" s="1023" t="s">
        <v>811</v>
      </c>
      <c r="J19" s="1023" t="s">
        <v>811</v>
      </c>
      <c r="K19" s="982" t="s">
        <v>652</v>
      </c>
      <c r="L19" s="982" t="s">
        <v>652</v>
      </c>
      <c r="M19" s="1023" t="s">
        <v>811</v>
      </c>
      <c r="N19" s="1023" t="s">
        <v>811</v>
      </c>
      <c r="O19" s="1023" t="s">
        <v>811</v>
      </c>
      <c r="P19" s="1027"/>
    </row>
    <row r="20" spans="1:16">
      <c r="A20" s="976" t="s">
        <v>109</v>
      </c>
      <c r="B20" s="969"/>
      <c r="C20" s="969"/>
      <c r="D20" s="969"/>
      <c r="E20" s="969"/>
      <c r="F20" s="969"/>
      <c r="G20" s="969"/>
      <c r="H20" s="969"/>
      <c r="I20" s="969"/>
      <c r="J20" s="969"/>
      <c r="K20" s="969"/>
      <c r="L20" s="969"/>
      <c r="M20" s="969"/>
      <c r="N20" s="969"/>
      <c r="O20" s="969"/>
      <c r="P20" s="969"/>
    </row>
    <row r="21" spans="1:16">
      <c r="A21" s="836"/>
      <c r="B21" s="836"/>
      <c r="C21" s="836"/>
      <c r="D21" s="836"/>
      <c r="E21" s="836"/>
      <c r="F21" s="836"/>
      <c r="G21" s="836"/>
      <c r="H21" s="836"/>
      <c r="I21" s="836"/>
      <c r="J21" s="836"/>
      <c r="K21" s="836"/>
      <c r="L21" s="836"/>
      <c r="M21" s="836"/>
      <c r="N21" s="836"/>
      <c r="O21" s="836"/>
      <c r="P21" s="836"/>
    </row>
    <row r="22" spans="1:16" ht="90">
      <c r="A22" s="455" t="s">
        <v>677</v>
      </c>
      <c r="B22" s="732" t="s">
        <v>675</v>
      </c>
      <c r="C22" s="1028" t="s">
        <v>680</v>
      </c>
      <c r="D22" s="836"/>
      <c r="E22" s="836"/>
      <c r="F22" s="836"/>
      <c r="G22" s="836"/>
      <c r="H22" s="836"/>
      <c r="I22" s="836"/>
      <c r="J22" s="836"/>
      <c r="K22" s="836"/>
      <c r="L22" s="836"/>
      <c r="M22" s="836"/>
      <c r="N22" s="836"/>
      <c r="O22" s="836"/>
      <c r="P22" s="836"/>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364</v>
      </c>
      <c r="B2" s="110"/>
      <c r="C2" s="111"/>
    </row>
    <row r="3" spans="1:3" s="15" customFormat="1" ht="15.75">
      <c r="A3" s="98"/>
      <c r="B3" s="70"/>
      <c r="C3" s="99"/>
    </row>
    <row r="4" spans="1:3">
      <c r="A4" s="95" t="s">
        <v>348</v>
      </c>
      <c r="B4" s="69" t="s">
        <v>360</v>
      </c>
      <c r="C4" s="100" t="s">
        <v>359</v>
      </c>
    </row>
    <row r="5" spans="1:3">
      <c r="A5" s="112"/>
      <c r="B5" s="43"/>
      <c r="C5" s="96"/>
    </row>
    <row r="6" spans="1:3" ht="30">
      <c r="A6" s="113" t="s">
        <v>537</v>
      </c>
      <c r="B6" s="75" t="s">
        <v>538</v>
      </c>
      <c r="C6" s="425" t="s">
        <v>777</v>
      </c>
    </row>
    <row r="7" spans="1:3">
      <c r="A7" s="124"/>
      <c r="B7" s="128"/>
      <c r="C7" s="122"/>
    </row>
    <row r="8" spans="1:3">
      <c r="A8" s="113" t="s">
        <v>540</v>
      </c>
      <c r="B8" s="75" t="s">
        <v>539</v>
      </c>
      <c r="C8" s="425" t="s">
        <v>368</v>
      </c>
    </row>
    <row r="9" spans="1:3">
      <c r="A9" s="124"/>
      <c r="B9" s="128"/>
      <c r="C9" s="122"/>
    </row>
    <row r="10" spans="1:3">
      <c r="A10" s="113" t="s">
        <v>314</v>
      </c>
      <c r="B10" s="75" t="s">
        <v>366</v>
      </c>
      <c r="C10" s="114" t="s">
        <v>368</v>
      </c>
    </row>
    <row r="11" spans="1:3">
      <c r="A11" s="124"/>
      <c r="B11" s="128"/>
      <c r="C11" s="122"/>
    </row>
    <row r="12" spans="1:3" ht="30">
      <c r="A12" s="113" t="s">
        <v>377</v>
      </c>
      <c r="B12" s="75" t="s">
        <v>484</v>
      </c>
      <c r="C12" s="305" t="s">
        <v>550</v>
      </c>
    </row>
    <row r="13" spans="1:3" s="11" customFormat="1">
      <c r="A13" s="139"/>
      <c r="B13" s="157"/>
      <c r="C13" s="158"/>
    </row>
    <row r="14" spans="1:3" ht="21">
      <c r="A14" s="125" t="s">
        <v>437</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55.140625" style="441" customWidth="1"/>
    <col min="6" max="6" width="14.85546875" style="441" customWidth="1"/>
    <col min="7" max="7" width="8.5703125" style="441" bestFit="1" customWidth="1"/>
    <col min="8" max="8" width="10.8554687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35.7109375" style="44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633" t="s">
        <v>545</v>
      </c>
      <c r="B4" s="458"/>
      <c r="C4" s="458"/>
      <c r="D4" s="458"/>
      <c r="E4" s="458"/>
      <c r="F4" s="458"/>
      <c r="G4" s="490"/>
      <c r="H4" s="490"/>
      <c r="I4" s="458"/>
      <c r="J4" s="458"/>
      <c r="K4" s="458"/>
      <c r="L4" s="458"/>
      <c r="M4" s="458"/>
      <c r="N4" s="458"/>
      <c r="O4" s="458"/>
      <c r="P4" s="458"/>
    </row>
    <row r="5" spans="1:16" outlineLevel="1">
      <c r="A5" s="633" t="s">
        <v>546</v>
      </c>
      <c r="B5" s="458"/>
      <c r="C5" s="458"/>
      <c r="D5" s="458"/>
      <c r="E5" s="458"/>
      <c r="F5" s="458"/>
      <c r="G5" s="490"/>
      <c r="H5" s="490"/>
      <c r="I5" s="458"/>
      <c r="J5" s="458"/>
      <c r="K5" s="458"/>
      <c r="L5" s="458"/>
      <c r="M5" s="458"/>
      <c r="N5" s="458"/>
      <c r="O5" s="458"/>
      <c r="P5" s="458"/>
    </row>
    <row r="6" spans="1:16" outlineLevel="1">
      <c r="A6" s="633" t="s">
        <v>547</v>
      </c>
      <c r="B6" s="458"/>
      <c r="C6" s="458"/>
      <c r="D6" s="458"/>
      <c r="E6" s="458"/>
      <c r="F6" s="458"/>
      <c r="G6" s="490"/>
      <c r="H6" s="490"/>
      <c r="I6" s="458"/>
      <c r="J6" s="458"/>
      <c r="K6" s="458"/>
      <c r="L6" s="458"/>
      <c r="M6" s="458"/>
      <c r="N6" s="458"/>
      <c r="O6" s="458"/>
      <c r="P6" s="458"/>
    </row>
    <row r="7" spans="1:16" outlineLevel="1">
      <c r="A7" s="460"/>
      <c r="B7" s="458"/>
      <c r="C7" s="458"/>
      <c r="D7" s="458"/>
      <c r="E7" s="458"/>
      <c r="F7" s="458"/>
      <c r="G7" s="490"/>
      <c r="H7" s="490"/>
      <c r="I7" s="458"/>
      <c r="J7" s="458"/>
      <c r="K7" s="458"/>
      <c r="L7" s="458"/>
      <c r="M7" s="458"/>
      <c r="N7" s="458"/>
      <c r="O7" s="458"/>
      <c r="P7" s="458"/>
    </row>
    <row r="8" spans="1:16" outlineLevel="1">
      <c r="A8" s="634" t="s">
        <v>548</v>
      </c>
      <c r="B8" s="458"/>
      <c r="C8" s="458"/>
      <c r="D8" s="458"/>
      <c r="E8" s="458"/>
      <c r="F8" s="458"/>
      <c r="G8" s="490"/>
      <c r="H8" s="490"/>
      <c r="I8" s="458"/>
      <c r="J8" s="458"/>
      <c r="K8" s="458"/>
      <c r="L8" s="458"/>
      <c r="M8" s="458"/>
      <c r="N8" s="458"/>
      <c r="O8" s="458"/>
      <c r="P8" s="458"/>
    </row>
    <row r="9" spans="1:16" outlineLevel="1">
      <c r="A9" s="460"/>
      <c r="B9" s="458"/>
      <c r="C9" s="458"/>
      <c r="D9" s="458"/>
      <c r="E9" s="458"/>
      <c r="F9" s="458"/>
      <c r="G9" s="490"/>
      <c r="H9" s="490"/>
      <c r="I9" s="458"/>
      <c r="J9" s="458"/>
      <c r="K9" s="458"/>
      <c r="L9" s="458"/>
      <c r="M9" s="458"/>
      <c r="N9" s="458"/>
      <c r="O9" s="458"/>
      <c r="P9" s="458"/>
    </row>
    <row r="10" spans="1:16" outlineLevel="1">
      <c r="A10" s="460" t="s">
        <v>549</v>
      </c>
      <c r="B10" s="458"/>
      <c r="C10" s="458"/>
      <c r="D10" s="458"/>
      <c r="E10" s="458"/>
      <c r="F10" s="458"/>
      <c r="G10" s="490"/>
      <c r="H10" s="490"/>
      <c r="I10" s="458"/>
      <c r="J10" s="458"/>
      <c r="K10" s="458"/>
      <c r="L10" s="458"/>
      <c r="M10" s="458"/>
      <c r="N10" s="458"/>
      <c r="O10" s="458"/>
      <c r="P10" s="458"/>
    </row>
    <row r="11" spans="1:16" outlineLevel="1">
      <c r="A11" s="460"/>
      <c r="B11" s="458"/>
      <c r="C11" s="458"/>
      <c r="D11" s="458"/>
      <c r="E11" s="458"/>
      <c r="F11" s="458"/>
      <c r="G11" s="490"/>
      <c r="H11" s="490"/>
      <c r="I11" s="458"/>
      <c r="J11" s="458"/>
      <c r="K11" s="458"/>
      <c r="L11" s="458"/>
      <c r="M11" s="458"/>
      <c r="N11" s="458"/>
      <c r="O11" s="458"/>
      <c r="P11" s="458"/>
    </row>
    <row r="12" spans="1:16" ht="15.75" outlineLevel="1" thickBot="1">
      <c r="B12" s="458"/>
      <c r="C12" s="458"/>
      <c r="D12" s="458"/>
      <c r="E12" s="458"/>
      <c r="F12" s="458"/>
      <c r="G12" s="490"/>
      <c r="H12" s="490"/>
      <c r="I12" s="458"/>
      <c r="J12" s="458"/>
      <c r="K12" s="458"/>
      <c r="L12" s="458"/>
      <c r="M12" s="458"/>
      <c r="N12" s="458"/>
      <c r="O12" s="458"/>
      <c r="P12" s="458"/>
    </row>
    <row r="13" spans="1:16" ht="25.5" customHeight="1" outlineLevel="1" thickBot="1">
      <c r="A13" s="461" t="s">
        <v>535</v>
      </c>
      <c r="B13" s="443"/>
      <c r="C13" s="462"/>
      <c r="D13" s="462"/>
      <c r="E13" s="462"/>
      <c r="F13" s="462"/>
      <c r="G13" s="462"/>
      <c r="H13" s="462"/>
      <c r="I13" s="462"/>
      <c r="J13" s="462"/>
      <c r="K13" s="462"/>
      <c r="L13" s="462"/>
      <c r="M13" s="462"/>
      <c r="N13" s="462"/>
      <c r="O13" s="733" t="s">
        <v>566</v>
      </c>
      <c r="P13" s="733" t="s">
        <v>565</v>
      </c>
    </row>
    <row r="14" spans="1:16" outlineLevel="1"/>
    <row r="15" spans="1:16" s="454" customFormat="1" outlineLevel="1">
      <c r="A15" s="463" t="s">
        <v>292</v>
      </c>
      <c r="B15" s="464">
        <f>SUM(B4:B12)</f>
        <v>0</v>
      </c>
      <c r="C15" s="464">
        <f t="shared" ref="C15:P15" si="0">SUM(C4:C13)</f>
        <v>0</v>
      </c>
      <c r="D15" s="464">
        <f t="shared" si="0"/>
        <v>0</v>
      </c>
      <c r="E15" s="464">
        <f t="shared" si="0"/>
        <v>0</v>
      </c>
      <c r="F15" s="464">
        <f t="shared" si="0"/>
        <v>0</v>
      </c>
      <c r="G15" s="464"/>
      <c r="H15" s="464"/>
      <c r="I15" s="464">
        <f t="shared" si="0"/>
        <v>0</v>
      </c>
      <c r="J15" s="464">
        <f t="shared" si="0"/>
        <v>0</v>
      </c>
      <c r="K15" s="464">
        <f t="shared" si="0"/>
        <v>0</v>
      </c>
      <c r="L15" s="464">
        <f t="shared" si="0"/>
        <v>0</v>
      </c>
      <c r="M15" s="464">
        <f>SUM(M4:M13)</f>
        <v>0</v>
      </c>
      <c r="N15" s="464">
        <f t="shared" si="0"/>
        <v>0</v>
      </c>
      <c r="O15" s="464">
        <f>SUM(O4:O13)</f>
        <v>0</v>
      </c>
      <c r="P15" s="464">
        <f t="shared" si="0"/>
        <v>0</v>
      </c>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0.16494846667445565</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f ca="1">C15*C17</f>
        <v>0</v>
      </c>
      <c r="D19" s="469">
        <f>D15*D17</f>
        <v>0</v>
      </c>
      <c r="E19" s="469">
        <f>E15*E17</f>
        <v>0</v>
      </c>
      <c r="F19" s="469">
        <f>F15*F17</f>
        <v>0</v>
      </c>
      <c r="G19" s="469"/>
      <c r="H19" s="469"/>
      <c r="I19" s="469">
        <f t="shared" ref="I19:P19" si="1">I15*I17</f>
        <v>0</v>
      </c>
      <c r="J19" s="469">
        <f t="shared" si="1"/>
        <v>0</v>
      </c>
      <c r="K19" s="469">
        <f t="shared" si="1"/>
        <v>0</v>
      </c>
      <c r="L19" s="469">
        <f t="shared" si="1"/>
        <v>0</v>
      </c>
      <c r="M19" s="469">
        <f t="shared" si="1"/>
        <v>0</v>
      </c>
      <c r="N19" s="469">
        <f t="shared" si="1"/>
        <v>0</v>
      </c>
      <c r="O19" s="469">
        <f t="shared" si="1"/>
        <v>0</v>
      </c>
      <c r="P19" s="469">
        <f t="shared" si="1"/>
        <v>0</v>
      </c>
    </row>
    <row r="22" spans="1:16" s="443" customFormat="1" ht="15" customHeight="1" outlineLevel="1">
      <c r="A22" s="470" t="s">
        <v>450</v>
      </c>
      <c r="B22" s="471"/>
      <c r="C22" s="472"/>
      <c r="D22" s="473"/>
      <c r="E22" s="474"/>
    </row>
    <row r="23" spans="1:16" s="48" customFormat="1" ht="15" customHeight="1" outlineLevel="1">
      <c r="A23" s="475"/>
      <c r="B23" s="476"/>
      <c r="C23" s="477" t="s">
        <v>362</v>
      </c>
      <c r="D23" s="477" t="s">
        <v>175</v>
      </c>
      <c r="E23" s="478"/>
    </row>
    <row r="24" spans="1:16" s="443" customFormat="1" ht="15" customHeight="1" outlineLevel="1">
      <c r="A24" s="479" t="s">
        <v>255</v>
      </c>
      <c r="B24" s="47">
        <f>EigenZB</f>
        <v>1</v>
      </c>
      <c r="C24" s="480"/>
      <c r="D24" s="841" t="s">
        <v>585</v>
      </c>
      <c r="E24" s="444"/>
    </row>
    <row r="25" spans="1:16" s="443" customFormat="1" outlineLevel="1">
      <c r="A25" s="479" t="s">
        <v>417</v>
      </c>
      <c r="B25" s="306">
        <v>13.15681996793146</v>
      </c>
      <c r="C25" s="43"/>
      <c r="D25" s="300" t="s">
        <v>686</v>
      </c>
      <c r="E25" s="457"/>
    </row>
    <row r="26" spans="1:16" s="443" customFormat="1" outlineLevel="1">
      <c r="A26" s="737" t="s">
        <v>418</v>
      </c>
      <c r="B26" s="311">
        <f>1.34/3.6</f>
        <v>0.37222222222222223</v>
      </c>
      <c r="C26" s="43" t="s">
        <v>208</v>
      </c>
      <c r="D26" s="300" t="s">
        <v>687</v>
      </c>
      <c r="E26" s="457"/>
    </row>
    <row r="27" spans="1:16" s="443" customFormat="1" outlineLevel="1">
      <c r="A27" s="482" t="s">
        <v>557</v>
      </c>
      <c r="B27" s="739">
        <f>B24*B25*B26</f>
        <v>4.8972607658411542</v>
      </c>
      <c r="C27" s="483" t="s">
        <v>558</v>
      </c>
      <c r="D27" s="484"/>
      <c r="E27" s="485"/>
    </row>
    <row r="28" spans="1:16" s="443" customFormat="1" outlineLevel="1">
      <c r="A28" s="48"/>
      <c r="B28" s="48"/>
      <c r="C28" s="486"/>
      <c r="D28" s="480"/>
    </row>
    <row r="29" spans="1:16" s="443" customFormat="1" outlineLevel="1">
      <c r="A29" s="487" t="s">
        <v>451</v>
      </c>
      <c r="B29" s="471"/>
      <c r="C29" s="472"/>
      <c r="D29" s="473"/>
      <c r="E29" s="474"/>
    </row>
    <row r="30" spans="1:16" s="48" customFormat="1" outlineLevel="1">
      <c r="A30" s="488"/>
      <c r="B30" s="476"/>
      <c r="C30" s="477" t="s">
        <v>362</v>
      </c>
      <c r="D30" s="477" t="s">
        <v>175</v>
      </c>
      <c r="E30" s="478"/>
    </row>
    <row r="31" spans="1:16" s="443" customFormat="1" outlineLevel="1">
      <c r="A31" s="479" t="s">
        <v>416</v>
      </c>
      <c r="B31" s="47">
        <f>EigenWP</f>
        <v>0</v>
      </c>
      <c r="C31" s="480"/>
      <c r="D31" s="841" t="s">
        <v>585</v>
      </c>
      <c r="E31" s="444"/>
    </row>
    <row r="32" spans="1:16" s="443" customFormat="1" outlineLevel="1">
      <c r="A32" s="479" t="s">
        <v>414</v>
      </c>
      <c r="B32" s="48">
        <v>37.963784638354454</v>
      </c>
      <c r="C32" s="486" t="s">
        <v>252</v>
      </c>
      <c r="D32" s="481" t="s">
        <v>686</v>
      </c>
      <c r="E32" s="444"/>
    </row>
    <row r="33" spans="1:5" s="443" customFormat="1" outlineLevel="1">
      <c r="A33" s="479" t="s">
        <v>415</v>
      </c>
      <c r="B33" s="48">
        <v>1887.1743212997605</v>
      </c>
      <c r="C33" s="486" t="s">
        <v>254</v>
      </c>
      <c r="D33" s="481" t="s">
        <v>686</v>
      </c>
      <c r="E33" s="444"/>
    </row>
    <row r="34" spans="1:5" s="443" customFormat="1" outlineLevel="1">
      <c r="A34" s="737" t="s">
        <v>363</v>
      </c>
      <c r="B34" s="48">
        <v>3.75</v>
      </c>
      <c r="C34" s="486"/>
      <c r="D34" s="481" t="s">
        <v>687</v>
      </c>
      <c r="E34" s="444"/>
    </row>
    <row r="35" spans="1:5" s="443" customFormat="1" outlineLevel="1">
      <c r="A35" s="482" t="s">
        <v>557</v>
      </c>
      <c r="B35" s="738">
        <f>B31*B32*B33/1000-B31*B32*B33/1000/B34</f>
        <v>0</v>
      </c>
      <c r="C35" s="489" t="s">
        <v>558</v>
      </c>
      <c r="D35" s="484"/>
      <c r="E35" s="45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2020</vt:lpstr>
      <vt:lpstr>betrouwbaarheid inventaris</vt:lpstr>
      <vt:lpstr>Lokale energieproductie 2020</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2022-10-04T14:02:47Z</dcterms:modified>
</cp:coreProperties>
</file>