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BABB6EE8-C9AF-4A8B-8520-44B3A633A6CC}"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7" i="18" l="1"/>
  <c r="X38" i="18"/>
  <c r="X39" i="18"/>
  <c r="X40" i="18"/>
  <c r="X41" i="18"/>
  <c r="X31" i="18"/>
  <c r="X34" i="18"/>
  <c r="E6" i="17" s="1"/>
  <c r="X33" i="18"/>
  <c r="E13" i="15" s="1"/>
  <c r="X32"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2"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1" i="18"/>
  <c r="V41" i="18"/>
  <c r="U41" i="18"/>
  <c r="T41" i="18"/>
  <c r="S41" i="18"/>
  <c r="R41" i="18"/>
  <c r="Q41" i="18"/>
  <c r="P41" i="18"/>
  <c r="O41" i="18"/>
  <c r="N41" i="18"/>
  <c r="M41" i="18"/>
  <c r="W40" i="18"/>
  <c r="V40" i="18"/>
  <c r="U40" i="18"/>
  <c r="T40" i="18"/>
  <c r="S40" i="18"/>
  <c r="R40" i="18"/>
  <c r="Q40" i="18"/>
  <c r="P40" i="18"/>
  <c r="O40" i="18"/>
  <c r="C13" i="15" s="1"/>
  <c r="C16" i="15" s="1"/>
  <c r="N40" i="18"/>
  <c r="M40" i="18"/>
  <c r="W39" i="18"/>
  <c r="V39" i="18"/>
  <c r="U39" i="18"/>
  <c r="T39" i="18"/>
  <c r="S39" i="18"/>
  <c r="F16" i="16" s="1"/>
  <c r="R39" i="18"/>
  <c r="Q39" i="18"/>
  <c r="P39" i="18"/>
  <c r="O39" i="18"/>
  <c r="C16" i="16" s="1"/>
  <c r="N39" i="18"/>
  <c r="M39" i="18"/>
  <c r="W38" i="18"/>
  <c r="V38" i="18"/>
  <c r="U38" i="18"/>
  <c r="T38" i="18"/>
  <c r="S38" i="18"/>
  <c r="R38" i="18"/>
  <c r="Q38" i="18"/>
  <c r="P38" i="18"/>
  <c r="O38" i="18"/>
  <c r="B19" i="18" s="1"/>
  <c r="N38" i="18"/>
  <c r="M38" i="18"/>
  <c r="W34" i="18"/>
  <c r="V34" i="18"/>
  <c r="N6" i="17" s="1"/>
  <c r="N5" i="17" s="1"/>
  <c r="U34" i="18"/>
  <c r="T34" i="18"/>
  <c r="S34" i="18"/>
  <c r="F6" i="17" s="1"/>
  <c r="F8" i="17" s="1"/>
  <c r="G24" i="14" s="1"/>
  <c r="G26" i="14" s="1"/>
  <c r="R34" i="18"/>
  <c r="Q34" i="18"/>
  <c r="P34" i="18"/>
  <c r="D6" i="17" s="1"/>
  <c r="D8" i="17" s="1"/>
  <c r="D12" i="17" s="1"/>
  <c r="O34" i="18"/>
  <c r="N34" i="18"/>
  <c r="M34" i="18"/>
  <c r="W33" i="18"/>
  <c r="V33" i="18"/>
  <c r="U33" i="18"/>
  <c r="T33" i="18"/>
  <c r="S33" i="18"/>
  <c r="R33" i="18"/>
  <c r="Q33" i="18"/>
  <c r="N13" i="15" s="1"/>
  <c r="P33" i="18"/>
  <c r="O33" i="18"/>
  <c r="N33" i="18"/>
  <c r="B13" i="15" s="1"/>
  <c r="M33" i="18"/>
  <c r="W32" i="18"/>
  <c r="V32" i="18"/>
  <c r="U32" i="18"/>
  <c r="T32" i="18"/>
  <c r="S32" i="18"/>
  <c r="R32" i="18"/>
  <c r="Q32" i="18"/>
  <c r="P32" i="18"/>
  <c r="D16" i="16"/>
  <c r="O32" i="18"/>
  <c r="N32" i="18"/>
  <c r="W31" i="18"/>
  <c r="V31" i="18"/>
  <c r="U31" i="18"/>
  <c r="T31" i="18"/>
  <c r="S31" i="18"/>
  <c r="R31" i="18"/>
  <c r="Q31" i="18"/>
  <c r="P31" i="18"/>
  <c r="O31" i="18"/>
  <c r="B17" i="18"/>
  <c r="N31" i="18"/>
  <c r="B8" i="18" s="1"/>
  <c r="M31"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C26" i="14" s="1"/>
  <c r="B51" i="16"/>
  <c r="P5" i="16" s="1"/>
  <c r="P18" i="16" s="1"/>
  <c r="B45" i="16"/>
  <c r="B43" i="16"/>
  <c r="O5" i="16" s="1"/>
  <c r="O18" i="16" s="1"/>
  <c r="P13" i="14" s="1"/>
  <c r="B37" i="16"/>
  <c r="C37" i="16" s="1"/>
  <c r="F15" i="16" s="1"/>
  <c r="B36" i="16"/>
  <c r="C36" i="16" s="1"/>
  <c r="J14" i="16" s="1"/>
  <c r="B35" i="16"/>
  <c r="B34" i="16"/>
  <c r="B12" i="16" s="1"/>
  <c r="B33" i="16"/>
  <c r="C33" i="16" s="1"/>
  <c r="J11" i="16" s="1"/>
  <c r="B32" i="16"/>
  <c r="C32" i="16" s="1"/>
  <c r="B31" i="16"/>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30" i="48"/>
  <c r="J32" i="48"/>
  <c r="F30" i="48"/>
  <c r="F32" i="48"/>
  <c r="N30" i="48"/>
  <c r="N32" i="48"/>
  <c r="O20" i="59"/>
  <c r="K10" i="18"/>
  <c r="N77" i="14"/>
  <c r="N78" i="14" s="1"/>
  <c r="L10" i="18"/>
  <c r="O77" i="14"/>
  <c r="H16" i="14"/>
  <c r="B8" i="9"/>
  <c r="B6" i="48" s="1"/>
  <c r="Q6" i="48" s="1"/>
  <c r="L16" i="16"/>
  <c r="L18" i="16" s="1"/>
  <c r="M13" i="14"/>
  <c r="I14" i="15"/>
  <c r="I16" i="15"/>
  <c r="J10" i="14" s="1"/>
  <c r="J16" i="14" s="1"/>
  <c r="J27" i="14" s="1"/>
  <c r="B13" i="16"/>
  <c r="C35" i="16"/>
  <c r="E54" i="14"/>
  <c r="E9" i="14"/>
  <c r="D14" i="15"/>
  <c r="P22" i="16"/>
  <c r="Q43" i="14" s="1"/>
  <c r="J8" i="17"/>
  <c r="N16" i="16"/>
  <c r="F13" i="15"/>
  <c r="D13" i="15"/>
  <c r="B67" i="22"/>
  <c r="M11" i="22"/>
  <c r="G10" i="22"/>
  <c r="M9" i="22"/>
  <c r="M5" i="22" s="1"/>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7" i="18"/>
  <c r="J50" i="18" s="1"/>
  <c r="D8" i="18" s="1"/>
  <c r="I50" i="18"/>
  <c r="H8" i="18" s="1"/>
  <c r="M76" i="14" s="1"/>
  <c r="C18" i="16"/>
  <c r="C8" i="48" s="1"/>
  <c r="C12" i="14"/>
  <c r="R12" i="14"/>
  <c r="I11" i="48"/>
  <c r="I29" i="48"/>
  <c r="N11" i="48"/>
  <c r="N29" i="48"/>
  <c r="L10" i="14"/>
  <c r="L16"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c r="M20" i="15"/>
  <c r="N40" i="14" s="1"/>
  <c r="N10" i="14"/>
  <c r="N16" i="14"/>
  <c r="G20" i="15"/>
  <c r="H40" i="14" s="1"/>
  <c r="H46" i="14" s="1"/>
  <c r="H20" i="15"/>
  <c r="I40" i="14"/>
  <c r="I46" i="14" s="1"/>
  <c r="I10" i="14"/>
  <c r="I16" i="14" s="1"/>
  <c r="B74" i="14"/>
  <c r="B6" i="59" s="1"/>
  <c r="F8" i="16"/>
  <c r="B7" i="48"/>
  <c r="B73" i="14"/>
  <c r="B5" i="59"/>
  <c r="F8" i="15"/>
  <c r="N10" i="16"/>
  <c r="E14" i="16"/>
  <c r="B8" i="15"/>
  <c r="J8" i="15"/>
  <c r="I20" i="15"/>
  <c r="J40" i="14"/>
  <c r="B10" i="15"/>
  <c r="B6" i="15"/>
  <c r="J10" i="15"/>
  <c r="D5" i="16"/>
  <c r="F10" i="16"/>
  <c r="B15" i="16"/>
  <c r="F14" i="16"/>
  <c r="B12" i="15"/>
  <c r="B7" i="16"/>
  <c r="N14" i="16"/>
  <c r="N11" i="16"/>
  <c r="N6" i="15"/>
  <c r="N10" i="15"/>
  <c r="B8" i="16"/>
  <c r="J8" i="16"/>
  <c r="B10" i="16"/>
  <c r="B14" i="16"/>
  <c r="E15" i="16"/>
  <c r="J7" i="16"/>
  <c r="F7" i="16"/>
  <c r="N7" i="16"/>
  <c r="N15" i="16"/>
  <c r="C34" i="16"/>
  <c r="Q13" i="14"/>
  <c r="E11" i="48"/>
  <c r="E29" i="48"/>
  <c r="F9" i="14"/>
  <c r="D9" i="14"/>
  <c r="E19" i="19"/>
  <c r="F39" i="14"/>
  <c r="C11" i="48"/>
  <c r="D19" i="19"/>
  <c r="E39" i="14"/>
  <c r="C9" i="14"/>
  <c r="B11" i="48"/>
  <c r="E14" i="22"/>
  <c r="D5" i="22"/>
  <c r="D14" i="22"/>
  <c r="B14" i="22"/>
  <c r="P11" i="48"/>
  <c r="P29" i="48"/>
  <c r="H5" i="48"/>
  <c r="O11" i="48"/>
  <c r="P9" i="14"/>
  <c r="M5" i="48"/>
  <c r="G29" i="48"/>
  <c r="C11" i="14"/>
  <c r="E30" i="48"/>
  <c r="I31" i="48"/>
  <c r="I27" i="48"/>
  <c r="I30" i="48"/>
  <c r="K27" i="48"/>
  <c r="O30" i="48"/>
  <c r="K22" i="48"/>
  <c r="G22" i="48"/>
  <c r="M17" i="48"/>
  <c r="K30" i="48"/>
  <c r="F5" i="13"/>
  <c r="F8" i="13" s="1"/>
  <c r="I22" i="48"/>
  <c r="G30" i="48"/>
  <c r="H25" i="48"/>
  <c r="L17" i="48"/>
  <c r="L32" i="48"/>
  <c r="H22" i="48"/>
  <c r="K25" i="48"/>
  <c r="K26" i="48"/>
  <c r="Q11" i="14"/>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G25" i="48"/>
  <c r="I25" i="48"/>
  <c r="D88" i="14"/>
  <c r="D18" i="59" s="1"/>
  <c r="H88" i="14"/>
  <c r="F88" i="14"/>
  <c r="F18" i="59" s="1"/>
  <c r="L20" i="18"/>
  <c r="G77" i="14"/>
  <c r="O90" i="14"/>
  <c r="F20" i="18"/>
  <c r="D11" i="14"/>
  <c r="C4" i="48"/>
  <c r="N46" i="14"/>
  <c r="G51" i="22"/>
  <c r="G50" i="22" s="1"/>
  <c r="G54" i="22" s="1"/>
  <c r="M51" i="22"/>
  <c r="M50" i="22" s="1"/>
  <c r="M54" i="22" s="1"/>
  <c r="I5" i="48"/>
  <c r="K33" i="48"/>
  <c r="M24" i="48"/>
  <c r="M32" i="48"/>
  <c r="K15" i="48"/>
  <c r="H78" i="14"/>
  <c r="H9" i="59"/>
  <c r="H10" i="59"/>
  <c r="N9" i="59"/>
  <c r="G78" i="14"/>
  <c r="G9" i="59"/>
  <c r="G10" i="59"/>
  <c r="O78" i="14"/>
  <c r="O9" i="59"/>
  <c r="P22" i="48"/>
  <c r="L8" i="48"/>
  <c r="L26" i="48"/>
  <c r="L22" i="16"/>
  <c r="M43" i="14"/>
  <c r="D10" i="14"/>
  <c r="C88" i="14"/>
  <c r="C18" i="59" s="1"/>
  <c r="J46" i="14"/>
  <c r="J61" i="14" s="1"/>
  <c r="J63" i="14" s="1"/>
  <c r="L46" i="14"/>
  <c r="L61" i="14" s="1"/>
  <c r="L27" i="14"/>
  <c r="P8" i="48"/>
  <c r="P26" i="48" s="1"/>
  <c r="D18" i="16"/>
  <c r="D22" i="16"/>
  <c r="E43" i="14"/>
  <c r="G31" i="20"/>
  <c r="H48" i="14"/>
  <c r="G12" i="22"/>
  <c r="D16" i="15"/>
  <c r="D20" i="15" s="1"/>
  <c r="E8" i="17"/>
  <c r="O22" i="16"/>
  <c r="P43" i="14"/>
  <c r="N5" i="13"/>
  <c r="N8" i="13"/>
  <c r="N4" i="48"/>
  <c r="N22" i="48"/>
  <c r="H13" i="48"/>
  <c r="H31" i="48"/>
  <c r="H12" i="22"/>
  <c r="E5" i="13"/>
  <c r="E8" i="13" s="1"/>
  <c r="N8" i="17"/>
  <c r="N12" i="17" s="1"/>
  <c r="O54" i="14" s="1"/>
  <c r="O56" i="14" s="1"/>
  <c r="E24" i="14"/>
  <c r="E26" i="14" s="1"/>
  <c r="E50" i="18"/>
  <c r="E8" i="18"/>
  <c r="D50" i="18"/>
  <c r="M29" i="48"/>
  <c r="F12" i="17"/>
  <c r="G54" i="14"/>
  <c r="G56" i="14" s="1"/>
  <c r="C51" i="18"/>
  <c r="C50" i="18"/>
  <c r="E51" i="18"/>
  <c r="E17" i="18"/>
  <c r="F87" i="14"/>
  <c r="F17" i="59" s="1"/>
  <c r="G51" i="18"/>
  <c r="D7" i="48"/>
  <c r="D25" i="48"/>
  <c r="H50" i="18"/>
  <c r="G50" i="18"/>
  <c r="D51" i="18"/>
  <c r="L28" i="48"/>
  <c r="H51" i="18"/>
  <c r="I51" i="18"/>
  <c r="H17" i="18" s="1"/>
  <c r="F51" i="18"/>
  <c r="F50" i="18"/>
  <c r="B50" i="18"/>
  <c r="L31" i="48"/>
  <c r="L24" i="48"/>
  <c r="L22" i="48"/>
  <c r="M23" i="48"/>
  <c r="M22" i="48"/>
  <c r="I18" i="14"/>
  <c r="D9" i="48"/>
  <c r="D27" i="48"/>
  <c r="F20" i="14"/>
  <c r="F22" i="14"/>
  <c r="L30" i="48"/>
  <c r="B20" i="18"/>
  <c r="C7" i="48"/>
  <c r="D24" i="14"/>
  <c r="D26" i="14"/>
  <c r="L29" i="48"/>
  <c r="M31" i="20"/>
  <c r="N48" i="14"/>
  <c r="N18" i="14"/>
  <c r="M13" i="48"/>
  <c r="M31" i="48"/>
  <c r="H31" i="20"/>
  <c r="I48" i="14"/>
  <c r="G13" i="48"/>
  <c r="G31" i="48"/>
  <c r="H18" i="14"/>
  <c r="M14" i="22"/>
  <c r="G5" i="22"/>
  <c r="G14" i="22" s="1"/>
  <c r="H5" i="22"/>
  <c r="O20" i="15"/>
  <c r="P40" i="14"/>
  <c r="P46" i="14" s="1"/>
  <c r="P20" i="15"/>
  <c r="Q40" i="14"/>
  <c r="Q46" i="14" s="1"/>
  <c r="Q61" i="14" s="1"/>
  <c r="Q10" i="14"/>
  <c r="Q16" i="14"/>
  <c r="Q27" i="14" s="1"/>
  <c r="P5" i="48"/>
  <c r="F13" i="16"/>
  <c r="E13" i="16"/>
  <c r="N13" i="16"/>
  <c r="J13" i="16"/>
  <c r="F12" i="16"/>
  <c r="E12" i="16"/>
  <c r="Q11" i="48"/>
  <c r="R9" i="14"/>
  <c r="O29" i="48"/>
  <c r="H23" i="48"/>
  <c r="L27" i="48"/>
  <c r="M30" i="48"/>
  <c r="M26" i="48"/>
  <c r="M25" i="48"/>
  <c r="J5" i="13"/>
  <c r="J8" i="13"/>
  <c r="C5" i="48"/>
  <c r="C15" i="48" s="1"/>
  <c r="H14" i="22"/>
  <c r="G9" i="48"/>
  <c r="I23" i="48"/>
  <c r="I33" i="48" s="1"/>
  <c r="I15" i="48"/>
  <c r="E13" i="14"/>
  <c r="O8" i="48"/>
  <c r="O26" i="48" s="1"/>
  <c r="E7" i="48"/>
  <c r="I8" i="18"/>
  <c r="C8" i="18"/>
  <c r="D76" i="14"/>
  <c r="P61" i="14"/>
  <c r="N7" i="48"/>
  <c r="N25" i="48" s="1"/>
  <c r="D8" i="48"/>
  <c r="D26" i="48"/>
  <c r="O24" i="14"/>
  <c r="O26" i="14" s="1"/>
  <c r="N19" i="14"/>
  <c r="D18" i="22"/>
  <c r="E50" i="14"/>
  <c r="E52" i="14" s="1"/>
  <c r="J8" i="18"/>
  <c r="J76" i="14"/>
  <c r="J8" i="59" s="1"/>
  <c r="J17" i="18"/>
  <c r="I17" i="18"/>
  <c r="M87" i="14"/>
  <c r="M17" i="59" s="1"/>
  <c r="E20" i="14"/>
  <c r="E22" i="14"/>
  <c r="E27" i="14" s="1"/>
  <c r="E18" i="22"/>
  <c r="F50" i="14" s="1"/>
  <c r="F52" i="14"/>
  <c r="E9" i="48"/>
  <c r="E10" i="14"/>
  <c r="E16" i="14" s="1"/>
  <c r="D5" i="48"/>
  <c r="I76" i="14"/>
  <c r="R18" i="14"/>
  <c r="Q13" i="48"/>
  <c r="I20" i="14"/>
  <c r="I22" i="14"/>
  <c r="I27" i="14" s="1"/>
  <c r="M18" i="22"/>
  <c r="N50" i="14"/>
  <c r="M9" i="48"/>
  <c r="N20" i="14"/>
  <c r="N12" i="13"/>
  <c r="O41" i="14"/>
  <c r="O11" i="14"/>
  <c r="F11" i="14"/>
  <c r="J4" i="48"/>
  <c r="J12" i="13"/>
  <c r="K41" i="14"/>
  <c r="K11" i="14"/>
  <c r="D15" i="48"/>
  <c r="E27" i="48"/>
  <c r="E40" i="14"/>
  <c r="E46" i="14" s="1"/>
  <c r="E61" i="14" s="1"/>
  <c r="D23" i="48"/>
  <c r="D33" i="48" s="1"/>
  <c r="J87" i="14"/>
  <c r="H18" i="22"/>
  <c r="I50" i="14" s="1"/>
  <c r="I52" i="14" s="1"/>
  <c r="I61" i="14" s="1"/>
  <c r="H9" i="48"/>
  <c r="H27" i="48" s="1"/>
  <c r="H33" i="48" s="1"/>
  <c r="M27" i="48"/>
  <c r="J22" i="48"/>
  <c r="J17" i="59"/>
  <c r="I63" i="14"/>
  <c r="E56" i="14"/>
  <c r="E63" i="14"/>
  <c r="I8" i="59" l="1"/>
  <c r="D8" i="59"/>
  <c r="P15" i="48"/>
  <c r="P23" i="48"/>
  <c r="P33" i="48" s="1"/>
  <c r="Q63" i="14"/>
  <c r="N22" i="14"/>
  <c r="N27" i="14" s="1"/>
  <c r="G15" i="48"/>
  <c r="G27" i="48"/>
  <c r="H20" i="14"/>
  <c r="G18" i="22"/>
  <c r="H50" i="14" s="1"/>
  <c r="M10" i="48"/>
  <c r="M28" i="48" s="1"/>
  <c r="M33" i="48" s="1"/>
  <c r="M58" i="22"/>
  <c r="N49" i="14" s="1"/>
  <c r="N52" i="14" s="1"/>
  <c r="N61" i="14" s="1"/>
  <c r="H19" i="14"/>
  <c r="G58" i="22"/>
  <c r="H49" i="14" s="1"/>
  <c r="H52" i="14" s="1"/>
  <c r="H61" i="14" s="1"/>
  <c r="I87" i="14"/>
  <c r="H15" i="48"/>
  <c r="G10" i="48"/>
  <c r="E25" i="48"/>
  <c r="E12" i="17"/>
  <c r="F54" i="14" s="1"/>
  <c r="F56" i="14" s="1"/>
  <c r="F24" i="14"/>
  <c r="O10" i="59"/>
  <c r="N12" i="15"/>
  <c r="E12" i="15"/>
  <c r="F12" i="15"/>
  <c r="J12" i="15"/>
  <c r="C31" i="16"/>
  <c r="B9" i="16"/>
  <c r="B5" i="16" s="1"/>
  <c r="B18" i="16" s="1"/>
  <c r="E76" i="14"/>
  <c r="O8" i="18"/>
  <c r="F76" i="14"/>
  <c r="E4" i="48"/>
  <c r="E12" i="13"/>
  <c r="F41" i="14" s="1"/>
  <c r="C20" i="14"/>
  <c r="B9" i="48"/>
  <c r="N12" i="16"/>
  <c r="J12" i="16"/>
  <c r="P10" i="14"/>
  <c r="P16" i="14" s="1"/>
  <c r="P27" i="14" s="1"/>
  <c r="P63" i="14" s="1"/>
  <c r="O5" i="48"/>
  <c r="C29" i="15"/>
  <c r="B9" i="15"/>
  <c r="B5" i="15" s="1"/>
  <c r="B16" i="15" s="1"/>
  <c r="L63" i="14"/>
  <c r="F12" i="13"/>
  <c r="G41" i="14" s="1"/>
  <c r="G11" i="14"/>
  <c r="R11" i="14" s="1"/>
  <c r="F4" i="48"/>
  <c r="B88" i="14"/>
  <c r="B18" i="59" s="1"/>
  <c r="H90" i="14"/>
  <c r="H18" i="59"/>
  <c r="H20" i="59" s="1"/>
  <c r="M8" i="59"/>
  <c r="J12" i="17"/>
  <c r="K54" i="14" s="1"/>
  <c r="K56" i="14" s="1"/>
  <c r="J7" i="48"/>
  <c r="J25" i="48" s="1"/>
  <c r="K24" i="14"/>
  <c r="K26" i="14" s="1"/>
  <c r="E6" i="15"/>
  <c r="F6" i="15"/>
  <c r="N18" i="59"/>
  <c r="L13" i="15"/>
  <c r="L16" i="15" s="1"/>
  <c r="C56" i="18"/>
  <c r="B9" i="18"/>
  <c r="K8" i="59"/>
  <c r="K10" i="59" s="1"/>
  <c r="K78" i="14"/>
  <c r="L18" i="59"/>
  <c r="L20" i="59" s="1"/>
  <c r="L90" i="14"/>
  <c r="N89" i="14"/>
  <c r="K20" i="18"/>
  <c r="K90" i="14"/>
  <c r="K20" i="59"/>
  <c r="F7" i="48"/>
  <c r="F25" i="48" s="1"/>
  <c r="J6" i="15"/>
  <c r="J15" i="16"/>
  <c r="N10" i="59"/>
  <c r="G20" i="59"/>
  <c r="J7" i="15"/>
  <c r="E7" i="15"/>
  <c r="E10" i="15"/>
  <c r="F10" i="15"/>
  <c r="J10" i="16"/>
  <c r="E10" i="16"/>
  <c r="D13" i="14"/>
  <c r="D16" i="14" s="1"/>
  <c r="D27" i="14" s="1"/>
  <c r="B20" i="6" s="1"/>
  <c r="Q88" i="14"/>
  <c r="P18" i="59" s="1"/>
  <c r="G90" i="14"/>
  <c r="E11" i="16"/>
  <c r="J11" i="15"/>
  <c r="N8" i="15"/>
  <c r="E8" i="15"/>
  <c r="E11" i="15"/>
  <c r="N8" i="16"/>
  <c r="E8" i="16"/>
  <c r="F11" i="16"/>
  <c r="O18" i="18"/>
  <c r="L6" i="17"/>
  <c r="L5" i="17" s="1"/>
  <c r="L8" i="17" s="1"/>
  <c r="J51" i="18"/>
  <c r="D17" i="18" s="1"/>
  <c r="B51" i="18"/>
  <c r="C17" i="18" s="1"/>
  <c r="B33" i="13"/>
  <c r="B56" i="18"/>
  <c r="C10" i="14" l="1"/>
  <c r="B5" i="48"/>
  <c r="N20" i="59"/>
  <c r="E87" i="14"/>
  <c r="N5" i="15"/>
  <c r="N16" i="15" s="1"/>
  <c r="D59" i="18"/>
  <c r="H59" i="18"/>
  <c r="J9" i="18" s="1"/>
  <c r="E59" i="18"/>
  <c r="E9" i="18" s="1"/>
  <c r="I59" i="18"/>
  <c r="H9" i="18" s="1"/>
  <c r="F59" i="18"/>
  <c r="J59" i="18"/>
  <c r="D9" i="18" s="1"/>
  <c r="B59" i="18"/>
  <c r="C9" i="18" s="1"/>
  <c r="C59" i="18"/>
  <c r="G59" i="18"/>
  <c r="I9" i="18" s="1"/>
  <c r="C22" i="14"/>
  <c r="R20" i="14"/>
  <c r="F8" i="59"/>
  <c r="H63" i="14"/>
  <c r="D60" i="18"/>
  <c r="G60" i="18"/>
  <c r="I19" i="18" s="1"/>
  <c r="I60" i="18"/>
  <c r="H19" i="18" s="1"/>
  <c r="B60" i="18"/>
  <c r="C19" i="18" s="1"/>
  <c r="E60" i="18"/>
  <c r="E19" i="18" s="1"/>
  <c r="H60" i="18"/>
  <c r="J19" i="18" s="1"/>
  <c r="J60" i="18"/>
  <c r="D19" i="18" s="1"/>
  <c r="E89" i="14" s="1"/>
  <c r="E19" i="59" s="1"/>
  <c r="C60" i="18"/>
  <c r="F60" i="18"/>
  <c r="L12" i="17"/>
  <c r="M54" i="14" s="1"/>
  <c r="M56" i="14" s="1"/>
  <c r="M24" i="14"/>
  <c r="M26" i="14" s="1"/>
  <c r="L7" i="48"/>
  <c r="L25" i="48" s="1"/>
  <c r="M10" i="14"/>
  <c r="M16" i="14" s="1"/>
  <c r="M27" i="14" s="1"/>
  <c r="L5" i="48"/>
  <c r="L20" i="15"/>
  <c r="M40" i="14" s="1"/>
  <c r="M46" i="14" s="1"/>
  <c r="J9" i="15"/>
  <c r="J5" i="15" s="1"/>
  <c r="J16" i="15" s="1"/>
  <c r="N9" i="15"/>
  <c r="F9" i="15"/>
  <c r="E9" i="15"/>
  <c r="E5" i="15" s="1"/>
  <c r="E16" i="15" s="1"/>
  <c r="E8" i="59"/>
  <c r="F26" i="14"/>
  <c r="G28" i="48"/>
  <c r="G33" i="48" s="1"/>
  <c r="Q10" i="48"/>
  <c r="R19" i="14"/>
  <c r="R22" i="14" s="1"/>
  <c r="H22" i="14"/>
  <c r="H27" i="14" s="1"/>
  <c r="B76" i="14"/>
  <c r="N19" i="59"/>
  <c r="N90" i="14"/>
  <c r="F22" i="48"/>
  <c r="Q4" i="48"/>
  <c r="E22" i="48"/>
  <c r="M15" i="48"/>
  <c r="C13" i="14"/>
  <c r="B8" i="48"/>
  <c r="D87" i="14"/>
  <c r="C20" i="18"/>
  <c r="O17" i="18"/>
  <c r="B10" i="18"/>
  <c r="F5" i="15"/>
  <c r="F16" i="15" s="1"/>
  <c r="O23" i="48"/>
  <c r="O33" i="48" s="1"/>
  <c r="O15" i="48"/>
  <c r="Q9" i="48"/>
  <c r="F9" i="16"/>
  <c r="F5" i="16" s="1"/>
  <c r="F18" i="16" s="1"/>
  <c r="N9" i="16"/>
  <c r="N5" i="16" s="1"/>
  <c r="N18" i="16" s="1"/>
  <c r="J9" i="16"/>
  <c r="J5" i="16" s="1"/>
  <c r="J18" i="16" s="1"/>
  <c r="E9" i="16"/>
  <c r="E5" i="16" s="1"/>
  <c r="E18" i="16" s="1"/>
  <c r="Q7" i="48"/>
  <c r="C76" i="14"/>
  <c r="B87" i="14"/>
  <c r="I17" i="59"/>
  <c r="N63" i="14"/>
  <c r="Q76" i="14"/>
  <c r="N8" i="48" l="1"/>
  <c r="N26" i="48" s="1"/>
  <c r="O13" i="14"/>
  <c r="N22" i="16"/>
  <c r="O43" i="14" s="1"/>
  <c r="K10" i="14"/>
  <c r="K16" i="14" s="1"/>
  <c r="K27" i="14" s="1"/>
  <c r="J5" i="48"/>
  <c r="J20" i="15"/>
  <c r="K40" i="14" s="1"/>
  <c r="K46" i="14" s="1"/>
  <c r="K61" i="14" s="1"/>
  <c r="E8" i="48"/>
  <c r="E26" i="48" s="1"/>
  <c r="E22" i="16"/>
  <c r="F43" i="14" s="1"/>
  <c r="F13" i="14"/>
  <c r="F10" i="14"/>
  <c r="F16" i="14" s="1"/>
  <c r="F27" i="14" s="1"/>
  <c r="E5" i="48"/>
  <c r="E20" i="15"/>
  <c r="F40" i="14" s="1"/>
  <c r="P8" i="59"/>
  <c r="B17" i="59"/>
  <c r="J22" i="16"/>
  <c r="K43" i="14" s="1"/>
  <c r="K13" i="14"/>
  <c r="J8" i="48"/>
  <c r="J26" i="48" s="1"/>
  <c r="F5" i="48"/>
  <c r="F20" i="15"/>
  <c r="G40" i="14" s="1"/>
  <c r="G10" i="14"/>
  <c r="R24" i="14"/>
  <c r="R26" i="14" s="1"/>
  <c r="J89" i="14"/>
  <c r="J20" i="18"/>
  <c r="I89" i="14"/>
  <c r="I20" i="18"/>
  <c r="E77" i="14"/>
  <c r="D10" i="18"/>
  <c r="J77" i="14"/>
  <c r="J10" i="18"/>
  <c r="B8" i="59"/>
  <c r="N20" i="15"/>
  <c r="O40" i="14" s="1"/>
  <c r="O46" i="14" s="1"/>
  <c r="O61" i="14" s="1"/>
  <c r="N5" i="48"/>
  <c r="O10" i="14"/>
  <c r="O16" i="14" s="1"/>
  <c r="O27" i="14" s="1"/>
  <c r="C8" i="59"/>
  <c r="M61" i="14"/>
  <c r="M63" i="14" s="1"/>
  <c r="F89" i="14"/>
  <c r="E20" i="18"/>
  <c r="I77" i="14"/>
  <c r="I10" i="18"/>
  <c r="D20" i="18"/>
  <c r="Q5" i="48"/>
  <c r="B15" i="48"/>
  <c r="M89" i="14"/>
  <c r="H20" i="18"/>
  <c r="O9" i="18"/>
  <c r="O10" i="18" s="1"/>
  <c r="D77" i="14"/>
  <c r="C10" i="18"/>
  <c r="F77" i="14"/>
  <c r="E10" i="18"/>
  <c r="F22" i="16"/>
  <c r="G43" i="14" s="1"/>
  <c r="G13" i="14"/>
  <c r="F8" i="48"/>
  <c r="F26" i="48" s="1"/>
  <c r="D17" i="59"/>
  <c r="Q87" i="14"/>
  <c r="C87" i="14"/>
  <c r="R13" i="14"/>
  <c r="L23" i="48"/>
  <c r="L33" i="48" s="1"/>
  <c r="L15" i="48"/>
  <c r="D89" i="14"/>
  <c r="D90" i="14" s="1"/>
  <c r="O19" i="18"/>
  <c r="O20" i="18" s="1"/>
  <c r="M77" i="14"/>
  <c r="H10" i="18"/>
  <c r="E90" i="14"/>
  <c r="E17" i="59"/>
  <c r="E20" i="59" s="1"/>
  <c r="R10" i="14"/>
  <c r="C16" i="14"/>
  <c r="C27" i="14" s="1"/>
  <c r="B3" i="6" s="1"/>
  <c r="D9" i="59" l="1"/>
  <c r="D10" i="59" s="1"/>
  <c r="Q77" i="14"/>
  <c r="D78" i="14"/>
  <c r="C77" i="14"/>
  <c r="J9" i="59"/>
  <c r="J10" i="59" s="1"/>
  <c r="J78" i="14"/>
  <c r="F23" i="48"/>
  <c r="F33" i="48" s="1"/>
  <c r="F15" i="48"/>
  <c r="F46" i="14"/>
  <c r="F61" i="14" s="1"/>
  <c r="F63" i="14" s="1"/>
  <c r="C17" i="59"/>
  <c r="F19" i="59"/>
  <c r="F20" i="59" s="1"/>
  <c r="F90" i="14"/>
  <c r="Q8" i="48"/>
  <c r="Q15" i="48" s="1"/>
  <c r="I19" i="59"/>
  <c r="I20" i="59" s="1"/>
  <c r="B89" i="14"/>
  <c r="I90" i="14"/>
  <c r="E23" i="48"/>
  <c r="E33" i="48" s="1"/>
  <c r="E15" i="48"/>
  <c r="R16" i="14"/>
  <c r="R27" i="14" s="1"/>
  <c r="M9" i="59"/>
  <c r="M10" i="59" s="1"/>
  <c r="M78" i="14"/>
  <c r="F9" i="59"/>
  <c r="F10" i="59" s="1"/>
  <c r="F78" i="14"/>
  <c r="N23" i="48"/>
  <c r="N33" i="48" s="1"/>
  <c r="N15" i="48"/>
  <c r="E9" i="59"/>
  <c r="E10" i="59" s="1"/>
  <c r="E78" i="14"/>
  <c r="G16" i="14"/>
  <c r="G27" i="14" s="1"/>
  <c r="K63" i="14"/>
  <c r="D19" i="59"/>
  <c r="D20" i="59" s="1"/>
  <c r="Q89" i="14"/>
  <c r="P19" i="59" s="1"/>
  <c r="C89" i="14"/>
  <c r="C19" i="59" s="1"/>
  <c r="M19" i="59"/>
  <c r="M20" i="59" s="1"/>
  <c r="M90" i="14"/>
  <c r="P17" i="59"/>
  <c r="I9" i="59"/>
  <c r="I10" i="59" s="1"/>
  <c r="I78" i="14"/>
  <c r="B77" i="14"/>
  <c r="O63" i="14"/>
  <c r="J19" i="59"/>
  <c r="J20" i="59" s="1"/>
  <c r="J90" i="14"/>
  <c r="G46" i="14"/>
  <c r="G61" i="14" s="1"/>
  <c r="G63" i="14" s="1"/>
  <c r="J23" i="48"/>
  <c r="J33" i="48" s="1"/>
  <c r="J15" i="48"/>
  <c r="B9" i="59" l="1"/>
  <c r="B10" i="59" s="1"/>
  <c r="B78" i="14"/>
  <c r="B4" i="6" s="1"/>
  <c r="B12" i="6" s="1"/>
  <c r="Q90" i="14"/>
  <c r="B17" i="6" s="1"/>
  <c r="B22" i="6" s="1"/>
  <c r="P9" i="59"/>
  <c r="P10" i="59" s="1"/>
  <c r="Q78" i="14"/>
  <c r="B9" i="6" s="1"/>
  <c r="B19" i="59"/>
  <c r="B20" i="59" s="1"/>
  <c r="B90" i="14"/>
  <c r="P20" i="59"/>
  <c r="C20" i="59"/>
  <c r="C9" i="59"/>
  <c r="C10" i="59" s="1"/>
  <c r="C78" i="14"/>
  <c r="C90" i="14"/>
  <c r="C22" i="59" l="1"/>
  <c r="C10" i="13"/>
  <c r="C18" i="15"/>
  <c r="C20" i="15" s="1"/>
  <c r="D40" i="14" s="1"/>
  <c r="C29" i="20"/>
  <c r="C16" i="22"/>
  <c r="C10" i="17"/>
  <c r="C12" i="17" s="1"/>
  <c r="D54" i="14" s="1"/>
  <c r="D56" i="14" s="1"/>
  <c r="C17" i="49"/>
  <c r="C17" i="19"/>
  <c r="C19" i="19" s="1"/>
  <c r="D39" i="14" s="1"/>
  <c r="C56" i="22"/>
  <c r="C58" i="22" s="1"/>
  <c r="D49" i="14" s="1"/>
  <c r="D52" i="14" s="1"/>
  <c r="C20" i="16"/>
  <c r="C22" i="16" s="1"/>
  <c r="D43" i="14" s="1"/>
  <c r="B18" i="15"/>
  <c r="B20" i="15" s="1"/>
  <c r="B56" i="22"/>
  <c r="B58" i="22" s="1"/>
  <c r="C49" i="14" s="1"/>
  <c r="R49" i="14" s="1"/>
  <c r="B20" i="16"/>
  <c r="B22" i="16" s="1"/>
  <c r="C43" i="14" s="1"/>
  <c r="B10" i="13"/>
  <c r="C55" i="14"/>
  <c r="R55" i="14" s="1"/>
  <c r="B10" i="9"/>
  <c r="B12" i="9" s="1"/>
  <c r="C12" i="59"/>
  <c r="B17" i="19"/>
  <c r="B19" i="19" s="1"/>
  <c r="C39" i="14" s="1"/>
  <c r="B10" i="17"/>
  <c r="B12" i="17" s="1"/>
  <c r="C54" i="14" s="1"/>
  <c r="B17" i="49"/>
  <c r="B19" i="49" s="1"/>
  <c r="C42" i="14" s="1"/>
  <c r="R42" i="14" s="1"/>
  <c r="B29" i="20"/>
  <c r="B31" i="20" s="1"/>
  <c r="C48" i="14" s="1"/>
  <c r="B16" i="22"/>
  <c r="B18" i="22" s="1"/>
  <c r="C50" i="14" s="1"/>
  <c r="R50" i="14" s="1"/>
  <c r="C56" i="14" l="1"/>
  <c r="R54" i="14"/>
  <c r="R56" i="14" s="1"/>
  <c r="C40" i="14"/>
  <c r="R40" i="14" s="1"/>
  <c r="R39" i="14"/>
  <c r="B12" i="13"/>
  <c r="C41" i="14" s="1"/>
  <c r="R41" i="14" s="1"/>
  <c r="B17" i="48"/>
  <c r="C12" i="13"/>
  <c r="D41" i="14" s="1"/>
  <c r="D46" i="14" s="1"/>
  <c r="D61" i="14" s="1"/>
  <c r="D63" i="14" s="1"/>
  <c r="C17" i="48"/>
  <c r="R48" i="14"/>
  <c r="R52" i="14" s="1"/>
  <c r="C52" i="14"/>
  <c r="R43" i="14"/>
  <c r="B32" i="48" l="1"/>
  <c r="B31" i="48"/>
  <c r="B24" i="48"/>
  <c r="B25" i="48"/>
  <c r="Q25" i="48" s="1"/>
  <c r="B30" i="48"/>
  <c r="B29" i="48"/>
  <c r="Q29" i="48" s="1"/>
  <c r="B28" i="48"/>
  <c r="B22" i="48"/>
  <c r="B27" i="48"/>
  <c r="B26" i="48"/>
  <c r="B23" i="48"/>
  <c r="C24" i="48"/>
  <c r="C29" i="48"/>
  <c r="C26" i="48"/>
  <c r="C28" i="48"/>
  <c r="C32" i="48"/>
  <c r="C22" i="48"/>
  <c r="C30" i="48"/>
  <c r="C25" i="48"/>
  <c r="C23" i="48"/>
  <c r="C31" i="48"/>
  <c r="C27" i="48"/>
  <c r="C46" i="14"/>
  <c r="C61" i="14" s="1"/>
  <c r="C63" i="14" s="1"/>
  <c r="R46" i="14"/>
  <c r="R61" i="14" s="1"/>
  <c r="Q23" i="48" l="1"/>
  <c r="Q28" i="48"/>
  <c r="Q24" i="48"/>
  <c r="Q31" i="48"/>
  <c r="Q22" i="48"/>
  <c r="B33" i="48"/>
  <c r="Q26" i="48"/>
  <c r="C33" i="48"/>
  <c r="Q27" i="48"/>
  <c r="Q30" i="48"/>
  <c r="Q32"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<sst xmlns="http://schemas.openxmlformats.org/spreadsheetml/2006/main" count="2343" uniqueCount="831">
  <si>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</si>
  <si>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</si>
  <si>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</si>
  <si>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</si>
  <si>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</si>
  <si>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</si>
  <si>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</si>
  <si>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</si>
  <si>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</si>
  <si>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</si>
  <si>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</si>
  <si>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</si>
  <si>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</si>
  <si>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</si>
  <si>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</si>
  <si>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</si>
  <si>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</si>
  <si>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</si>
  <si>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</si>
  <si>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</si>
  <si>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</si>
  <si>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</si>
  <si>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</si>
  <si>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</si>
  <si>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</si>
  <si>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</si>
  <si>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</si>
  <si>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</si>
  <si>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</si>
  <si>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</si>
  <si>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</si>
  <si>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</si>
  <si>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</si>
  <si>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</si>
  <si>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</si>
  <si>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</si>
  <si>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</si>
  <si>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</si>
  <si>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</si>
  <si>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</si>
  <si>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</si>
  <si>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</si>
  <si>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</si>
  <si>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</si>
  <si>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</si>
  <si>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</si>
  <si>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</si>
  <si>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</si>
  <si>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</si>
  <si>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</si>
  <si>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</si>
  <si>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</si>
  <si>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</si>
  <si>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</si>
  <si>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</si>
  <si>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</si>
  <si>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</si>
  <si>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</si>
  <si>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</si>
  <si>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</si>
  <si>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</si>
  <si>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</si>
  <si>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</si>
  <si>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</si>
  <si>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</si>
  <si>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</si>
  <si>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</si>
  <si>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</si>
  <si>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</si>
  <si>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</si>
  <si>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</si>
  <si>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</si>
  <si>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</si>
  <si>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</si>
  <si>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</si>
  <si>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</si>
  <si>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</si>
  <si>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</si>
  <si>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</si>
  <si>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</si>
  <si>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</si>
  <si>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</si>
  <si>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</si>
  <si>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</si>
  <si>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</si>
  <si>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</si>
  <si>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</si>
  <si>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</si>
  <si>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</si>
  <si>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</si>
  <si>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</si>
  <si>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</si>
  <si>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</si>
  <si>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</si>
  <si>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</si>
  <si>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</si>
  <si>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</si>
  <si>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</si>
  <si>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</si>
  <si>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</si>
  <si>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</si>
  <si>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</si>
  <si>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</si>
  <si>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</si>
  <si>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</si>
  <si>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</si>
  <si>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</si>
  <si>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</si>
  <si>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</si>
  <si>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</si>
  <si>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</si>
  <si>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</si>
  <si>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</si>
  <si>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</si>
  <si>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</si>
  <si>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</si>
  <si>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</si>
  <si>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</si>
  <si>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</si>
  <si>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</si>
  <si>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</si>
  <si>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</si>
  <si>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</si>
  <si>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</si>
  <si>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</si>
  <si>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</si>
  <si>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</si>
  <si>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</si>
  <si>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</si>
  <si>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</si>
  <si>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</si>
  <si>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</si>
  <si>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</si>
  <si>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</si>
  <si>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</si>
  <si>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</si>
  <si>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</si>
  <si>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</si>
  <si>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</si>
  <si>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</si>
  <si>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</si>
  <si>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</si>
  <si>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</si>
  <si>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</si>
  <si>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</si>
  <si>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</si>
  <si>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</si>
  <si>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</si>
  <si>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</si>
  <si>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</si>
  <si>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</si>
  <si>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</si>
  <si>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</si>
  <si>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</si>
  <si>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</si>
  <si>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</si>
  <si>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</si>
  <si>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</si>
  <si>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</si>
  <si>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</si>
  <si>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</si>
  <si>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</si>
  <si>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</si>
  <si>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</si>
  <si>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</si>
  <si>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</si>
  <si>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</si>
  <si>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</si>
  <si>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</si>
  <si>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</si>
  <si>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</si>
  <si>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</si>
  <si>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</si>
  <si>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</si>
  <si>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</si>
  <si>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</si>
  <si>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</si>
  <si>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</si>
  <si>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</si>
  <si>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</si>
  <si>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</si>
  <si>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</si>
  <si>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</si>
  <si>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</si>
  <si>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</si>
  <si>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</si>
  <si>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</si>
  <si>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</si>
  <si>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</si>
  <si>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</si>
  <si>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</si>
  <si>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</si>
  <si>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</si>
  <si>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</si>
  <si>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</si>
  <si>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</si>
  <si>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</si>
  <si>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</si>
  <si>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</si>
  <si>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</si>
  <si>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</si>
  <si>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</si>
  <si>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</si>
  <si>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</si>
  <si>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</si>
  <si>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</si>
  <si>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</si>
  <si>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</si>
  <si>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</si>
  <si>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</si>
  <si>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</si>
  <si>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</si>
  <si>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</si>
  <si>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</si>
  <si>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</si>
  <si>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</si>
  <si>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</si>
  <si>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</si>
  <si>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</si>
  <si>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</si>
  <si>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</si>
  <si>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</si>
  <si>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</si>
  <si>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</si>
  <si>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</si>
  <si>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</si>
  <si>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</si>
  <si>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</si>
  <si>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</si>
  <si>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</si>
  <si>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</si>
  <si>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</si>
  <si>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</si>
  <si>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</si>
  <si>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</si>
  <si>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</si>
  <si>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</si>
  <si>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</si>
  <si>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</si>
  <si>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</si>
  <si>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</si>
  <si>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</si>
  <si>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</si>
  <si>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</si>
  <si>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</si>
  <si>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</si>
  <si>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</si>
  <si>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</si>
  <si>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</si>
  <si>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</si>
  <si>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</si>
  <si>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</si>
  <si>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</si>
  <si>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</si>
  <si>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</si>
  <si>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</si>
  <si>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</si>
  <si>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</si>
  <si>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</si>
  <si>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</si>
  <si>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</si>
  <si>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</si>
  <si>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</si>
  <si>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</si>
  <si>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</si>
  <si>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</si>
  <si>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</si>
  <si>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</si>
  <si>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</si>
  <si>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</si>
  <si>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</si>
  <si>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</si>
  <si>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</si>
  <si>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</si>
  <si>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</si>
  <si>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</si>
  <si>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</si>
  <si>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</si>
  <si>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</si>
  <si>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</si>
  <si>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</si>
  <si>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</si>
  <si>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</si>
  <si>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</si>
  <si>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</si>
  <si>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</si>
  <si>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</si>
  <si>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</si>
  <si>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</si>
  <si>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</si>
  <si>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</si>
  <si>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</si>
  <si>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</si>
  <si>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</si>
  <si>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</si>
  <si>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</si>
  <si>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</si>
  <si>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</si>
  <si>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</si>
  <si>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</si>
  <si>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</si>
  <si>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</si>
  <si>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</si>
  <si>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</si>
  <si>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</si>
  <si>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</si>
  <si>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</si>
  <si>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</si>
  <si>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</si>
  <si>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</si>
  <si>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</si>
  <si>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</si>
  <si>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</si>
  <si>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</si>
  <si>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</si>
  <si>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</si>
  <si>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</si>
  <si>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</si>
  <si>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</si>
  <si>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</si>
  <si>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</si>
  <si>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</si>
  <si>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</si>
  <si>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</si>
  <si>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</si>
  <si>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</si>
  <si>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</si>
  <si>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</si>
  <si>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</si>
  <si>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</si>
  <si>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</si>
  <si>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</si>
  <si>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</si>
  <si>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</si>
  <si>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</si>
  <si>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</si>
  <si>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</si>
  <si>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</si>
  <si>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</si>
  <si>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</si>
  <si>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</si>
  <si>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</si>
  <si>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</si>
  <si>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</si>
  <si>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</si>
  <si>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</si>
  <si>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</si>
  <si>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</si>
  <si>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</si>
  <si>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</si>
  <si>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</si>
  <si>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</si>
  <si>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</si>
  <si>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</si>
  <si>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</si>
  <si>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</si>
  <si>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</si>
  <si>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</si>
  <si>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</si>
  <si>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</si>
  <si>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</si>
  <si>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</si>
  <si>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</si>
  <si>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</si>
  <si>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</si>
  <si>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</si>
  <si>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</si>
  <si>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</si>
  <si>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</si>
  <si>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</si>
  <si>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</si>
  <si>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</si>
  <si>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</si>
  <si>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</si>
  <si>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</si>
  <si>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</si>
  <si>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</si>
  <si>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</si>
  <si>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</si>
  <si>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</si>
  <si>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</si>
  <si>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</si>
  <si>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</si>
  <si>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</si>
  <si>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</si>
  <si>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</si>
  <si>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</si>
  <si>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</si>
  <si>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</si>
  <si>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</si>
  <si>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</si>
  <si>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</si>
  <si>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</si>
  <si>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</si>
  <si>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</si>
  <si>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</si>
  <si>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</si>
  <si>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</si>
  <si>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</si>
  <si>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</si>
  <si>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</si>
  <si>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</si>
  <si>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</si>
  <si>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</si>
  <si>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</si>
  <si>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</si>
  <si>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</si>
  <si>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</si>
  <si>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</si>
  <si>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</si>
  <si>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</si>
  <si>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</si>
  <si>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</si>
  <si>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</si>
  <si>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</si>
  <si>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</si>
  <si>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</si>
  <si>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</si>
  <si>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</si>
  <si>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</si>
  <si>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</si>
  <si>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</si>
  <si>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</si>
  <si>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</si>
  <si>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</si>
  <si>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</si>
  <si>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</si>
  <si>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</si>
  <si>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</si>
  <si>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</si>
  <si>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</si>
  <si>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</si>
  <si>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</si>
  <si>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</si>
  <si>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</si>
  <si>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</si>
  <si>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</si>
  <si>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</si>
  <si>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</si>
  <si>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</si>
  <si>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</si>
  <si>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</si>
  <si>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</si>
  <si>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</si>
  <si>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</si>
  <si>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</si>
  <si>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</si>
  <si>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</si>
  <si>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</si>
  <si>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</si>
  <si>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</si>
  <si>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</si>
  <si>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</si>
  <si>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</si>
  <si>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</si>
  <si>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</si>
  <si>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</si>
  <si>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</si>
  <si>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</si>
  <si>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</si>
  <si>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</si>
  <si>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</si>
  <si>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</si>
  <si>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</si>
  <si>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</si>
  <si>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</si>
  <si>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</si>
  <si>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</si>
  <si>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</si>
  <si>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</si>
  <si>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</si>
  <si>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</si>
  <si>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</si>
  <si>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</si>
  <si>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</si>
  <si>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</si>
  <si>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</si>
  <si>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</si>
  <si>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</si>
  <si>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</si>
  <si>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</si>
  <si>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</si>
  <si>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</si>
  <si>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</si>
  <si>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</si>
  <si>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</si>
  <si>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</si>
  <si>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</si>
  <si>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</si>
  <si>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</si>
  <si>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</si>
  <si>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</si>
  <si>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</si>
  <si>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</si>
  <si>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</si>
  <si>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</si>
  <si>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</si>
  <si>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</si>
  <si>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</si>
  <si>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</si>
  <si>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</si>
  <si>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</si>
  <si>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</si>
  <si>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</si>
  <si>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</si>
  <si>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</si>
  <si>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</si>
  <si>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</si>
  <si>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</si>
  <si>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71022</t>
  </si>
  <si>
    <t>HASSELT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</si>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</sst>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642F949-157C-4AEE-82CB-154888B82B7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619229.10875313729</c:v>
                </c:pt>
                <c:pt idx="1">
                  <c:v>403519.72485930874</c:v>
                </c:pt>
                <c:pt idx="2">
                  <c:v>4348.1163544519495</c:v>
                </c:pt>
                <c:pt idx="3">
                  <c:v>9036.5130177131396</c:v>
                </c:pt>
                <c:pt idx="4">
                  <c:v>132515.83230782393</c:v>
                </c:pt>
                <c:pt idx="5">
                  <c:v>638798.66391575779</c:v>
                </c:pt>
                <c:pt idx="6">
                  <c:v>14913.897618376184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619229.10875313729</c:v>
                </c:pt>
                <c:pt idx="1">
                  <c:v>403519.72485930874</c:v>
                </c:pt>
                <c:pt idx="2">
                  <c:v>4348.1163544519495</c:v>
                </c:pt>
                <c:pt idx="3">
                  <c:v>9036.5130177131396</c:v>
                </c:pt>
                <c:pt idx="4">
                  <c:v>132515.83230782393</c:v>
                </c:pt>
                <c:pt idx="5">
                  <c:v>638798.66391575779</c:v>
                </c:pt>
                <c:pt idx="6">
                  <c:v>14913.897618376184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122914.17181562354</c:v>
                </c:pt>
                <c:pt idx="1">
                  <c:v>79819.82902149552</c:v>
                </c:pt>
                <c:pt idx="2">
                  <c:v>805.07953454468418</c:v>
                </c:pt>
                <c:pt idx="3">
                  <c:v>2242.5370222693405</c:v>
                </c:pt>
                <c:pt idx="4">
                  <c:v>26186.348410067414</c:v>
                </c:pt>
                <c:pt idx="5">
                  <c:v>151333.28042839895</c:v>
                </c:pt>
                <c:pt idx="6">
                  <c:v>3563.5745695425057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122914.17181562354</c:v>
                </c:pt>
                <c:pt idx="1">
                  <c:v>79819.82902149552</c:v>
                </c:pt>
                <c:pt idx="2">
                  <c:v>805.07953454468418</c:v>
                </c:pt>
                <c:pt idx="3">
                  <c:v>2242.5370222693405</c:v>
                </c:pt>
                <c:pt idx="4">
                  <c:v>26186.348410067414</c:v>
                </c:pt>
                <c:pt idx="5">
                  <c:v>151333.28042839895</c:v>
                </c:pt>
                <c:pt idx="6">
                  <c:v>3563.5745695425057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585</v>
      </c>
      <c r="B2" s="384"/>
      <c r="C2" s="385"/>
    </row>
    <row r="3" spans="1:7" s="11" customFormat="1" ht="15" customHeight="1">
      <c r="A3" s="93"/>
      <c r="B3" s="74"/>
      <c r="C3" s="94"/>
    </row>
    <row r="4" spans="1:7" s="11" customFormat="1" ht="15.75" customHeight="1" thickBot="1">
      <c r="A4" s="105" t="s">
        <v>749</v>
      </c>
      <c r="B4" s="106"/>
      <c r="C4" s="107"/>
    </row>
    <row r="5" spans="1:7" s="378" customFormat="1" ht="15.75" customHeight="1">
      <c r="A5" s="375" t="s">
        <v>0</v>
      </c>
      <c r="B5" s="376"/>
      <c r="C5" s="377"/>
    </row>
    <row r="6" spans="1:7" s="378" customFormat="1" ht="15" customHeight="1">
      <c r="A6" s="379" t="str">
        <f>txtNIS</f>
        <v>71022</v>
      </c>
      <c r="B6" s="380"/>
      <c r="C6" s="381"/>
    </row>
    <row r="7" spans="1:7" s="378" customFormat="1" ht="15.75" customHeight="1">
      <c r="A7" s="382" t="str">
        <f>txtMunicipality</f>
        <v>HASSELT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744</v>
      </c>
      <c r="B10" s="1037"/>
      <c r="C10" s="1038"/>
    </row>
    <row r="11" spans="1:7" s="372" customFormat="1" ht="15.75" thickBot="1">
      <c r="A11" s="395" t="s">
        <v>344</v>
      </c>
      <c r="B11" s="398"/>
      <c r="C11" s="399"/>
      <c r="G11" s="373"/>
    </row>
    <row r="12" spans="1:7">
      <c r="A12" s="44"/>
      <c r="B12" s="43"/>
      <c r="C12" s="96"/>
    </row>
    <row r="13" spans="1:7" s="372" customFormat="1">
      <c r="A13" s="724" t="s">
        <v>553</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745</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534</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537</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545</v>
      </c>
      <c r="B17" s="492">
        <f ca="1">'EF ele_warmte'!B12</f>
        <v>0.18515593165311212</v>
      </c>
      <c r="C17" s="492">
        <f ca="1">'EF ele_warmte'!B22</f>
        <v>0.22779220181341614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537</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543</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545</v>
      </c>
      <c r="B29" s="493">
        <f ca="1">'EF ele_warmte'!B12</f>
        <v>0.18515593165311212</v>
      </c>
      <c r="C29" s="493">
        <f ca="1">'EF ele_warmte'!B22</f>
        <v>0.22779220181341614</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525</v>
      </c>
      <c r="B10" s="495"/>
      <c r="C10" s="140" t="s">
        <v>175</v>
      </c>
      <c r="D10" s="143" t="s">
        <v>372</v>
      </c>
      <c r="I10" s="1160"/>
      <c r="K10" s="58"/>
    </row>
    <row r="11" spans="1:11" s="43" customFormat="1">
      <c r="A11" s="44" t="s">
        <v>526</v>
      </c>
      <c r="B11" s="48"/>
      <c r="D11" s="141" t="s">
        <v>373</v>
      </c>
      <c r="I11" s="1160"/>
      <c r="K11" s="58"/>
    </row>
    <row r="12" spans="1:11" s="43" customFormat="1">
      <c r="A12" s="44" t="s">
        <v>527</v>
      </c>
      <c r="B12" s="48"/>
      <c r="D12" s="141" t="s">
        <v>373</v>
      </c>
      <c r="I12" s="1160"/>
      <c r="K12" s="58"/>
    </row>
    <row r="13" spans="1:11" s="43" customFormat="1">
      <c r="A13" s="44"/>
      <c r="B13" s="48"/>
      <c r="D13" s="96"/>
      <c r="I13" s="1160"/>
    </row>
    <row r="14" spans="1:11" s="43" customFormat="1">
      <c r="A14" s="295" t="s">
        <v>524</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814</v>
      </c>
      <c r="B25" s="48"/>
      <c r="C25" s="43"/>
      <c r="D25" s="141"/>
      <c r="I25" s="58"/>
      <c r="J25" s="58"/>
      <c r="K25" s="58"/>
    </row>
    <row r="26" spans="1:11" ht="21.75" thickBot="1">
      <c r="A26" s="185" t="s">
        <v>535</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525</v>
      </c>
      <c r="B31" s="495"/>
      <c r="C31" s="140" t="s">
        <v>175</v>
      </c>
      <c r="D31" s="143" t="s">
        <v>372</v>
      </c>
    </row>
    <row r="32" spans="1:11">
      <c r="A32" s="432" t="s">
        <v>526</v>
      </c>
      <c r="B32" s="48"/>
      <c r="C32" s="48"/>
      <c r="D32" s="141" t="s">
        <v>373</v>
      </c>
    </row>
    <row r="33" spans="1:11">
      <c r="A33" s="44"/>
      <c r="B33" s="48"/>
      <c r="C33" s="48"/>
      <c r="D33" s="141"/>
    </row>
    <row r="34" spans="1:11" s="43" customFormat="1">
      <c r="A34" s="295" t="s">
        <v>524</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641</v>
      </c>
      <c r="B45" s="48"/>
      <c r="C45" s="43"/>
      <c r="D45" s="141" t="s">
        <v>373</v>
      </c>
      <c r="I45" s="58"/>
      <c r="J45" s="58"/>
      <c r="K45" s="58"/>
    </row>
    <row r="46" spans="1:11" s="836" customFormat="1">
      <c r="A46" s="177" t="s">
        <v>642</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528</v>
      </c>
      <c r="B52" s="47"/>
      <c r="C52" s="32"/>
      <c r="D52" s="142" t="s">
        <v>374</v>
      </c>
    </row>
    <row r="53" spans="1:4">
      <c r="A53" s="44" t="s">
        <v>529</v>
      </c>
      <c r="B53" s="47"/>
      <c r="C53" s="32"/>
      <c r="D53" s="142" t="s">
        <v>374</v>
      </c>
    </row>
    <row r="54" spans="1:4" ht="15.75" thickBot="1">
      <c r="A54" s="45"/>
      <c r="B54" s="183"/>
      <c r="C54" s="152"/>
      <c r="D54" s="188"/>
    </row>
    <row r="56" spans="1:4" ht="15.75" thickBot="1"/>
    <row r="57" spans="1:4" s="43" customFormat="1" ht="17.25">
      <c r="A57" s="180" t="s">
        <v>815</v>
      </c>
      <c r="B57" s="494"/>
      <c r="C57" s="181"/>
      <c r="D57" s="182"/>
    </row>
    <row r="58" spans="1:4">
      <c r="A58" s="101"/>
      <c r="B58" s="495"/>
      <c r="C58" s="140" t="s">
        <v>175</v>
      </c>
      <c r="D58" s="143" t="s">
        <v>372</v>
      </c>
    </row>
    <row r="59" spans="1:4">
      <c r="A59" s="44" t="s">
        <v>530</v>
      </c>
      <c r="B59" s="47"/>
      <c r="C59" s="32"/>
      <c r="D59" s="141" t="s">
        <v>148</v>
      </c>
    </row>
    <row r="60" spans="1:4">
      <c r="A60" s="44" t="s">
        <v>531</v>
      </c>
      <c r="B60" s="47"/>
      <c r="C60" s="32"/>
      <c r="D60" s="141" t="s">
        <v>149</v>
      </c>
    </row>
    <row r="61" spans="1:4">
      <c r="A61" s="44" t="s">
        <v>532</v>
      </c>
      <c r="B61" s="47"/>
      <c r="C61" s="48"/>
      <c r="D61" s="141" t="s">
        <v>370</v>
      </c>
    </row>
    <row r="62" spans="1:4">
      <c r="A62" s="44" t="s">
        <v>533</v>
      </c>
      <c r="B62" s="47"/>
      <c r="C62" s="48"/>
      <c r="D62" s="141" t="s">
        <v>105</v>
      </c>
    </row>
    <row r="63" spans="1:4">
      <c r="A63" s="44"/>
      <c r="B63" s="48"/>
      <c r="C63" s="48"/>
      <c r="D63" s="141"/>
    </row>
    <row r="64" spans="1:4" ht="21.75" thickBot="1">
      <c r="A64" s="185" t="s">
        <v>780</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546</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746</v>
      </c>
      <c r="C21" s="130" t="s">
        <v>538</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509</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509</v>
      </c>
      <c r="B4" s="323"/>
      <c r="C4" s="323"/>
      <c r="D4" s="323"/>
      <c r="E4" s="323"/>
      <c r="F4" s="323"/>
    </row>
    <row r="5" spans="1:6" ht="22.5">
      <c r="A5" s="1257" t="s">
        <v>510</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36307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608</v>
      </c>
      <c r="B14" s="1267">
        <v>3191.4</v>
      </c>
      <c r="C14" s="323"/>
      <c r="D14" s="323"/>
      <c r="E14" s="323"/>
      <c r="F14" s="323"/>
    </row>
    <row r="15" spans="1:6">
      <c r="A15" s="1266" t="s">
        <v>177</v>
      </c>
      <c r="B15" s="1267">
        <v>3215</v>
      </c>
      <c r="C15" s="323"/>
      <c r="D15" s="323"/>
      <c r="E15" s="323"/>
      <c r="F15" s="323"/>
    </row>
    <row r="16" spans="1:6">
      <c r="A16" s="1266" t="s">
        <v>6</v>
      </c>
      <c r="B16" s="1267">
        <v>583</v>
      </c>
      <c r="C16" s="323"/>
      <c r="D16" s="323"/>
      <c r="E16" s="323"/>
      <c r="F16" s="323"/>
    </row>
    <row r="17" spans="1:6">
      <c r="A17" s="1266" t="s">
        <v>7</v>
      </c>
      <c r="B17" s="1267">
        <v>412</v>
      </c>
      <c r="C17" s="323"/>
      <c r="D17" s="323"/>
      <c r="E17" s="323"/>
      <c r="F17" s="323"/>
    </row>
    <row r="18" spans="1:6">
      <c r="A18" s="1266" t="s">
        <v>8</v>
      </c>
      <c r="B18" s="1267">
        <v>645</v>
      </c>
      <c r="C18" s="323"/>
      <c r="D18" s="323"/>
      <c r="E18" s="323"/>
      <c r="F18" s="323"/>
    </row>
    <row r="19" spans="1:6">
      <c r="A19" s="1266" t="s">
        <v>9</v>
      </c>
      <c r="B19" s="1267">
        <v>606</v>
      </c>
      <c r="C19" s="323"/>
      <c r="D19" s="323"/>
      <c r="E19" s="323"/>
      <c r="F19" s="323"/>
    </row>
    <row r="20" spans="1:6">
      <c r="A20" s="1266" t="s">
        <v>10</v>
      </c>
      <c r="B20" s="1267">
        <v>487</v>
      </c>
      <c r="C20" s="323"/>
      <c r="D20" s="323"/>
      <c r="E20" s="323"/>
      <c r="F20" s="323"/>
    </row>
    <row r="21" spans="1:6">
      <c r="A21" s="1266" t="s">
        <v>11</v>
      </c>
      <c r="B21" s="1267">
        <v>903</v>
      </c>
      <c r="C21" s="323"/>
      <c r="D21" s="323"/>
      <c r="E21" s="323"/>
      <c r="F21" s="323"/>
    </row>
    <row r="22" spans="1:6">
      <c r="A22" s="1266" t="s">
        <v>12</v>
      </c>
      <c r="B22" s="1267">
        <v>3958</v>
      </c>
      <c r="C22" s="323"/>
      <c r="D22" s="323"/>
      <c r="E22" s="323"/>
      <c r="F22" s="323"/>
    </row>
    <row r="23" spans="1:6">
      <c r="A23" s="1266" t="s">
        <v>13</v>
      </c>
      <c r="B23" s="1267">
        <v>48</v>
      </c>
      <c r="C23" s="323"/>
      <c r="D23" s="323"/>
      <c r="E23" s="323"/>
      <c r="F23" s="323"/>
    </row>
    <row r="24" spans="1:6">
      <c r="A24" s="1266" t="s">
        <v>14</v>
      </c>
      <c r="B24" s="1267">
        <v>4</v>
      </c>
      <c r="C24" s="323"/>
      <c r="D24" s="323"/>
      <c r="E24" s="323"/>
      <c r="F24" s="323"/>
    </row>
    <row r="25" spans="1:6">
      <c r="A25" s="1266" t="s">
        <v>15</v>
      </c>
      <c r="B25" s="1267">
        <v>363</v>
      </c>
      <c r="C25" s="323"/>
      <c r="D25" s="323"/>
      <c r="E25" s="323"/>
      <c r="F25" s="323"/>
    </row>
    <row r="26" spans="1:6">
      <c r="A26" s="1266" t="s">
        <v>16</v>
      </c>
      <c r="B26" s="1267">
        <v>1042</v>
      </c>
      <c r="C26" s="323"/>
      <c r="D26" s="323"/>
      <c r="E26" s="323"/>
      <c r="F26" s="323"/>
    </row>
    <row r="27" spans="1:6">
      <c r="A27" s="1266" t="s">
        <v>17</v>
      </c>
      <c r="B27" s="1267">
        <v>278</v>
      </c>
      <c r="C27" s="323"/>
      <c r="D27" s="323"/>
      <c r="E27" s="323"/>
      <c r="F27" s="323"/>
    </row>
    <row r="28" spans="1:6">
      <c r="A28" s="1268" t="s">
        <v>18</v>
      </c>
      <c r="B28" s="1269">
        <v>26632</v>
      </c>
      <c r="C28" s="323"/>
      <c r="D28" s="323"/>
      <c r="E28" s="323"/>
      <c r="F28" s="323"/>
    </row>
    <row r="29" spans="1:6">
      <c r="A29" s="1268" t="s">
        <v>630</v>
      </c>
      <c r="B29" s="1269">
        <v>419</v>
      </c>
      <c r="C29" s="323"/>
      <c r="D29" s="323"/>
      <c r="E29" s="323"/>
      <c r="F29" s="323"/>
    </row>
    <row r="30" spans="1:6">
      <c r="A30" s="1261" t="s">
        <v>631</v>
      </c>
      <c r="B30" s="1270">
        <v>99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76</v>
      </c>
      <c r="D36" s="1267">
        <v>14019931.006235</v>
      </c>
      <c r="E36" s="1267">
        <v>331</v>
      </c>
      <c r="F36" s="1267">
        <v>16387958.890472</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2865.4712156327</v>
      </c>
    </row>
    <row r="39" spans="1:6">
      <c r="A39" s="1266" t="s">
        <v>29</v>
      </c>
      <c r="B39" s="1266" t="s">
        <v>30</v>
      </c>
      <c r="C39" s="1267">
        <v>25541</v>
      </c>
      <c r="D39" s="1267">
        <v>321862053.54584599</v>
      </c>
      <c r="E39" s="1267">
        <v>36809</v>
      </c>
      <c r="F39" s="1267">
        <v>102447450.70202599</v>
      </c>
    </row>
    <row r="40" spans="1:6">
      <c r="A40" s="1266" t="s">
        <v>29</v>
      </c>
      <c r="B40" s="1266" t="s">
        <v>28</v>
      </c>
      <c r="C40" s="1267">
        <v>0</v>
      </c>
      <c r="D40" s="1267">
        <v>0</v>
      </c>
      <c r="E40" s="1267">
        <v>0</v>
      </c>
      <c r="F40" s="1267">
        <v>0</v>
      </c>
    </row>
    <row r="41" spans="1:6">
      <c r="A41" s="1266" t="s">
        <v>31</v>
      </c>
      <c r="B41" s="1266" t="s">
        <v>32</v>
      </c>
      <c r="C41" s="1267">
        <v>369</v>
      </c>
      <c r="D41" s="1267">
        <v>18106811.176071402</v>
      </c>
      <c r="E41" s="1267">
        <v>878</v>
      </c>
      <c r="F41" s="1267">
        <v>22704743.860431299</v>
      </c>
    </row>
    <row r="42" spans="1:6">
      <c r="A42" s="1266" t="s">
        <v>31</v>
      </c>
      <c r="B42" s="1266" t="s">
        <v>33</v>
      </c>
      <c r="C42" s="1267">
        <v>7</v>
      </c>
      <c r="D42" s="1267">
        <v>1391332.9798155499</v>
      </c>
      <c r="E42" s="1267">
        <v>7</v>
      </c>
      <c r="F42" s="1267">
        <v>2318957.1078337501</v>
      </c>
    </row>
    <row r="43" spans="1:6">
      <c r="A43" s="1266" t="s">
        <v>31</v>
      </c>
      <c r="B43" s="1266" t="s">
        <v>34</v>
      </c>
      <c r="C43" s="1267">
        <v>0</v>
      </c>
      <c r="D43" s="1267">
        <v>0</v>
      </c>
      <c r="E43" s="1267">
        <v>0</v>
      </c>
      <c r="F43" s="1267">
        <v>0</v>
      </c>
    </row>
    <row r="44" spans="1:6">
      <c r="A44" s="1266" t="s">
        <v>31</v>
      </c>
      <c r="B44" s="1266" t="s">
        <v>35</v>
      </c>
      <c r="C44" s="1267">
        <v>37</v>
      </c>
      <c r="D44" s="1267">
        <v>5153791.85581725</v>
      </c>
      <c r="E44" s="1267">
        <v>80</v>
      </c>
      <c r="F44" s="1267">
        <v>4042302.7193084001</v>
      </c>
    </row>
    <row r="45" spans="1:6">
      <c r="A45" s="1266" t="s">
        <v>31</v>
      </c>
      <c r="B45" s="1266" t="s">
        <v>36</v>
      </c>
      <c r="C45" s="1267">
        <v>7</v>
      </c>
      <c r="D45" s="1267">
        <v>30690724.1970428</v>
      </c>
      <c r="E45" s="1267">
        <v>15</v>
      </c>
      <c r="F45" s="1267">
        <v>7759318.4521181397</v>
      </c>
    </row>
    <row r="46" spans="1:6">
      <c r="A46" s="1266" t="s">
        <v>31</v>
      </c>
      <c r="B46" s="1266" t="s">
        <v>37</v>
      </c>
      <c r="C46" s="1267">
        <v>0</v>
      </c>
      <c r="D46" s="1267">
        <v>0</v>
      </c>
      <c r="E46" s="1267">
        <v>0</v>
      </c>
      <c r="F46" s="1267">
        <v>0</v>
      </c>
    </row>
    <row r="47" spans="1:6">
      <c r="A47" s="1266" t="s">
        <v>31</v>
      </c>
      <c r="B47" s="1266" t="s">
        <v>38</v>
      </c>
      <c r="C47" s="1267">
        <v>15</v>
      </c>
      <c r="D47" s="1267">
        <v>940625.01591900096</v>
      </c>
      <c r="E47" s="1267">
        <v>48</v>
      </c>
      <c r="F47" s="1267">
        <v>1588398.4033031701</v>
      </c>
    </row>
    <row r="48" spans="1:6">
      <c r="A48" s="1266" t="s">
        <v>31</v>
      </c>
      <c r="B48" s="1266" t="s">
        <v>28</v>
      </c>
      <c r="C48" s="1267">
        <v>1</v>
      </c>
      <c r="D48" s="1267">
        <v>26842.759509574</v>
      </c>
      <c r="E48" s="1267">
        <v>2</v>
      </c>
      <c r="F48" s="1267">
        <v>63431.6819603564</v>
      </c>
    </row>
    <row r="49" spans="1:6">
      <c r="A49" s="1266" t="s">
        <v>31</v>
      </c>
      <c r="B49" s="1266" t="s">
        <v>39</v>
      </c>
      <c r="C49" s="1267">
        <v>12</v>
      </c>
      <c r="D49" s="1267">
        <v>197516.73614776201</v>
      </c>
      <c r="E49" s="1267">
        <v>19</v>
      </c>
      <c r="F49" s="1267">
        <v>150593.28275225099</v>
      </c>
    </row>
    <row r="50" spans="1:6">
      <c r="A50" s="1266" t="s">
        <v>31</v>
      </c>
      <c r="B50" s="1266" t="s">
        <v>40</v>
      </c>
      <c r="C50" s="1267">
        <v>42</v>
      </c>
      <c r="D50" s="1267">
        <v>7336443.6190303201</v>
      </c>
      <c r="E50" s="1267">
        <v>62</v>
      </c>
      <c r="F50" s="1267">
        <v>11061358.2516539</v>
      </c>
    </row>
    <row r="51" spans="1:6">
      <c r="A51" s="1266" t="s">
        <v>41</v>
      </c>
      <c r="B51" s="1266" t="s">
        <v>42</v>
      </c>
      <c r="C51" s="1267">
        <v>23</v>
      </c>
      <c r="D51" s="1267">
        <v>1012776.43737863</v>
      </c>
      <c r="E51" s="1267">
        <v>113</v>
      </c>
      <c r="F51" s="1267">
        <v>1722411.5507813101</v>
      </c>
    </row>
    <row r="52" spans="1:6">
      <c r="A52" s="1266" t="s">
        <v>41</v>
      </c>
      <c r="B52" s="1266" t="s">
        <v>28</v>
      </c>
      <c r="C52" s="1267">
        <v>0</v>
      </c>
      <c r="D52" s="1267">
        <v>0</v>
      </c>
      <c r="E52" s="1267">
        <v>0</v>
      </c>
      <c r="F52" s="1267">
        <v>0</v>
      </c>
    </row>
    <row r="53" spans="1:6">
      <c r="A53" s="1266" t="s">
        <v>43</v>
      </c>
      <c r="B53" s="1266" t="s">
        <v>44</v>
      </c>
      <c r="C53" s="1267">
        <v>426</v>
      </c>
      <c r="D53" s="1267">
        <v>21514565.078497801</v>
      </c>
      <c r="E53" s="1267">
        <v>1296</v>
      </c>
      <c r="F53" s="1267">
        <v>8470422.9914556406</v>
      </c>
    </row>
    <row r="54" spans="1:6">
      <c r="A54" s="1266" t="s">
        <v>45</v>
      </c>
      <c r="B54" s="1266" t="s">
        <v>46</v>
      </c>
      <c r="C54" s="1267">
        <v>0</v>
      </c>
      <c r="D54" s="1267">
        <v>0</v>
      </c>
      <c r="E54" s="1267">
        <v>3</v>
      </c>
      <c r="F54" s="1267">
        <v>4348116.3544519497</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326</v>
      </c>
      <c r="D57" s="1267">
        <v>19755789.303193599</v>
      </c>
      <c r="E57" s="1267">
        <v>568</v>
      </c>
      <c r="F57" s="1267">
        <v>14189202.4372549</v>
      </c>
    </row>
    <row r="58" spans="1:6">
      <c r="A58" s="1266" t="s">
        <v>48</v>
      </c>
      <c r="B58" s="1266" t="s">
        <v>50</v>
      </c>
      <c r="C58" s="1267">
        <v>312</v>
      </c>
      <c r="D58" s="1267">
        <v>45429437.991663098</v>
      </c>
      <c r="E58" s="1267">
        <v>439</v>
      </c>
      <c r="F58" s="1267">
        <v>17977646.616750401</v>
      </c>
    </row>
    <row r="59" spans="1:6">
      <c r="A59" s="1266" t="s">
        <v>48</v>
      </c>
      <c r="B59" s="1266" t="s">
        <v>51</v>
      </c>
      <c r="C59" s="1267">
        <v>740</v>
      </c>
      <c r="D59" s="1267">
        <v>38226479.092720002</v>
      </c>
      <c r="E59" s="1267">
        <v>1300</v>
      </c>
      <c r="F59" s="1267">
        <v>53458763.303314202</v>
      </c>
    </row>
    <row r="60" spans="1:6">
      <c r="A60" s="1266" t="s">
        <v>48</v>
      </c>
      <c r="B60" s="1266" t="s">
        <v>52</v>
      </c>
      <c r="C60" s="1267">
        <v>419</v>
      </c>
      <c r="D60" s="1267">
        <v>34275580.997477099</v>
      </c>
      <c r="E60" s="1267">
        <v>514</v>
      </c>
      <c r="F60" s="1267">
        <v>17888303.140661199</v>
      </c>
    </row>
    <row r="61" spans="1:6">
      <c r="A61" s="1266" t="s">
        <v>48</v>
      </c>
      <c r="B61" s="1266" t="s">
        <v>53</v>
      </c>
      <c r="C61" s="1267">
        <v>1308</v>
      </c>
      <c r="D61" s="1267">
        <v>67092706.8470449</v>
      </c>
      <c r="E61" s="1267">
        <v>2596</v>
      </c>
      <c r="F61" s="1267">
        <v>58992475.488128603</v>
      </c>
    </row>
    <row r="62" spans="1:6">
      <c r="A62" s="1266" t="s">
        <v>48</v>
      </c>
      <c r="B62" s="1266" t="s">
        <v>54</v>
      </c>
      <c r="C62" s="1267">
        <v>101</v>
      </c>
      <c r="D62" s="1267">
        <v>20351989.041820198</v>
      </c>
      <c r="E62" s="1267">
        <v>114</v>
      </c>
      <c r="F62" s="1267">
        <v>9273527.8061250709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18857.488481471399</v>
      </c>
      <c r="E65" s="1267">
        <v>1</v>
      </c>
      <c r="F65" s="1267">
        <v>7493.2500177605998</v>
      </c>
    </row>
    <row r="66" spans="1:6">
      <c r="A66" s="1266" t="s">
        <v>55</v>
      </c>
      <c r="B66" s="1266" t="s">
        <v>57</v>
      </c>
      <c r="C66" s="1267">
        <v>4</v>
      </c>
      <c r="D66" s="1267">
        <v>1765694.90909217</v>
      </c>
      <c r="E66" s="1267">
        <v>90</v>
      </c>
      <c r="F66" s="1267">
        <v>2284155.2856531302</v>
      </c>
    </row>
    <row r="67" spans="1:6">
      <c r="A67" s="1268" t="s">
        <v>55</v>
      </c>
      <c r="B67" s="1268" t="s">
        <v>58</v>
      </c>
      <c r="C67" s="1267">
        <v>0</v>
      </c>
      <c r="D67" s="1267">
        <v>0</v>
      </c>
      <c r="E67" s="1267">
        <v>0</v>
      </c>
      <c r="F67" s="1267">
        <v>0</v>
      </c>
    </row>
    <row r="68" spans="1:6">
      <c r="A68" s="1261" t="s">
        <v>55</v>
      </c>
      <c r="B68" s="1261" t="s">
        <v>59</v>
      </c>
      <c r="C68" s="1270">
        <v>16</v>
      </c>
      <c r="D68" s="1270">
        <v>941509.48150541796</v>
      </c>
      <c r="E68" s="1270">
        <v>42</v>
      </c>
      <c r="F68" s="1270">
        <v>1954220.2849359701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607</v>
      </c>
      <c r="D72" s="1279"/>
      <c r="E72" s="1279"/>
      <c r="F72" s="1265"/>
    </row>
    <row r="73" spans="1:6">
      <c r="A73" s="1266" t="s">
        <v>63</v>
      </c>
      <c r="B73" s="1266" t="s">
        <v>590</v>
      </c>
      <c r="C73" s="1280" t="s">
        <v>592</v>
      </c>
      <c r="D73" s="1281">
        <v>386456377</v>
      </c>
      <c r="E73" s="441"/>
      <c r="F73" s="323"/>
    </row>
    <row r="74" spans="1:6">
      <c r="A74" s="1266" t="s">
        <v>63</v>
      </c>
      <c r="B74" s="1266" t="s">
        <v>591</v>
      </c>
      <c r="C74" s="1280" t="s">
        <v>593</v>
      </c>
      <c r="D74" s="1281">
        <v>27788406.722286306</v>
      </c>
      <c r="E74" s="441"/>
      <c r="F74" s="323"/>
    </row>
    <row r="75" spans="1:6">
      <c r="A75" s="1266" t="s">
        <v>64</v>
      </c>
      <c r="B75" s="1266" t="s">
        <v>590</v>
      </c>
      <c r="C75" s="1280" t="s">
        <v>594</v>
      </c>
      <c r="D75" s="1281">
        <v>107510524</v>
      </c>
      <c r="E75" s="441"/>
      <c r="F75" s="323"/>
    </row>
    <row r="76" spans="1:6">
      <c r="A76" s="1266" t="s">
        <v>64</v>
      </c>
      <c r="B76" s="1266" t="s">
        <v>591</v>
      </c>
      <c r="C76" s="1280" t="s">
        <v>595</v>
      </c>
      <c r="D76" s="1281">
        <v>686099.72228630818</v>
      </c>
      <c r="E76" s="441"/>
      <c r="F76" s="323"/>
    </row>
    <row r="77" spans="1:6">
      <c r="A77" s="1266" t="s">
        <v>65</v>
      </c>
      <c r="B77" s="1266" t="s">
        <v>590</v>
      </c>
      <c r="C77" s="1280" t="s">
        <v>596</v>
      </c>
      <c r="D77" s="1281">
        <v>236145299</v>
      </c>
      <c r="E77" s="441"/>
      <c r="F77" s="323"/>
    </row>
    <row r="78" spans="1:6">
      <c r="A78" s="1261" t="s">
        <v>65</v>
      </c>
      <c r="B78" s="1261" t="s">
        <v>591</v>
      </c>
      <c r="C78" s="1261" t="s">
        <v>597</v>
      </c>
      <c r="D78" s="1282">
        <v>24363427</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4170300.5554273836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511</v>
      </c>
      <c r="B90" s="1267">
        <v>19735.496538483909</v>
      </c>
      <c r="C90" s="323"/>
      <c r="D90" s="323"/>
      <c r="E90" s="323"/>
      <c r="F90" s="323"/>
    </row>
    <row r="91" spans="1:6">
      <c r="A91" s="1266" t="s">
        <v>67</v>
      </c>
      <c r="B91" s="1267">
        <v>27173.84704403986</v>
      </c>
      <c r="C91" s="323"/>
      <c r="D91" s="323"/>
      <c r="E91" s="323"/>
      <c r="F91" s="323"/>
    </row>
    <row r="92" spans="1:6">
      <c r="A92" s="1261" t="s">
        <v>68</v>
      </c>
      <c r="B92" s="1262">
        <v>14305.551393336935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12607</v>
      </c>
      <c r="C97" s="323"/>
      <c r="D97" s="323"/>
      <c r="E97" s="323"/>
      <c r="F97" s="323"/>
    </row>
    <row r="98" spans="1:6">
      <c r="A98" s="1266" t="s">
        <v>71</v>
      </c>
      <c r="B98" s="1267">
        <v>2</v>
      </c>
      <c r="C98" s="323"/>
      <c r="D98" s="323"/>
      <c r="E98" s="323"/>
      <c r="F98" s="323"/>
    </row>
    <row r="99" spans="1:6">
      <c r="A99" s="1266" t="s">
        <v>72</v>
      </c>
      <c r="B99" s="1267">
        <v>137</v>
      </c>
      <c r="C99" s="323"/>
      <c r="D99" s="323"/>
      <c r="E99" s="323"/>
      <c r="F99" s="323"/>
    </row>
    <row r="100" spans="1:6">
      <c r="A100" s="1266" t="s">
        <v>73</v>
      </c>
      <c r="B100" s="1267">
        <v>1808</v>
      </c>
      <c r="C100" s="323"/>
      <c r="D100" s="323"/>
      <c r="E100" s="323"/>
      <c r="F100" s="323"/>
    </row>
    <row r="101" spans="1:6">
      <c r="A101" s="1266" t="s">
        <v>74</v>
      </c>
      <c r="B101" s="1267">
        <v>132</v>
      </c>
      <c r="C101" s="323"/>
      <c r="D101" s="323"/>
      <c r="E101" s="323"/>
      <c r="F101" s="323"/>
    </row>
    <row r="102" spans="1:6">
      <c r="A102" s="1266" t="s">
        <v>75</v>
      </c>
      <c r="B102" s="1267">
        <v>416</v>
      </c>
      <c r="C102" s="323"/>
      <c r="D102" s="323"/>
      <c r="E102" s="323"/>
      <c r="F102" s="323"/>
    </row>
    <row r="103" spans="1:6">
      <c r="A103" s="1266" t="s">
        <v>76</v>
      </c>
      <c r="B103" s="1267">
        <v>298</v>
      </c>
      <c r="C103" s="323"/>
      <c r="D103" s="323"/>
      <c r="E103" s="323"/>
      <c r="F103" s="323"/>
    </row>
    <row r="104" spans="1:6">
      <c r="A104" s="1266" t="s">
        <v>77</v>
      </c>
      <c r="B104" s="1267">
        <v>12509</v>
      </c>
      <c r="C104" s="323"/>
      <c r="D104" s="323"/>
      <c r="E104" s="323"/>
      <c r="F104" s="323"/>
    </row>
    <row r="105" spans="1:6">
      <c r="A105" s="1261" t="s">
        <v>78</v>
      </c>
      <c r="B105" s="1270">
        <v>11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581</v>
      </c>
      <c r="B108" s="324"/>
      <c r="C108" s="324"/>
      <c r="D108" s="324"/>
      <c r="E108" s="324"/>
      <c r="F108" s="328"/>
    </row>
    <row r="109" spans="1:6" ht="16.5" thickTop="1" thickBot="1">
      <c r="A109" s="1263" t="s">
        <v>4</v>
      </c>
      <c r="B109" s="1264" t="s">
        <v>5</v>
      </c>
      <c r="C109" s="1264"/>
      <c r="D109" s="1264"/>
      <c r="E109" s="1264"/>
      <c r="F109" s="1265"/>
    </row>
    <row r="110" spans="1:6">
      <c r="A110" s="1266" t="s">
        <v>582</v>
      </c>
      <c r="B110" s="1267">
        <v>0</v>
      </c>
      <c r="C110" s="323"/>
      <c r="D110" s="323"/>
      <c r="E110" s="323"/>
      <c r="F110" s="323"/>
    </row>
    <row r="111" spans="1:6">
      <c r="A111" s="1287" t="s">
        <v>583</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12</v>
      </c>
      <c r="C121" s="1267">
        <v>0</v>
      </c>
      <c r="D121" s="323"/>
      <c r="E121" s="323"/>
      <c r="F121" s="323"/>
    </row>
    <row r="122" spans="1:6">
      <c r="A122" s="1266" t="s">
        <v>86</v>
      </c>
      <c r="B122" s="1267">
        <v>0</v>
      </c>
      <c r="C122" s="1267">
        <v>0</v>
      </c>
      <c r="D122" s="323"/>
      <c r="E122" s="323"/>
      <c r="F122" s="323"/>
    </row>
    <row r="123" spans="1:6">
      <c r="A123" s="1266" t="s">
        <v>87</v>
      </c>
      <c r="B123" s="1267">
        <v>206</v>
      </c>
      <c r="C123" s="1267">
        <v>206</v>
      </c>
      <c r="D123" s="323"/>
      <c r="E123" s="323"/>
      <c r="F123" s="323"/>
    </row>
    <row r="124" spans="1:6">
      <c r="A124" s="1268" t="s">
        <v>88</v>
      </c>
      <c r="B124" s="1289">
        <v>10</v>
      </c>
      <c r="C124" s="1289">
        <v>11</v>
      </c>
      <c r="D124" s="323"/>
      <c r="E124" s="323"/>
      <c r="F124" s="323"/>
    </row>
    <row r="125" spans="1:6">
      <c r="A125" s="1261" t="s">
        <v>700</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624</v>
      </c>
      <c r="C129" s="323"/>
      <c r="D129" s="323"/>
      <c r="E129" s="323"/>
      <c r="F129" s="323"/>
    </row>
    <row r="130" spans="1:6">
      <c r="A130" s="1266" t="s">
        <v>282</v>
      </c>
      <c r="B130" s="1267">
        <v>8</v>
      </c>
      <c r="C130" s="323"/>
      <c r="D130" s="323"/>
      <c r="E130" s="323"/>
      <c r="F130" s="323"/>
    </row>
    <row r="131" spans="1:6">
      <c r="A131" s="1266" t="s">
        <v>283</v>
      </c>
      <c r="B131" s="1267">
        <v>10</v>
      </c>
      <c r="C131" s="323"/>
      <c r="D131" s="323"/>
      <c r="E131" s="323"/>
      <c r="F131" s="323"/>
    </row>
    <row r="132" spans="1:6">
      <c r="A132" s="1261" t="s">
        <v>284</v>
      </c>
      <c r="B132" s="1262">
        <v>148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750</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683</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750</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694</v>
      </c>
      <c r="B41" s="504">
        <v>0.08</v>
      </c>
      <c r="E41" s="632"/>
      <c r="F41" s="632"/>
      <c r="G41" s="859"/>
      <c r="H41" s="859"/>
    </row>
    <row r="42" spans="1:14" s="992" customFormat="1">
      <c r="A42" s="118" t="s">
        <v>695</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751</v>
      </c>
      <c r="B46" s="500"/>
      <c r="E46" s="632"/>
      <c r="F46" s="632"/>
    </row>
    <row r="47" spans="1:14">
      <c r="A47" s="44"/>
      <c r="B47" s="500"/>
      <c r="E47" s="632"/>
      <c r="F47" s="632"/>
    </row>
    <row r="48" spans="1:14" ht="18">
      <c r="A48" s="136" t="s">
        <v>183</v>
      </c>
      <c r="B48" s="501" t="s">
        <v>536</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563</v>
      </c>
      <c r="B1" s="512"/>
      <c r="C1" s="513"/>
    </row>
    <row r="2" spans="1:3" s="323" customFormat="1">
      <c r="A2" s="360"/>
      <c r="B2" s="480"/>
      <c r="C2" s="515"/>
    </row>
    <row r="3" spans="1:3" s="323" customFormat="1">
      <c r="A3" s="358"/>
      <c r="B3" s="516">
        <v>2020</v>
      </c>
      <c r="C3" s="361" t="s">
        <v>175</v>
      </c>
    </row>
    <row r="4" spans="1:3">
      <c r="A4" s="120" t="s">
        <v>288</v>
      </c>
      <c r="B4" s="517">
        <v>4561.0827751850129</v>
      </c>
      <c r="C4" s="138" t="s">
        <v>752</v>
      </c>
    </row>
    <row r="5" spans="1:3" ht="15.75" thickBot="1">
      <c r="A5" s="869" t="s">
        <v>562</v>
      </c>
      <c r="B5" s="875">
        <v>673451.87000000046</v>
      </c>
      <c r="C5" s="876" t="s">
        <v>753</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376934.3464635213</v>
      </c>
      <c r="C3" s="43" t="s">
        <v>163</v>
      </c>
      <c r="D3" s="43"/>
      <c r="E3" s="153"/>
      <c r="F3" s="43"/>
      <c r="G3" s="43"/>
      <c r="H3" s="43"/>
      <c r="I3" s="43"/>
      <c r="J3" s="43"/>
      <c r="K3" s="96"/>
    </row>
    <row r="4" spans="1:11">
      <c r="A4" s="348" t="s">
        <v>164</v>
      </c>
      <c r="B4" s="49">
        <f>IF(ISERROR('SEAP template'!B78+'SEAP template'!C78),0,'SEAP template'!B78+'SEAP template'!C78)</f>
        <v>68896.283865364108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624</v>
      </c>
      <c r="G6" s="43" t="s">
        <v>629</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1715.2182573174914</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0.18515593165311212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2098.8520374320788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9213.8888896260014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0.22779220181341614</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589</v>
      </c>
      <c r="B6" s="404" t="s">
        <v>776</v>
      </c>
      <c r="C6" s="405" t="s">
        <v>343</v>
      </c>
    </row>
    <row r="7" spans="1:3" s="323" customFormat="1">
      <c r="A7" s="863" t="s">
        <v>777</v>
      </c>
      <c r="B7" s="406" t="s">
        <v>781</v>
      </c>
      <c r="C7" s="407" t="s">
        <v>544</v>
      </c>
    </row>
    <row r="8" spans="1:3" s="323" customFormat="1">
      <c r="A8" s="1000" t="s">
        <v>706</v>
      </c>
      <c r="B8" s="406" t="s">
        <v>708</v>
      </c>
      <c r="C8" s="407" t="s">
        <v>343</v>
      </c>
    </row>
    <row r="9" spans="1:3" s="323" customFormat="1">
      <c r="A9" s="1000" t="s">
        <v>778</v>
      </c>
      <c r="B9" s="406" t="s">
        <v>709</v>
      </c>
      <c r="C9" s="407" t="s">
        <v>343</v>
      </c>
    </row>
    <row r="10" spans="1:3" s="323" customFormat="1">
      <c r="A10" s="1000" t="s">
        <v>707</v>
      </c>
      <c r="B10" s="406" t="s">
        <v>710</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607</v>
      </c>
      <c r="B1" s="837" t="s">
        <v>295</v>
      </c>
      <c r="C1" s="837" t="s">
        <v>299</v>
      </c>
      <c r="D1" s="837" t="s">
        <v>300</v>
      </c>
      <c r="E1" s="837" t="s">
        <v>301</v>
      </c>
      <c r="F1" s="837" t="s">
        <v>302</v>
      </c>
      <c r="H1" s="1035" t="s">
        <v>828</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590</v>
      </c>
      <c r="C3" s="307" t="s">
        <v>64</v>
      </c>
      <c r="D3" s="307" t="s">
        <v>712</v>
      </c>
      <c r="E3" s="307" t="s">
        <v>713</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590</v>
      </c>
      <c r="C4" s="307" t="s">
        <v>63</v>
      </c>
      <c r="D4" s="307" t="s">
        <v>712</v>
      </c>
      <c r="E4" s="307" t="s">
        <v>713</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590</v>
      </c>
      <c r="C5" s="307" t="s">
        <v>65</v>
      </c>
      <c r="D5" s="307" t="s">
        <v>712</v>
      </c>
      <c r="E5" s="307" t="s">
        <v>713</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590</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590</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590</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591</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591</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591</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606</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606</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606</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590</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590</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590</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590</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590</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590</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590</v>
      </c>
      <c r="C21" s="307" t="s">
        <v>64</v>
      </c>
      <c r="D21" s="307" t="s">
        <v>714</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590</v>
      </c>
      <c r="C22" s="307" t="s">
        <v>64</v>
      </c>
      <c r="D22" s="307" t="s">
        <v>714</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590</v>
      </c>
      <c r="C23" s="307" t="s">
        <v>63</v>
      </c>
      <c r="D23" s="307" t="s">
        <v>714</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590</v>
      </c>
      <c r="C24" s="307" t="s">
        <v>63</v>
      </c>
      <c r="D24" s="307" t="s">
        <v>714</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590</v>
      </c>
      <c r="C25" s="307" t="s">
        <v>65</v>
      </c>
      <c r="D25" s="307" t="s">
        <v>714</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590</v>
      </c>
      <c r="C26" s="307" t="s">
        <v>65</v>
      </c>
      <c r="D26" s="307" t="s">
        <v>714</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590</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590</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590</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590</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590</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590</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590</v>
      </c>
      <c r="C33" s="307" t="s">
        <v>64</v>
      </c>
      <c r="D33" s="307" t="s">
        <v>716</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590</v>
      </c>
      <c r="C34" s="307" t="s">
        <v>63</v>
      </c>
      <c r="D34" s="307" t="s">
        <v>716</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590</v>
      </c>
      <c r="C35" s="307" t="s">
        <v>65</v>
      </c>
      <c r="D35" s="307" t="s">
        <v>716</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590</v>
      </c>
      <c r="C36" s="307" t="s">
        <v>64</v>
      </c>
      <c r="D36" s="307" t="s">
        <v>715</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590</v>
      </c>
      <c r="C37" s="307" t="s">
        <v>64</v>
      </c>
      <c r="D37" s="307" t="s">
        <v>715</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590</v>
      </c>
      <c r="C38" s="307" t="s">
        <v>63</v>
      </c>
      <c r="D38" s="307" t="s">
        <v>715</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590</v>
      </c>
      <c r="C39" s="307" t="s">
        <v>63</v>
      </c>
      <c r="D39" s="307" t="s">
        <v>715</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590</v>
      </c>
      <c r="C40" s="307" t="s">
        <v>65</v>
      </c>
      <c r="D40" s="307" t="s">
        <v>715</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590</v>
      </c>
      <c r="C41" s="307" t="s">
        <v>65</v>
      </c>
      <c r="D41" s="307" t="s">
        <v>715</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591</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591</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591</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591</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591</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591</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606</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606</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606</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606</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606</v>
      </c>
      <c r="C52" s="307" t="s">
        <v>64</v>
      </c>
      <c r="D52" s="307" t="s">
        <v>714</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606</v>
      </c>
      <c r="C53" s="307" t="s">
        <v>64</v>
      </c>
      <c r="D53" s="307" t="s">
        <v>714</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606</v>
      </c>
      <c r="C54" s="307" t="s">
        <v>63</v>
      </c>
      <c r="D54" s="307" t="s">
        <v>714</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606</v>
      </c>
      <c r="C55" s="307" t="s">
        <v>63</v>
      </c>
      <c r="D55" s="307" t="s">
        <v>714</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770</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588</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4348.1163544519495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4348.1163544519495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0.18515593165311212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805.07953454468418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102447.45070202599</v>
      </c>
      <c r="C5" s="17">
        <f>IF(ISERROR('Eigen informatie GS &amp; warmtenet'!B59),0,'Eigen informatie GS &amp; warmtenet'!B59)</f>
        <v>0</v>
      </c>
      <c r="D5" s="30">
        <f>(SUM(HH_hh_gas_kWh,HH_rest_gas_kWh)/1000)*0.903</f>
        <v>290641.4343518989</v>
      </c>
      <c r="E5" s="17">
        <f>B32*B41</f>
        <v>11050.630471183144</v>
      </c>
      <c r="F5" s="17">
        <f>B36*B45</f>
        <v>139995.33641161254</v>
      </c>
      <c r="G5" s="18"/>
      <c r="H5" s="17"/>
      <c r="I5" s="17"/>
      <c r="J5" s="17">
        <f>B35*B44+C35*C44</f>
        <v>896.05082322760757</v>
      </c>
      <c r="K5" s="17"/>
      <c r="L5" s="17"/>
      <c r="M5" s="17"/>
      <c r="N5" s="17">
        <f>B34*B43+C34*C43</f>
        <v>41521.488898647382</v>
      </c>
      <c r="O5" s="17">
        <f>B52*B53*B54</f>
        <v>1668.5088625044937</v>
      </c>
      <c r="P5" s="17">
        <f>B60*B61*B62/1000-B60*B61*B62/1000/B63</f>
        <v>3834.3611879973487</v>
      </c>
    </row>
    <row r="6" spans="1:16">
      <c r="A6" s="16" t="s">
        <v>558</v>
      </c>
      <c r="B6" s="734">
        <f>kWh_PV_kleiner_dan_10kW</f>
        <v>27173.84704403986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129621.29774606586</v>
      </c>
      <c r="C8" s="21">
        <f>C5</f>
        <v>0</v>
      </c>
      <c r="D8" s="21">
        <f>D5</f>
        <v>290641.4343518989</v>
      </c>
      <c r="E8" s="21">
        <f>E5</f>
        <v>11050.630471183144</v>
      </c>
      <c r="F8" s="21">
        <f>F5</f>
        <v>139995.33641161254</v>
      </c>
      <c r="G8" s="21"/>
      <c r="H8" s="21"/>
      <c r="I8" s="21"/>
      <c r="J8" s="21">
        <f>J5</f>
        <v>896.05082322760757</v>
      </c>
      <c r="K8" s="21"/>
      <c r="L8" s="21">
        <f>L5</f>
        <v>0</v>
      </c>
      <c r="M8" s="21">
        <f>M5</f>
        <v>0</v>
      </c>
      <c r="N8" s="21">
        <f>N5</f>
        <v>41521.488898647382</v>
      </c>
      <c r="O8" s="21">
        <f>O5</f>
        <v>1668.5088625044937</v>
      </c>
      <c r="P8" s="21">
        <f>P5</f>
        <v>3834.3611879973487</v>
      </c>
    </row>
    <row r="9" spans="1:16">
      <c r="B9" s="19"/>
      <c r="C9" s="19"/>
      <c r="D9" s="253"/>
      <c r="E9" s="19"/>
      <c r="F9" s="19"/>
      <c r="G9" s="19"/>
      <c r="H9" s="19"/>
      <c r="I9" s="19"/>
      <c r="J9" s="19"/>
      <c r="K9" s="19"/>
      <c r="L9" s="19"/>
      <c r="M9" s="19"/>
      <c r="N9" s="19"/>
      <c r="O9" s="19"/>
      <c r="P9" s="19"/>
    </row>
    <row r="10" spans="1:16">
      <c r="A10" s="24" t="s">
        <v>207</v>
      </c>
      <c r="B10" s="25">
        <f ca="1">'EF ele_warmte'!B12</f>
        <v>0.18515593165311212</v>
      </c>
      <c r="C10" s="25">
        <f ca="1">'EF ele_warmte'!B22</f>
        <v>0.22779220181341614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24000.152146258264</v>
      </c>
      <c r="C12" s="23">
        <f ca="1">C10*C8</f>
        <v>0</v>
      </c>
      <c r="D12" s="23">
        <f>D8*D10</f>
        <v>58709.569739083585</v>
      </c>
      <c r="E12" s="23">
        <f>E10*E8</f>
        <v>2508.4931169585739</v>
      </c>
      <c r="F12" s="23">
        <f>F10*F8</f>
        <v>37378.754821900555</v>
      </c>
      <c r="G12" s="23"/>
      <c r="H12" s="23"/>
      <c r="I12" s="23"/>
      <c r="J12" s="23">
        <f>J10*J8</f>
        <v>317.20199142257309</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747</v>
      </c>
      <c r="B17" s="198" t="s">
        <v>743</v>
      </c>
      <c r="C17" s="198" t="s">
        <v>742</v>
      </c>
      <c r="D17" s="223" t="s">
        <v>175</v>
      </c>
      <c r="E17" s="15"/>
    </row>
    <row r="18" spans="1:5">
      <c r="A18" s="167" t="s">
        <v>77</v>
      </c>
      <c r="B18" s="1011">
        <v>0.59532996692331042</v>
      </c>
      <c r="C18" s="1011"/>
      <c r="D18" s="293" t="s">
        <v>767</v>
      </c>
      <c r="E18" s="15"/>
    </row>
    <row r="19" spans="1:5">
      <c r="A19" s="167" t="s">
        <v>736</v>
      </c>
      <c r="B19" s="1011">
        <v>7.1008684322337902E-3</v>
      </c>
      <c r="C19" s="1011"/>
      <c r="D19" s="225"/>
      <c r="E19" s="15"/>
    </row>
    <row r="20" spans="1:5">
      <c r="A20" s="167" t="s">
        <v>737</v>
      </c>
      <c r="B20" s="1011"/>
      <c r="C20" s="1011"/>
      <c r="D20" s="225"/>
      <c r="E20" s="15"/>
    </row>
    <row r="21" spans="1:5">
      <c r="A21" s="167" t="s">
        <v>738</v>
      </c>
      <c r="B21" s="1011">
        <v>1.6335190651930662E-2</v>
      </c>
      <c r="C21" s="1011"/>
      <c r="D21" s="225"/>
      <c r="E21" s="15"/>
    </row>
    <row r="22" spans="1:5">
      <c r="A22" s="167" t="s">
        <v>739</v>
      </c>
      <c r="B22" s="1011">
        <v>0.2652511439871737</v>
      </c>
      <c r="C22" s="1011"/>
      <c r="D22" s="225"/>
      <c r="E22" s="15"/>
    </row>
    <row r="23" spans="1:5">
      <c r="A23" s="167" t="s">
        <v>78</v>
      </c>
      <c r="B23" s="1011"/>
      <c r="C23" s="1011"/>
      <c r="D23" s="224"/>
      <c r="E23" s="52"/>
    </row>
    <row r="24" spans="1:5">
      <c r="A24" s="167" t="s">
        <v>740</v>
      </c>
      <c r="B24" s="1011">
        <v>0.11598283000535101</v>
      </c>
      <c r="C24" s="1011">
        <v>0.16799975976739334</v>
      </c>
      <c r="D24" s="224"/>
      <c r="E24" s="15"/>
    </row>
    <row r="25" spans="1:5" s="15" customFormat="1">
      <c r="A25" s="167"/>
      <c r="B25" s="29"/>
      <c r="C25" s="29"/>
      <c r="D25" s="224"/>
    </row>
    <row r="26" spans="1:5" s="15" customFormat="1">
      <c r="A26" s="226" t="s">
        <v>771</v>
      </c>
      <c r="B26" s="37">
        <f>aantalHuishoudens</f>
        <v>36307</v>
      </c>
      <c r="C26" s="36"/>
      <c r="D26" s="224"/>
    </row>
    <row r="27" spans="1:5" s="15" customFormat="1">
      <c r="A27" s="226" t="s">
        <v>772</v>
      </c>
      <c r="B27" s="37">
        <f>SUM(HH_hh_gas_aantal,HH_rest_gas_aantal)</f>
        <v>25541</v>
      </c>
      <c r="C27" s="36"/>
      <c r="D27" s="224"/>
    </row>
    <row r="28" spans="1:5" s="15" customFormat="1">
      <c r="A28" s="227"/>
      <c r="B28" s="29"/>
      <c r="C28" s="36"/>
      <c r="D28" s="228"/>
    </row>
    <row r="29" spans="1:5">
      <c r="A29" s="3"/>
      <c r="B29" s="43"/>
      <c r="C29" s="43"/>
      <c r="D29" s="170"/>
    </row>
    <row r="30" spans="1:5">
      <c r="A30" s="168" t="s">
        <v>446</v>
      </c>
      <c r="B30" s="165" t="s">
        <v>764</v>
      </c>
      <c r="C30" s="165" t="s">
        <v>765</v>
      </c>
      <c r="D30" s="170"/>
    </row>
    <row r="31" spans="1:5">
      <c r="A31" s="167" t="s">
        <v>741</v>
      </c>
      <c r="B31" s="33">
        <f>B27-(0.05*B27)</f>
        <v>24263.95</v>
      </c>
      <c r="C31" s="34" t="s">
        <v>104</v>
      </c>
      <c r="D31" s="170"/>
    </row>
    <row r="32" spans="1:5">
      <c r="A32" s="167" t="s">
        <v>72</v>
      </c>
      <c r="B32" s="33">
        <f>IF((B21*($B$26-($B$27-0.05*$B$27)-$B$60))&lt;0,0,(B21*($B$26-($B$27-0.05*$B$27)-$B$60)))</f>
        <v>190.77950838343079</v>
      </c>
      <c r="C32" s="34" t="s">
        <v>104</v>
      </c>
      <c r="D32" s="170"/>
    </row>
    <row r="33" spans="1:6">
      <c r="A33" s="167" t="s">
        <v>73</v>
      </c>
      <c r="B33" s="33">
        <f>IF((B22*($B$26-($B$27-0.05*$B$27)-$B$60))&lt;0,0,B22*($B$26-($B$27-0.05*$B$27)-$B$60))</f>
        <v>3097.8813731834007</v>
      </c>
      <c r="C33" s="34" t="s">
        <v>104</v>
      </c>
      <c r="D33" s="170"/>
    </row>
    <row r="34" spans="1:6">
      <c r="A34" s="167" t="s">
        <v>74</v>
      </c>
      <c r="B34" s="33">
        <f>IF((B24*($B$26-($B$27-0.05*$B$27)-$B$60))&lt;0,0,B24*($B$26-($B$27-0.05*$B$27)-$B$60))</f>
        <v>1354.5692707739945</v>
      </c>
      <c r="C34" s="33">
        <f>B26*C24</f>
        <v>6099.5672778747503</v>
      </c>
      <c r="D34" s="229"/>
    </row>
    <row r="35" spans="1:6">
      <c r="A35" s="167" t="s">
        <v>76</v>
      </c>
      <c r="B35" s="33">
        <f>IF((B19*($B$26-($B$27-0.05*$B$27)-$B$60))&lt;0,0,B19*($B$26-($B$27-0.05*$B$27)-$B$60))</f>
        <v>82.931397463480039</v>
      </c>
      <c r="C35" s="33">
        <f>B35/2</f>
        <v>41.465698731740019</v>
      </c>
      <c r="D35" s="229"/>
    </row>
    <row r="36" spans="1:6">
      <c r="A36" s="167" t="s">
        <v>77</v>
      </c>
      <c r="B36" s="33">
        <f>IF((B18*($B$26-($B$27-0.05*$B$27)-$B$60))&lt;0,0,B18*($B$26-($B$27-0.05*$B$27)-$B$60))</f>
        <v>6952.8884501956882</v>
      </c>
      <c r="C36" s="34" t="s">
        <v>104</v>
      </c>
      <c r="D36" s="170"/>
    </row>
    <row r="37" spans="1:6">
      <c r="A37" s="167" t="s">
        <v>78</v>
      </c>
      <c r="B37" s="33">
        <f>B60</f>
        <v>364</v>
      </c>
      <c r="C37" s="34" t="s">
        <v>104</v>
      </c>
      <c r="D37" s="170"/>
    </row>
    <row r="38" spans="1:6">
      <c r="A38" s="3"/>
      <c r="B38" s="43"/>
      <c r="C38" s="43"/>
      <c r="D38" s="170"/>
    </row>
    <row r="39" spans="1:6">
      <c r="A39" s="168" t="s">
        <v>449</v>
      </c>
      <c r="B39" s="164" t="s">
        <v>763</v>
      </c>
      <c r="C39" s="164" t="s">
        <v>766</v>
      </c>
      <c r="D39" s="293" t="s">
        <v>767</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841</v>
      </c>
      <c r="C52" s="43"/>
      <c r="D52" s="169"/>
    </row>
    <row r="53" spans="1:4">
      <c r="A53" s="167" t="s">
        <v>444</v>
      </c>
      <c r="B53" s="306">
        <v>5.3300370073084435</v>
      </c>
      <c r="C53" s="43"/>
      <c r="D53" s="300" t="s">
        <v>688</v>
      </c>
    </row>
    <row r="54" spans="1:4">
      <c r="A54" s="240" t="s">
        <v>445</v>
      </c>
      <c r="B54" s="311">
        <f>1.34/3.6</f>
        <v>0.37222222222222223</v>
      </c>
      <c r="C54" s="43" t="s">
        <v>208</v>
      </c>
      <c r="D54" s="300" t="s">
        <v>689</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364</v>
      </c>
      <c r="C60" s="32"/>
      <c r="D60" s="173"/>
    </row>
    <row r="61" spans="1:4">
      <c r="A61" s="167" t="s">
        <v>414</v>
      </c>
      <c r="B61" s="306">
        <v>8.5956185892968069</v>
      </c>
      <c r="C61" s="32" t="s">
        <v>252</v>
      </c>
      <c r="D61" s="300" t="s">
        <v>688</v>
      </c>
    </row>
    <row r="62" spans="1:4">
      <c r="A62" s="167" t="s">
        <v>415</v>
      </c>
      <c r="B62" s="306">
        <v>1671.14092090028</v>
      </c>
      <c r="C62" s="32" t="s">
        <v>254</v>
      </c>
      <c r="D62" s="300" t="s">
        <v>688</v>
      </c>
    </row>
    <row r="63" spans="1:4">
      <c r="A63" s="167" t="s">
        <v>379</v>
      </c>
      <c r="B63" s="306">
        <v>3.75</v>
      </c>
      <c r="C63" s="43"/>
      <c r="D63" s="300" t="s">
        <v>689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171779.91879223436</v>
      </c>
      <c r="C5" s="17">
        <f>IF(ISERROR('Eigen informatie GS &amp; warmtenet'!B60),0,'Eigen informatie GS &amp; warmtenet'!B60)</f>
        <v>0</v>
      </c>
      <c r="D5" s="30">
        <f>SUM(D6:D12)</f>
        <v>203294.18089634879</v>
      </c>
      <c r="E5" s="17">
        <f>SUM(E6:E12)</f>
        <v>184.43409338744561</v>
      </c>
      <c r="F5" s="17">
        <f>SUM(F6:F12)</f>
        <v>26788.017123892507</v>
      </c>
      <c r="G5" s="18"/>
      <c r="H5" s="17"/>
      <c r="I5" s="17"/>
      <c r="J5" s="17">
        <f>SUM(J6:J12)</f>
        <v>0.15207909635868247</v>
      </c>
      <c r="K5" s="17"/>
      <c r="L5" s="17"/>
      <c r="M5" s="17"/>
      <c r="N5" s="17">
        <f>SUM(N6:N12)</f>
        <v>5937.9047187413807</v>
      </c>
      <c r="O5" s="17">
        <f>B38*B39*B40</f>
        <v>39.178086126729234</v>
      </c>
      <c r="P5" s="17">
        <f>B46*B47*B48/1000-B46*B47*B48/1000/B49</f>
        <v>1208.4001810493855</v>
      </c>
      <c r="R5" s="32"/>
    </row>
    <row r="6" spans="1:18">
      <c r="A6" s="32" t="s">
        <v>53</v>
      </c>
      <c r="B6" s="37">
        <f>B26</f>
        <v>58992.475488128599</v>
      </c>
      <c r="C6" s="33"/>
      <c r="D6" s="37">
        <f>IF(ISERROR(TER_kantoor_gas_kWh/1000),0,TER_kantoor_gas_kWh/1000)*0.903</f>
        <v>60584.714282881549</v>
      </c>
      <c r="E6" s="33">
        <f>$C$26*'E Balans VL '!I12/100/3.6*1000000</f>
        <v>0</v>
      </c>
      <c r="F6" s="33">
        <f>$C$26*('E Balans VL '!L12+'E Balans VL '!N12)/100/3.6*1000000</f>
        <v>6744.5805562620935</v>
      </c>
      <c r="G6" s="34"/>
      <c r="H6" s="33"/>
      <c r="I6" s="33"/>
      <c r="J6" s="33">
        <f>$C$26*('E Balans VL '!D12+'E Balans VL '!E12)/100/3.6*1000000</f>
        <v>0</v>
      </c>
      <c r="K6" s="33"/>
      <c r="L6" s="33"/>
      <c r="M6" s="33"/>
      <c r="N6" s="33">
        <f>$C$26*'E Balans VL '!Y12/100/3.6*1000000</f>
        <v>66.817887471046689</v>
      </c>
      <c r="O6" s="33"/>
      <c r="P6" s="33"/>
      <c r="R6" s="32"/>
    </row>
    <row r="7" spans="1:18">
      <c r="A7" s="32" t="s">
        <v>52</v>
      </c>
      <c r="B7" s="37">
        <f t="shared" ref="B7:B12" si="0">B27</f>
        <v>17888.303140661199</v>
      </c>
      <c r="C7" s="33"/>
      <c r="D7" s="37">
        <f>IF(ISERROR(TER_horeca_gas_kWh/1000),0,TER_horeca_gas_kWh/1000)*0.903</f>
        <v>30950.849640721819</v>
      </c>
      <c r="E7" s="33">
        <f>$C$27*'E Balans VL '!I9/100/3.6*1000000</f>
        <v>0</v>
      </c>
      <c r="F7" s="33">
        <f>$C$27*('E Balans VL '!L9+'E Balans VL '!N9)/100/3.6*1000000</f>
        <v>1880.4773676313382</v>
      </c>
      <c r="G7" s="34"/>
      <c r="H7" s="33"/>
      <c r="I7" s="33"/>
      <c r="J7" s="33">
        <f>$C$27*('E Balans VL '!D9+'E Balans VL '!E9)/100/3.6*1000000</f>
        <v>0</v>
      </c>
      <c r="K7" s="33"/>
      <c r="L7" s="33"/>
      <c r="M7" s="33"/>
      <c r="N7" s="33">
        <f>$C$27*'E Balans VL '!Y9/100/3.6*1000000</f>
        <v>201.50284461779279</v>
      </c>
      <c r="O7" s="33"/>
      <c r="P7" s="33"/>
      <c r="R7" s="32"/>
    </row>
    <row r="8" spans="1:18">
      <c r="A8" s="6" t="s">
        <v>51</v>
      </c>
      <c r="B8" s="37">
        <f t="shared" si="0"/>
        <v>53458.763303314205</v>
      </c>
      <c r="C8" s="33"/>
      <c r="D8" s="37">
        <f>IF(ISERROR(TER_handel_gas_kWh/1000),0,TER_handel_gas_kWh/1000)*0.903</f>
        <v>34518.510620726163</v>
      </c>
      <c r="E8" s="33">
        <f>$C$28*'E Balans VL '!I13/100/3.6*1000000</f>
        <v>11.523315892135622</v>
      </c>
      <c r="F8" s="33">
        <f>$C$28*('E Balans VL '!L13+'E Balans VL '!N13)/100/3.6*1000000</f>
        <v>7517.9722046914267</v>
      </c>
      <c r="G8" s="34"/>
      <c r="H8" s="33"/>
      <c r="I8" s="33"/>
      <c r="J8" s="33">
        <f>$C$28*('E Balans VL '!D13+'E Balans VL '!E13)/100/3.6*1000000</f>
        <v>0</v>
      </c>
      <c r="K8" s="33"/>
      <c r="L8" s="33"/>
      <c r="M8" s="33"/>
      <c r="N8" s="33">
        <f>$C$28*'E Balans VL '!Y13/100/3.6*1000000</f>
        <v>51.294686702937817</v>
      </c>
      <c r="O8" s="33"/>
      <c r="P8" s="33"/>
      <c r="R8" s="32"/>
    </row>
    <row r="9" spans="1:18">
      <c r="A9" s="32" t="s">
        <v>50</v>
      </c>
      <c r="B9" s="37">
        <f t="shared" si="0"/>
        <v>17977.6466167504</v>
      </c>
      <c r="C9" s="33"/>
      <c r="D9" s="37">
        <f>IF(ISERROR(TER_gezond_gas_kWh/1000),0,TER_gezond_gas_kWh/1000)*0.903</f>
        <v>41022.782506471784</v>
      </c>
      <c r="E9" s="33">
        <f>$C$29*'E Balans VL '!I10/100/3.6*1000000</f>
        <v>0</v>
      </c>
      <c r="F9" s="33">
        <f>$C$29*('E Balans VL '!L10+'E Balans VL '!N10)/100/3.6*1000000</f>
        <v>489.53619377273242</v>
      </c>
      <c r="G9" s="34"/>
      <c r="H9" s="33"/>
      <c r="I9" s="33"/>
      <c r="J9" s="33">
        <f>$C$29*('E Balans VL '!D10+'E Balans VL '!E10)/100/3.6*1000000</f>
        <v>0</v>
      </c>
      <c r="K9" s="33"/>
      <c r="L9" s="33"/>
      <c r="M9" s="33"/>
      <c r="N9" s="33">
        <f>$C$29*'E Balans VL '!Y10/100/3.6*1000000</f>
        <v>113.97863189109029</v>
      </c>
      <c r="O9" s="33"/>
      <c r="P9" s="33"/>
      <c r="R9" s="32"/>
    </row>
    <row r="10" spans="1:18">
      <c r="A10" s="32" t="s">
        <v>49</v>
      </c>
      <c r="B10" s="37">
        <f t="shared" si="0"/>
        <v>14189.2024372549</v>
      </c>
      <c r="C10" s="33"/>
      <c r="D10" s="37">
        <f>IF(ISERROR(TER_ander_gas_kWh/1000),0,TER_ander_gas_kWh/1000)*0.903</f>
        <v>17839.477740783823</v>
      </c>
      <c r="E10" s="33">
        <f>$C$30*'E Balans VL '!I14/100/3.6*1000000</f>
        <v>172.91077749530999</v>
      </c>
      <c r="F10" s="33">
        <f>$C$30*('E Balans VL '!L14+'E Balans VL '!N14)/100/3.6*1000000</f>
        <v>9767.90493236984</v>
      </c>
      <c r="G10" s="34"/>
      <c r="H10" s="33"/>
      <c r="I10" s="33"/>
      <c r="J10" s="33">
        <f>$C$30*('E Balans VL '!D14+'E Balans VL '!E14)/100/3.6*1000000</f>
        <v>0.15207909635868247</v>
      </c>
      <c r="K10" s="33"/>
      <c r="L10" s="33"/>
      <c r="M10" s="33"/>
      <c r="N10" s="33">
        <f>$C$30*'E Balans VL '!Y14/100/3.6*1000000</f>
        <v>5481.2615104768574</v>
      </c>
      <c r="O10" s="33"/>
      <c r="P10" s="33"/>
      <c r="R10" s="32"/>
    </row>
    <row r="11" spans="1:18">
      <c r="A11" s="32" t="s">
        <v>54</v>
      </c>
      <c r="B11" s="37">
        <f t="shared" si="0"/>
        <v>9273.5278061250701</v>
      </c>
      <c r="C11" s="33"/>
      <c r="D11" s="37">
        <f>IF(ISERROR(TER_onderwijs_gas_kWh/1000),0,TER_onderwijs_gas_kWh/1000)*0.903</f>
        <v>18377.846104763637</v>
      </c>
      <c r="E11" s="33">
        <f>$C$31*'E Balans VL '!I11/100/3.6*1000000</f>
        <v>0</v>
      </c>
      <c r="F11" s="33">
        <f>$C$31*('E Balans VL '!L11+'E Balans VL '!N11)/100/3.6*1000000</f>
        <v>387.5458691650752</v>
      </c>
      <c r="G11" s="34"/>
      <c r="H11" s="33"/>
      <c r="I11" s="33"/>
      <c r="J11" s="33">
        <f>$C$31*('E Balans VL '!D11+'E Balans VL '!E11)/100/3.6*1000000</f>
        <v>0</v>
      </c>
      <c r="K11" s="33"/>
      <c r="L11" s="33"/>
      <c r="M11" s="33"/>
      <c r="N11" s="33">
        <f>$C$31*'E Balans VL '!Y11/100/3.6*1000000</f>
        <v>23.049157581656146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809</v>
      </c>
      <c r="B13" s="242">
        <f ca="1">'lokale energieproductie'!N40+'lokale energieproductie'!N33</f>
        <v>7359.7222228110004</v>
      </c>
      <c r="C13" s="242">
        <f ca="1">'lokale energieproductie'!O40+'lokale energieproductie'!O33</f>
        <v>8746.3888895886012</v>
      </c>
      <c r="D13" s="301">
        <f ca="1">('lokale energieproductie'!P33+'lokale energieproductie'!P40)*(-1)</f>
        <v>-17826.944445870602</v>
      </c>
      <c r="E13" s="301">
        <f ca="1">('lokale energieproductie'!X33+'lokale energieproductie'!X40)*(-1)</f>
        <v>0</v>
      </c>
      <c r="F13" s="301">
        <f ca="1">('lokale energieproductie'!S33+'lokale energieproductie'!S40)*(-1)</f>
        <v>0</v>
      </c>
      <c r="G13" s="244"/>
      <c r="H13" s="243"/>
      <c r="I13" s="243"/>
      <c r="J13" s="243"/>
      <c r="K13" s="243"/>
      <c r="L13" s="301">
        <f ca="1">('lokale energieproductie'!U33+'lokale energieproductie'!T33+'lokale energieproductie'!U40+'lokale energieproductie'!T40)*(-1)</f>
        <v>0</v>
      </c>
      <c r="M13" s="243"/>
      <c r="N13" s="301">
        <f ca="1">('lokale energieproductie'!Q33+'lokale energieproductie'!R33+'lokale energieproductie'!V33+'lokale energieproductie'!Q40+'lokale energieproductie'!R40+'lokale energieproductie'!V40)*(-1)</f>
        <v>-3991.6277780971081</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179139.64101504534</v>
      </c>
      <c r="C16" s="21">
        <f t="shared" ca="1" si="1"/>
        <v>8746.3888895886012</v>
      </c>
      <c r="D16" s="21">
        <f t="shared" ca="1" si="1"/>
        <v>185467.23645047817</v>
      </c>
      <c r="E16" s="21">
        <f t="shared" ca="1" si="1"/>
        <v>184.43409338744561</v>
      </c>
      <c r="F16" s="21">
        <f t="shared" ca="1" si="1"/>
        <v>26788.017123892507</v>
      </c>
      <c r="G16" s="21">
        <f t="shared" si="1"/>
        <v>0</v>
      </c>
      <c r="H16" s="21">
        <f t="shared" si="1"/>
        <v>0</v>
      </c>
      <c r="I16" s="21">
        <f t="shared" si="1"/>
        <v>0</v>
      </c>
      <c r="J16" s="21">
        <f t="shared" si="1"/>
        <v>0.15207909635868247</v>
      </c>
      <c r="K16" s="21">
        <f t="shared" si="1"/>
        <v>0</v>
      </c>
      <c r="L16" s="21">
        <f t="shared" ca="1" si="1"/>
        <v>0</v>
      </c>
      <c r="M16" s="21">
        <f t="shared" si="1"/>
        <v>0</v>
      </c>
      <c r="N16" s="21">
        <f t="shared" ca="1" si="1"/>
        <v>1946.2769406442726</v>
      </c>
      <c r="O16" s="21">
        <f>O5</f>
        <v>39.178086126729234</v>
      </c>
      <c r="P16" s="21">
        <f>P5</f>
        <v>1208.4001810493855</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0.18515593165311212</v>
      </c>
      <c r="C18" s="25">
        <f ca="1">'EF ele_warmte'!B22</f>
        <v>0.22779220181341614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33168.767128144777</v>
      </c>
      <c r="C20" s="23">
        <f t="shared" ref="C20:P20" ca="1" si="2">C16*C18</f>
        <v>1992.3591830757873</v>
      </c>
      <c r="D20" s="23">
        <f t="shared" ca="1" si="2"/>
        <v>37464.381762996592</v>
      </c>
      <c r="E20" s="23">
        <f t="shared" ca="1" si="2"/>
        <v>41.866539198950157</v>
      </c>
      <c r="F20" s="23">
        <f t="shared" ca="1" si="2"/>
        <v>7152.4005720792993</v>
      </c>
      <c r="G20" s="23">
        <f t="shared" si="2"/>
        <v>0</v>
      </c>
      <c r="H20" s="23">
        <f t="shared" si="2"/>
        <v>0</v>
      </c>
      <c r="I20" s="23">
        <f t="shared" si="2"/>
        <v>0</v>
      </c>
      <c r="J20" s="23">
        <f t="shared" si="2"/>
        <v>5.3836000110973593E-2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58992.475488128599</v>
      </c>
      <c r="C26" s="39">
        <f>IF(ISERROR(B26*3.6/1000000/'E Balans VL '!Z12*100),0,B26*3.6/1000000/'E Balans VL '!Z12*100)</f>
        <v>1.8134315854629233</v>
      </c>
      <c r="D26" s="232" t="s">
        <v>770</v>
      </c>
      <c r="F26" s="6"/>
    </row>
    <row r="27" spans="1:18" ht="30">
      <c r="A27" s="227" t="s">
        <v>52</v>
      </c>
      <c r="B27" s="33">
        <f>IF(ISERROR(TER_horeca_ele_kWh/1000),0,TER_horeca_ele_kWh/1000)</f>
        <v>17888.303140661199</v>
      </c>
      <c r="C27" s="39">
        <f>IF(ISERROR(B27*3.6/1000000/'E Balans VL '!Z9*100),0,B27*3.6/1000000/'E Balans VL '!Z9*100)</f>
        <v>1.4525024423139168</v>
      </c>
      <c r="D27" s="232" t="s">
        <v>770</v>
      </c>
      <c r="F27" s="6"/>
    </row>
    <row r="28" spans="1:18" ht="30">
      <c r="A28" s="167" t="s">
        <v>51</v>
      </c>
      <c r="B28" s="33">
        <f>IF(ISERROR(TER_handel_ele_kWh/1000),0,TER_handel_ele_kWh/1000)</f>
        <v>53458.763303314205</v>
      </c>
      <c r="C28" s="39">
        <f>IF(ISERROR(B28*3.6/1000000/'E Balans VL '!Z13*100),0,B28*3.6/1000000/'E Balans VL '!Z13*100)</f>
        <v>1.757794066731283</v>
      </c>
      <c r="D28" s="232" t="s">
        <v>770</v>
      </c>
      <c r="F28" s="6"/>
    </row>
    <row r="29" spans="1:18" ht="30">
      <c r="A29" s="227" t="s">
        <v>50</v>
      </c>
      <c r="B29" s="33">
        <f>IF(ISERROR(TER_gezond_ele_kWh/1000),0,TER_gezond_ele_kWh/1000)</f>
        <v>17977.6466167504</v>
      </c>
      <c r="C29" s="39">
        <f>IF(ISERROR(B29*3.6/1000000/'E Balans VL '!Z10*100),0,B29*3.6/1000000/'E Balans VL '!Z10*100)</f>
        <v>1.7540747957123708</v>
      </c>
      <c r="D29" s="232" t="s">
        <v>770</v>
      </c>
      <c r="F29" s="6"/>
    </row>
    <row r="30" spans="1:18" ht="30">
      <c r="A30" s="227" t="s">
        <v>49</v>
      </c>
      <c r="B30" s="33">
        <f>IF(ISERROR(TER_ander_ele_kWh/1000),0,TER_ander_ele_kWh/1000)</f>
        <v>14189.2024372549</v>
      </c>
      <c r="C30" s="39">
        <f>IF(ISERROR(B30*3.6/1000000/'E Balans VL '!Z14*100),0,B30*3.6/1000000/'E Balans VL '!Z14*100)</f>
        <v>0.62284954140074733</v>
      </c>
      <c r="D30" s="232" t="s">
        <v>770</v>
      </c>
      <c r="F30" s="6"/>
    </row>
    <row r="31" spans="1:18" ht="30">
      <c r="A31" s="227" t="s">
        <v>54</v>
      </c>
      <c r="B31" s="33">
        <f>IF(ISERROR(TER_onderwijs_ele_kWh/1000),0,TER_onderwijs_ele_kWh/1000)</f>
        <v>9273.5278061250701</v>
      </c>
      <c r="C31" s="39">
        <f>IF(ISERROR(B31*3.6/1000000/'E Balans VL '!Z11*100),0,B31*3.6/1000000/'E Balans VL '!Z11*100)</f>
        <v>3.1769593226359589</v>
      </c>
      <c r="D31" s="232" t="s">
        <v>770</v>
      </c>
    </row>
    <row r="32" spans="1:18" ht="30">
      <c r="A32" s="227" t="s">
        <v>249</v>
      </c>
      <c r="B32" s="33">
        <f>IF(ISERROR(TER_rest_ele_kWh/1000),0,TER_rest_ele_kWh/1000)</f>
        <v>0</v>
      </c>
      <c r="C32" s="39">
        <f>IF(ISERROR(B32*3.6/1000000/'E Balans VL '!Z8*100),0,B32*3.6/1000000/'E Balans VL '!Z8*100)</f>
        <v>0</v>
      </c>
      <c r="D32" s="232" t="s">
        <v>770</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8</v>
      </c>
      <c r="C38" s="43"/>
      <c r="D38" s="228"/>
    </row>
    <row r="39" spans="1:4">
      <c r="A39" s="167" t="s">
        <v>444</v>
      </c>
      <c r="B39" s="306">
        <v>13.15681996793146</v>
      </c>
      <c r="C39" s="43"/>
      <c r="D39" s="300" t="s">
        <v>688</v>
      </c>
    </row>
    <row r="40" spans="1:4">
      <c r="A40" s="6" t="s">
        <v>445</v>
      </c>
      <c r="B40" s="311">
        <f>1.34/3.6</f>
        <v>0.37222222222222223</v>
      </c>
      <c r="C40" s="43" t="s">
        <v>208</v>
      </c>
      <c r="D40" s="300" t="s">
        <v>689</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23</v>
      </c>
      <c r="C46" s="32"/>
      <c r="D46" s="228"/>
    </row>
    <row r="47" spans="1:4">
      <c r="A47" s="167" t="s">
        <v>414</v>
      </c>
      <c r="B47" s="524">
        <v>37.963784638354454</v>
      </c>
      <c r="C47" s="32" t="s">
        <v>252</v>
      </c>
      <c r="D47" s="300" t="s">
        <v>688</v>
      </c>
    </row>
    <row r="48" spans="1:4">
      <c r="A48" s="167" t="s">
        <v>415</v>
      </c>
      <c r="B48" s="524">
        <v>1887.1743212997605</v>
      </c>
      <c r="C48" s="32" t="s">
        <v>254</v>
      </c>
      <c r="D48" s="300" t="s">
        <v>688</v>
      </c>
    </row>
    <row r="49" spans="1:4">
      <c r="A49" s="167" t="s">
        <v>379</v>
      </c>
      <c r="B49" s="524">
        <v>3.75</v>
      </c>
      <c r="C49" s="32"/>
      <c r="D49" s="300" t="s">
        <v>689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49689.103759361256</v>
      </c>
      <c r="C5" s="17">
        <f>IF(ISERROR('Eigen informatie GS &amp; warmtenet'!B61),0,'Eigen informatie GS &amp; warmtenet'!B61)</f>
        <v>0</v>
      </c>
      <c r="D5" s="30">
        <f>SUM(D6:D15)</f>
        <v>57651.211770436355</v>
      </c>
      <c r="E5" s="17">
        <f>SUM(E6:E15)</f>
        <v>626.99565617101939</v>
      </c>
      <c r="F5" s="17">
        <f>SUM(F6:F15)</f>
        <v>19103.924968114286</v>
      </c>
      <c r="G5" s="18"/>
      <c r="H5" s="17"/>
      <c r="I5" s="17"/>
      <c r="J5" s="17">
        <f>SUM(J6:J15)</f>
        <v>274.40617053894323</v>
      </c>
      <c r="K5" s="17"/>
      <c r="L5" s="17"/>
      <c r="M5" s="17"/>
      <c r="N5" s="17">
        <f>SUM(N6:N15)</f>
        <v>5208.2483165384574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4042.3027193083999</v>
      </c>
      <c r="C8" s="33"/>
      <c r="D8" s="37">
        <f>IF( ISERROR(IND_metaal_Gas_kWH/1000),0,IND_metaal_Gas_kWH/1000)*0.903</f>
        <v>4653.8740458029761</v>
      </c>
      <c r="E8" s="33">
        <f>C30*'E Balans VL '!I18/100/3.6*1000000</f>
        <v>11.770540611951219</v>
      </c>
      <c r="F8" s="33">
        <f>C30*'E Balans VL '!L18/100/3.6*1000000+C30*'E Balans VL '!N18/100/3.6*1000000</f>
        <v>155.35400627040013</v>
      </c>
      <c r="G8" s="34"/>
      <c r="H8" s="33"/>
      <c r="I8" s="33"/>
      <c r="J8" s="40">
        <f>C30*'E Balans VL '!D18/100/3.6*1000000+C30*'E Balans VL '!E18/100/3.6*1000000</f>
        <v>1.0922758379181832E-14</v>
      </c>
      <c r="K8" s="33"/>
      <c r="L8" s="33"/>
      <c r="M8" s="33"/>
      <c r="N8" s="33">
        <f>C30*'E Balans VL '!Y18/100/3.6*1000000</f>
        <v>59.956908385796687</v>
      </c>
      <c r="O8" s="33"/>
      <c r="P8" s="33"/>
      <c r="R8" s="32"/>
    </row>
    <row r="9" spans="1:18">
      <c r="A9" s="6" t="s">
        <v>32</v>
      </c>
      <c r="B9" s="37">
        <f t="shared" si="0"/>
        <v>22704.743860431299</v>
      </c>
      <c r="C9" s="33"/>
      <c r="D9" s="37">
        <f>IF( ISERROR(IND_andere_gas_kWh/1000),0,IND_andere_gas_kWh/1000)*0.903</f>
        <v>16350.450491992477</v>
      </c>
      <c r="E9" s="33">
        <f>C31*'E Balans VL '!I19/100/3.6*1000000</f>
        <v>115.13922990164481</v>
      </c>
      <c r="F9" s="33">
        <f>C31*'E Balans VL '!L19/100/3.6*1000000+C31*'E Balans VL '!N19/100/3.6*1000000</f>
        <v>17183.352543550478</v>
      </c>
      <c r="G9" s="34"/>
      <c r="H9" s="33"/>
      <c r="I9" s="33"/>
      <c r="J9" s="40">
        <f>C31*'E Balans VL '!D19/100/3.6*1000000+C31*'E Balans VL '!E19/100/3.6*1000000</f>
        <v>0</v>
      </c>
      <c r="K9" s="33"/>
      <c r="L9" s="33"/>
      <c r="M9" s="33"/>
      <c r="N9" s="33">
        <f>C31*'E Balans VL '!Y19/100/3.6*1000000</f>
        <v>835.78867785259808</v>
      </c>
      <c r="O9" s="33"/>
      <c r="P9" s="33"/>
      <c r="R9" s="32"/>
    </row>
    <row r="10" spans="1:18">
      <c r="A10" s="6" t="s">
        <v>40</v>
      </c>
      <c r="B10" s="37">
        <f t="shared" si="0"/>
        <v>11061.358251653901</v>
      </c>
      <c r="C10" s="33"/>
      <c r="D10" s="37">
        <f>IF( ISERROR(IND_voed_gas_kWh/1000),0,IND_voed_gas_kWh/1000)*0.903</f>
        <v>6624.8085879843793</v>
      </c>
      <c r="E10" s="33">
        <f>C32*'E Balans VL '!I20/100/3.6*1000000</f>
        <v>12.935206914833623</v>
      </c>
      <c r="F10" s="33">
        <f>C32*'E Balans VL '!L20/100/3.6*1000000+C32*'E Balans VL '!N20/100/3.6*1000000</f>
        <v>516.51781718938719</v>
      </c>
      <c r="G10" s="34"/>
      <c r="H10" s="33"/>
      <c r="I10" s="33"/>
      <c r="J10" s="40">
        <f>C32*'E Balans VL '!D20/100/3.6*1000000+C32*'E Balans VL '!E20/100/3.6*1000000</f>
        <v>0</v>
      </c>
      <c r="K10" s="33"/>
      <c r="L10" s="33"/>
      <c r="M10" s="33"/>
      <c r="N10" s="33">
        <f>C32*'E Balans VL '!Y20/100/3.6*1000000</f>
        <v>634.36873563407948</v>
      </c>
      <c r="O10" s="33"/>
      <c r="P10" s="33"/>
      <c r="R10" s="32"/>
    </row>
    <row r="11" spans="1:18">
      <c r="A11" s="6" t="s">
        <v>39</v>
      </c>
      <c r="B11" s="37">
        <f t="shared" si="0"/>
        <v>150.59328275225099</v>
      </c>
      <c r="C11" s="33"/>
      <c r="D11" s="37">
        <f>IF( ISERROR(IND_textiel_gas_kWh/1000),0,IND_textiel_gas_kWh/1000)*0.903</f>
        <v>178.35761274142911</v>
      </c>
      <c r="E11" s="33">
        <f>C33*'E Balans VL '!I21/100/3.6*1000000</f>
        <v>2.094429315714935</v>
      </c>
      <c r="F11" s="33">
        <f>C33*'E Balans VL '!L21/100/3.6*1000000+C33*'E Balans VL '!N21/100/3.6*1000000</f>
        <v>4.768190392567889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7759.3184521181402</v>
      </c>
      <c r="C12" s="33"/>
      <c r="D12" s="37">
        <f>IF( ISERROR(IND_min_gas_kWh/1000),0,IND_min_gas_kWh/1000)*0.903</f>
        <v>27713.723949929648</v>
      </c>
      <c r="E12" s="33">
        <f>C34*'E Balans VL '!I22/100/3.6*1000000</f>
        <v>81.757119064369377</v>
      </c>
      <c r="F12" s="33">
        <f>C34*'E Balans VL '!L22/100/3.6*1000000+C34*'E Balans VL '!N22/100/3.6*1000000</f>
        <v>880.9104954821421</v>
      </c>
      <c r="G12" s="34"/>
      <c r="H12" s="33"/>
      <c r="I12" s="33"/>
      <c r="J12" s="40">
        <f>C34*'E Balans VL '!D22/100/3.6*1000000+C34*'E Balans VL '!E22/100/3.6*1000000</f>
        <v>264.46902461179951</v>
      </c>
      <c r="K12" s="33"/>
      <c r="L12" s="33"/>
      <c r="M12" s="33"/>
      <c r="N12" s="33">
        <f>C34*'E Balans VL '!Y22/100/3.6*1000000</f>
        <v>3802.2384763190857</v>
      </c>
      <c r="O12" s="33"/>
      <c r="P12" s="33"/>
      <c r="R12" s="32"/>
    </row>
    <row r="13" spans="1:18">
      <c r="A13" s="6" t="s">
        <v>38</v>
      </c>
      <c r="B13" s="37">
        <f t="shared" si="0"/>
        <v>1588.3984033031702</v>
      </c>
      <c r="C13" s="33"/>
      <c r="D13" s="37">
        <f>IF( ISERROR(IND_papier_gas_kWh/1000),0,IND_papier_gas_kWh/1000)*0.903</f>
        <v>849.38438937485785</v>
      </c>
      <c r="E13" s="33">
        <f>C35*'E Balans VL '!I23/100/3.6*1000000</f>
        <v>0</v>
      </c>
      <c r="F13" s="33">
        <f>C35*'E Balans VL '!L23/100/3.6*1000000+C35*'E Balans VL '!N23/100/3.6*1000000</f>
        <v>189.76697256717031</v>
      </c>
      <c r="G13" s="34"/>
      <c r="H13" s="33"/>
      <c r="I13" s="33"/>
      <c r="J13" s="40">
        <f>C35*'E Balans VL '!D23/100/3.6*1000000+C35*'E Balans VL '!E23/100/3.6*1000000</f>
        <v>9.5857278852754142</v>
      </c>
      <c r="K13" s="33"/>
      <c r="L13" s="33"/>
      <c r="M13" s="33"/>
      <c r="N13" s="33">
        <f>C35*'E Balans VL '!Y23/100/3.6*1000000</f>
        <v>-127.65479603463979</v>
      </c>
      <c r="O13" s="33"/>
      <c r="P13" s="33"/>
      <c r="R13" s="32"/>
    </row>
    <row r="14" spans="1:18">
      <c r="A14" s="6" t="s">
        <v>33</v>
      </c>
      <c r="B14" s="37">
        <f t="shared" si="0"/>
        <v>2318.9571078337499</v>
      </c>
      <c r="C14" s="33"/>
      <c r="D14" s="37">
        <f>IF( ISERROR(IND_chemie_gas_kWh/1000),0,IND_chemie_gas_kWh/1000)*0.903</f>
        <v>1256.3736807734415</v>
      </c>
      <c r="E14" s="33">
        <f>C36*'E Balans VL '!I24/100/3.6*1000000</f>
        <v>399.99542316931598</v>
      </c>
      <c r="F14" s="33">
        <f>C36*'E Balans VL '!L24/100/3.6*1000000+C36*'E Balans VL '!N24/100/3.6*1000000</f>
        <v>160.87741450968713</v>
      </c>
      <c r="G14" s="34"/>
      <c r="H14" s="33"/>
      <c r="I14" s="33"/>
      <c r="J14" s="40">
        <f>C36*'E Balans VL '!D24/100/3.6*1000000+C36*'E Balans VL '!E24/100/3.6*1000000</f>
        <v>0</v>
      </c>
      <c r="K14" s="33"/>
      <c r="L14" s="33"/>
      <c r="M14" s="33"/>
      <c r="N14" s="33">
        <f>C36*'E Balans VL '!Y24/100/3.6*1000000</f>
        <v>1.3725791772903833</v>
      </c>
      <c r="O14" s="33"/>
      <c r="P14" s="33"/>
      <c r="R14" s="32"/>
    </row>
    <row r="15" spans="1:18">
      <c r="A15" s="6" t="s">
        <v>259</v>
      </c>
      <c r="B15" s="37">
        <f t="shared" si="0"/>
        <v>63.4316819603564</v>
      </c>
      <c r="C15" s="33"/>
      <c r="D15" s="37">
        <f>IF( ISERROR(IND_rest_gas_kWh/1000),0,IND_rest_gas_kWh/1000)*0.903</f>
        <v>24.23901183714532</v>
      </c>
      <c r="E15" s="33">
        <f>C37*'E Balans VL '!I15/100/3.6*1000000</f>
        <v>3.3037071931894189</v>
      </c>
      <c r="F15" s="33">
        <f>C37*'E Balans VL '!L15/100/3.6*1000000+C37*'E Balans VL '!N15/100/3.6*1000000</f>
        <v>12.377528152454353</v>
      </c>
      <c r="G15" s="34"/>
      <c r="H15" s="33"/>
      <c r="I15" s="33"/>
      <c r="J15" s="40">
        <f>C37*'E Balans VL '!D15/100/3.6*1000000+C37*'E Balans VL '!E15/100/3.6*1000000</f>
        <v>0.35141804186830244</v>
      </c>
      <c r="K15" s="33"/>
      <c r="L15" s="33"/>
      <c r="M15" s="33"/>
      <c r="N15" s="33">
        <f>C37*'E Balans VL '!Y15/100/3.6*1000000</f>
        <v>2.177735204247504</v>
      </c>
      <c r="O15" s="33"/>
      <c r="P15" s="33"/>
      <c r="R15" s="32"/>
    </row>
    <row r="16" spans="1:18">
      <c r="A16" s="16" t="s">
        <v>810</v>
      </c>
      <c r="B16" s="242">
        <f>'lokale energieproductie'!N39+'lokale energieproductie'!N32</f>
        <v>238.33333335240002</v>
      </c>
      <c r="C16" s="242">
        <f>'lokale energieproductie'!O39+'lokale energieproductie'!O32</f>
        <v>467.50000003740001</v>
      </c>
      <c r="D16" s="301">
        <f>('lokale energieproductie'!P32+'lokale energieproductie'!P39)*(-1)</f>
        <v>-743.89166672617807</v>
      </c>
      <c r="E16" s="301">
        <f>('lokale energieproductie'!X32+'lokale energieproductie'!X39)*(-1)</f>
        <v>0</v>
      </c>
      <c r="F16" s="301">
        <f>('lokale energieproductie'!S32+'lokale energieproductie'!S39)*(-1)</f>
        <v>0</v>
      </c>
      <c r="G16" s="244"/>
      <c r="H16" s="243"/>
      <c r="I16" s="243"/>
      <c r="J16" s="243"/>
      <c r="K16" s="243"/>
      <c r="L16" s="301">
        <f>('lokale energieproductie'!T32+'lokale energieproductie'!U32+'lokale energieproductie'!T39+'lokale energieproductie'!U39)*(-1)</f>
        <v>0</v>
      </c>
      <c r="M16" s="243"/>
      <c r="N16" s="301">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49927.437092713655</v>
      </c>
      <c r="C18" s="21">
        <f>C5+C16</f>
        <v>467.50000003740001</v>
      </c>
      <c r="D18" s="21">
        <f>MAX((D5+D16),0)</f>
        <v>56907.320103710175</v>
      </c>
      <c r="E18" s="21">
        <f>MAX((E5+E16),0)</f>
        <v>626.99565617101939</v>
      </c>
      <c r="F18" s="21">
        <f>MAX((F5+F16),0)</f>
        <v>19103.924968114286</v>
      </c>
      <c r="G18" s="21"/>
      <c r="H18" s="21"/>
      <c r="I18" s="21"/>
      <c r="J18" s="21">
        <f>MAX((J5+J16),0)</f>
        <v>274.40617053894323</v>
      </c>
      <c r="K18" s="21"/>
      <c r="L18" s="21">
        <f>MAX((L5+L16),0)</f>
        <v>0</v>
      </c>
      <c r="M18" s="21"/>
      <c r="N18" s="21">
        <f>MAX((N5+N16),0)</f>
        <v>5208.2483165384574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0.18515593165311212</v>
      </c>
      <c r="C20" s="25">
        <f ca="1">'EF ele_warmte'!B22</f>
        <v>0.22779220181341614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9244.3611299535442</v>
      </c>
      <c r="C22" s="23">
        <f ca="1">C18*C20</f>
        <v>106.49285435629147</v>
      </c>
      <c r="D22" s="23">
        <f>D18*D20</f>
        <v>11495.278660949456</v>
      </c>
      <c r="E22" s="23">
        <f>E18*E20</f>
        <v>142.3280139508214</v>
      </c>
      <c r="F22" s="23">
        <f>F18*F20</f>
        <v>5100.747966486515</v>
      </c>
      <c r="G22" s="23"/>
      <c r="H22" s="23"/>
      <c r="I22" s="23"/>
      <c r="J22" s="23">
        <f>J18*J20</f>
        <v>97.139784370785904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770</v>
      </c>
    </row>
    <row r="29" spans="1:18" ht="30">
      <c r="A29" s="167" t="s">
        <v>37</v>
      </c>
      <c r="B29" s="37">
        <f>IF( ISERROR(IND_nonf_ele_kWh/1000),0,IND_nonf_ele_kWh/1000)</f>
        <v>0</v>
      </c>
      <c r="C29" s="39">
        <f>IF(ISERROR(B29*3.6/1000000/'E Balans VL '!Z17*100),0,B29*3.6/1000000/'E Balans VL '!Z17*100)</f>
        <v>0</v>
      </c>
      <c r="D29" s="232" t="s">
        <v>770</v>
      </c>
    </row>
    <row r="30" spans="1:18" ht="30">
      <c r="A30" s="167" t="s">
        <v>35</v>
      </c>
      <c r="B30" s="37">
        <f>IF( ISERROR(IND_metaal_ele_kWh/1000),0,IND_metaal_ele_kWh/1000)</f>
        <v>4042.3027193083999</v>
      </c>
      <c r="C30" s="39">
        <f>IF(ISERROR(B30*3.6/1000000/'E Balans VL '!Z18*100),0,B30*3.6/1000000/'E Balans VL '!Z18*100)</f>
        <v>0.28334436806212571</v>
      </c>
      <c r="D30" s="232" t="s">
        <v>770</v>
      </c>
    </row>
    <row r="31" spans="1:18" ht="30">
      <c r="A31" s="6" t="s">
        <v>32</v>
      </c>
      <c r="B31" s="37">
        <f>IF( ISERROR(IND_ander_ele_kWh/1000),0,IND_ander_ele_kWh/1000)</f>
        <v>22704.743860431299</v>
      </c>
      <c r="C31" s="39">
        <f>IF(ISERROR(B31*3.6/1000000/'E Balans VL '!Z19*100),0,B31*3.6/1000000/'E Balans VL '!Z19*100)</f>
        <v>1.0637789462460709</v>
      </c>
      <c r="D31" s="232" t="s">
        <v>770</v>
      </c>
    </row>
    <row r="32" spans="1:18" ht="30">
      <c r="A32" s="167" t="s">
        <v>40</v>
      </c>
      <c r="B32" s="37">
        <f>IF( ISERROR(IND_voed_ele_kWh/1000),0,IND_voed_ele_kWh/1000)</f>
        <v>11061.358251653901</v>
      </c>
      <c r="C32" s="39">
        <f>IF(ISERROR(B32*3.6/1000000/'E Balans VL '!Z20*100),0,B32*3.6/1000000/'E Balans VL '!Z20*100)</f>
        <v>0.36511511857178103</v>
      </c>
      <c r="D32" s="232" t="s">
        <v>770</v>
      </c>
    </row>
    <row r="33" spans="1:5" ht="30">
      <c r="A33" s="167" t="s">
        <v>39</v>
      </c>
      <c r="B33" s="37">
        <f>IF( ISERROR(IND_textiel_ele_kWh/1000),0,IND_textiel_ele_kWh/1000)</f>
        <v>150.59328275225099</v>
      </c>
      <c r="C33" s="39">
        <f>IF(ISERROR(B33*3.6/1000000/'E Balans VL '!Z21*100),0,B33*3.6/1000000/'E Balans VL '!Z21*100)</f>
        <v>2.7939788214450562E-2</v>
      </c>
      <c r="D33" s="232" t="s">
        <v>770</v>
      </c>
    </row>
    <row r="34" spans="1:5" ht="30">
      <c r="A34" s="167" t="s">
        <v>36</v>
      </c>
      <c r="B34" s="37">
        <f>IF( ISERROR(IND_min_ele_kWh/1000),0,IND_min_ele_kWh/1000)</f>
        <v>7759.3184521181402</v>
      </c>
      <c r="C34" s="39">
        <f>IF(ISERROR(B34*3.6/1000000/'E Balans VL '!Z22*100),0,B34*3.6/1000000/'E Balans VL '!Z22*100)</f>
        <v>3.2560052275998723</v>
      </c>
      <c r="D34" s="232" t="s">
        <v>770</v>
      </c>
    </row>
    <row r="35" spans="1:5" ht="30">
      <c r="A35" s="167" t="s">
        <v>38</v>
      </c>
      <c r="B35" s="37">
        <f>IF( ISERROR(IND_papier_ele_kWh/1000),0,IND_papier_ele_kWh/1000)</f>
        <v>1588.3984033031702</v>
      </c>
      <c r="C35" s="39">
        <f>IF(ISERROR(B35*3.6/1000000/'E Balans VL '!Z22*100),0,B35*3.6/1000000/'E Balans VL '!Z22*100)</f>
        <v>0.66653193016644463</v>
      </c>
      <c r="D35" s="232" t="s">
        <v>770</v>
      </c>
    </row>
    <row r="36" spans="1:5" ht="30">
      <c r="A36" s="167" t="s">
        <v>33</v>
      </c>
      <c r="B36" s="37">
        <f>IF( ISERROR(IND_chemie_ele_kWh/1000),0,IND_chemie_ele_kWh/1000)</f>
        <v>2318.9571078337499</v>
      </c>
      <c r="C36" s="39">
        <f>IF(ISERROR(B36*3.6/1000000/'E Balans VL '!Z24*100),0,B36*3.6/1000000/'E Balans VL '!Z24*100)</f>
        <v>7.4663205481219921E-2</v>
      </c>
      <c r="D36" s="232" t="s">
        <v>770</v>
      </c>
    </row>
    <row r="37" spans="1:5" ht="30">
      <c r="A37" s="167" t="s">
        <v>259</v>
      </c>
      <c r="B37" s="37">
        <f>IF( ISERROR(IND_rest_ele_kWh/1000),0,IND_rest_ele_kWh/1000)</f>
        <v>63.4316819603564</v>
      </c>
      <c r="C37" s="39">
        <f>IF(ISERROR(B37*3.6/1000000/'E Balans VL '!Z15*100),0,B37*3.6/1000000/'E Balans VL '!Z15*100)</f>
        <v>5.8394398687550283E-4</v>
      </c>
      <c r="D37" s="232" t="s">
        <v>770</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688</v>
      </c>
    </row>
    <row r="45" spans="1:5">
      <c r="A45" s="6" t="s">
        <v>445</v>
      </c>
      <c r="B45" s="311">
        <f>1.34/3.6</f>
        <v>0.37222222222222223</v>
      </c>
      <c r="C45" s="43" t="s">
        <v>208</v>
      </c>
      <c r="D45" s="300" t="s">
        <v>689</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688</v>
      </c>
    </row>
    <row r="53" spans="1:4">
      <c r="A53" s="167" t="s">
        <v>253</v>
      </c>
      <c r="B53" s="306">
        <v>1870.3471198212708</v>
      </c>
      <c r="C53" s="32" t="s">
        <v>254</v>
      </c>
      <c r="D53" s="300" t="s">
        <v>688</v>
      </c>
    </row>
    <row r="54" spans="1:4">
      <c r="A54" s="167" t="s">
        <v>379</v>
      </c>
      <c r="B54" s="306">
        <v>3.75</v>
      </c>
      <c r="C54" s="32"/>
      <c r="D54" s="300" t="s">
        <v>689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1722.4115507813101</v>
      </c>
      <c r="C5" s="17">
        <f>'Eigen informatie GS &amp; warmtenet'!B62</f>
        <v>0</v>
      </c>
      <c r="D5" s="30">
        <f>IF(ISERROR(SUM(LB_lb_gas_kWh,LB_rest_gas_kWh)/1000),0,SUM(LB_lb_gas_kWh,LB_rest_gas_kWh)/1000)*0.903</f>
        <v>914.53712295290291</v>
      </c>
      <c r="E5" s="17">
        <f>B17*'E Balans VL '!I25/3.6*1000000/100</f>
        <v>58.082355899521332</v>
      </c>
      <c r="F5" s="17">
        <f>B17*('E Balans VL '!L25/3.6*1000000+'E Balans VL '!N25/3.6*1000000)/100</f>
        <v>5967.6265576027854</v>
      </c>
      <c r="G5" s="18"/>
      <c r="H5" s="17"/>
      <c r="I5" s="17"/>
      <c r="J5" s="17">
        <f>('E Balans VL '!D25+'E Balans VL '!E25)/3.6*1000000*landbouw!B17/100</f>
        <v>373.85543047662088</v>
      </c>
      <c r="K5" s="17"/>
      <c r="L5" s="17">
        <f>L6*(-1)</f>
        <v>0</v>
      </c>
      <c r="M5" s="17"/>
      <c r="N5" s="17">
        <f>N6*(-1)</f>
        <v>0</v>
      </c>
      <c r="O5" s="17"/>
      <c r="P5" s="17"/>
      <c r="R5" s="32"/>
    </row>
    <row r="6" spans="1:18">
      <c r="A6" s="16" t="s">
        <v>810</v>
      </c>
      <c r="B6" s="17" t="s">
        <v>204</v>
      </c>
      <c r="C6" s="17">
        <f>'lokale energieproductie'!O41+'lokale energieproductie'!O34</f>
        <v>0</v>
      </c>
      <c r="D6" s="301">
        <f>('lokale energieproductie'!P34+'lokale energieproductie'!P41)*(-1)</f>
        <v>0</v>
      </c>
      <c r="E6" s="301">
        <f>('lokale energieproductie'!X34+'lokale energieproductie'!X41)*(-1)</f>
        <v>0</v>
      </c>
      <c r="F6" s="301">
        <f>('lokale energieproductie'!S34+'lokale energieproductie'!S41)*(-1)</f>
        <v>0</v>
      </c>
      <c r="G6" s="244"/>
      <c r="H6" s="243"/>
      <c r="I6" s="243"/>
      <c r="J6" s="243"/>
      <c r="K6" s="243"/>
      <c r="L6" s="301">
        <f>('lokale energieproductie'!T34+'lokale energieproductie'!U34+'lokale energieproductie'!T41+'lokale energieproductie'!U41)*(-1)</f>
        <v>0</v>
      </c>
      <c r="M6" s="243"/>
      <c r="N6" s="301">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1722.4115507813101</v>
      </c>
      <c r="C8" s="21">
        <f>C5+C6</f>
        <v>0</v>
      </c>
      <c r="D8" s="21">
        <f>MAX((D5+D6),0)</f>
        <v>914.53712295290291</v>
      </c>
      <c r="E8" s="21">
        <f>MAX((E5+E6),0)</f>
        <v>58.082355899521332</v>
      </c>
      <c r="F8" s="21">
        <f>MAX((F5+F6),0)</f>
        <v>5967.6265576027854</v>
      </c>
      <c r="G8" s="21"/>
      <c r="H8" s="21"/>
      <c r="I8" s="21"/>
      <c r="J8" s="21">
        <f>MAX((J5+J6),0)</f>
        <v>373.85543047662088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0.18515593165311212</v>
      </c>
      <c r="C10" s="31">
        <f ca="1">'EF ele_warmte'!B22</f>
        <v>0.22779220181341614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318.91471537499513</v>
      </c>
      <c r="C12" s="23">
        <f ca="1">C8*C10</f>
        <v>0</v>
      </c>
      <c r="D12" s="23">
        <f>D8*D10</f>
        <v>184.73649883648639</v>
      </c>
      <c r="E12" s="23">
        <f>E8*E10</f>
        <v>13.184694789191342</v>
      </c>
      <c r="F12" s="23">
        <f>F8*F10</f>
        <v>1593.3562908799438</v>
      </c>
      <c r="G12" s="23"/>
      <c r="H12" s="23"/>
      <c r="I12" s="23"/>
      <c r="J12" s="23">
        <f>J8*J10</f>
        <v>132.3448223887238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0.24604565096755282</v>
      </c>
      <c r="C17" s="862" t="s">
        <v>770</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215.18550691137227</v>
      </c>
      <c r="C26" s="242">
        <f>B26*'GWP N2O_CH4'!B5</f>
        <v>4518.8956451388176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66.132087980335584</v>
      </c>
      <c r="C27" s="242">
        <f>B27*'GWP N2O_CH4'!B5</f>
        <v>1388.7738475870472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5.4558634172631466</v>
      </c>
      <c r="C28" s="242">
        <f>B28*'GWP N2O_CH4'!B4</f>
        <v>1691.3176593515755</v>
      </c>
      <c r="D28" s="50"/>
    </row>
    <row r="29" spans="1:4">
      <c r="A29" s="41" t="s">
        <v>266</v>
      </c>
      <c r="B29" s="242">
        <f>B34*'ha_N2O bodem landbouw'!B4</f>
        <v>21.6143724847411</v>
      </c>
      <c r="C29" s="242">
        <f>B29*'GWP N2O_CH4'!B4</f>
        <v>6700.4554702697415</v>
      </c>
      <c r="D29" s="50"/>
    </row>
    <row r="31" spans="1:4">
      <c r="A31" s="189" t="s">
        <v>461</v>
      </c>
      <c r="B31" s="199"/>
      <c r="C31" s="221"/>
    </row>
    <row r="32" spans="1:4">
      <c r="A32" s="231"/>
      <c r="B32" s="32"/>
      <c r="C32" s="232"/>
    </row>
    <row r="33" spans="1:5">
      <c r="A33" s="233"/>
      <c r="B33" s="220" t="s">
        <v>561</v>
      </c>
      <c r="C33" s="234" t="s">
        <v>175</v>
      </c>
    </row>
    <row r="34" spans="1:5" ht="15.75" thickBot="1">
      <c r="A34" s="252" t="s">
        <v>105</v>
      </c>
      <c r="B34" s="35">
        <f>IF(ISERROR(aantalCultuurgronden/'ha_N2O bodem landbouw'!B5),0,aantalCultuurgronden/'ha_N2O bodem landbouw'!B5)</f>
        <v>4.7388687182648966E-3</v>
      </c>
      <c r="C34" s="876" t="s">
        <v>753</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1.2187497212096405E-2</v>
      </c>
      <c r="C5" s="428" t="s">
        <v>204</v>
      </c>
      <c r="D5" s="413">
        <f>SUM(D6:D11)</f>
        <v>1.1020008326177095E-2</v>
      </c>
      <c r="E5" s="413">
        <f>SUM(E6:E11)</f>
        <v>3.9233280491466592E-3</v>
      </c>
      <c r="F5" s="426" t="s">
        <v>204</v>
      </c>
      <c r="G5" s="413">
        <f>SUM(G6:G11)</f>
        <v>1.5249205385396714</v>
      </c>
      <c r="H5" s="413">
        <f>SUM(H6:H11)</f>
        <v>0.53121606908543995</v>
      </c>
      <c r="I5" s="428" t="s">
        <v>204</v>
      </c>
      <c r="J5" s="428" t="s">
        <v>204</v>
      </c>
      <c r="K5" s="428" t="s">
        <v>204</v>
      </c>
      <c r="L5" s="428" t="s">
        <v>204</v>
      </c>
      <c r="M5" s="413">
        <f>SUM(M6:M11)</f>
        <v>0.21640774888419648</v>
      </c>
      <c r="N5" s="428" t="s">
        <v>204</v>
      </c>
      <c r="O5" s="428" t="s">
        <v>204</v>
      </c>
      <c r="P5" s="429" t="s">
        <v>204</v>
      </c>
    </row>
    <row r="6" spans="1:18">
      <c r="A6" s="256" t="s">
        <v>592</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5.7139255772650343E-3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5.2673776407293474E-3</v>
      </c>
      <c r="E6" s="839">
        <f>vkm_GW_PW*SUMIFS(TableVerdeelsleutelVkm[LPG],TableVerdeelsleutelVkm[Voertuigtype],"Lichte voertuigen")*SUMIFS(TableECFTransport[EnergieConsumptieFactor (PJ per km)],TableECFTransport[Index],CONCATENATE($A6,"_LPG_LPG"))</f>
        <v>1.7708370475875239E-3</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0.50118017102685364</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0.25059116438919604</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7.7664305987630966E-2</v>
      </c>
      <c r="N6" s="414"/>
      <c r="O6" s="414"/>
      <c r="P6" s="415"/>
    </row>
    <row r="7" spans="1:18">
      <c r="A7" s="256" t="s">
        <v>593</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1.1549060730986169E-5</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0.25544688571611224</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1.8410817970542103E-6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2.8594598709500093E-2</v>
      </c>
      <c r="N7" s="414"/>
      <c r="O7" s="414"/>
      <c r="P7" s="415"/>
      <c r="R7" s="836"/>
    </row>
    <row r="8" spans="1:18">
      <c r="A8" s="256" t="s">
        <v>594</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2.0977155442487147E-3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2.5090818074937063E-3</v>
      </c>
      <c r="E8" s="416">
        <f>vkm_NGW_PW*SUMIFS(TableVerdeelsleutelVkm[LPG],TableVerdeelsleutelVkm[Voertuigtype],"Lichte voertuigen")*SUMIFS(TableECFTransport[EnergieConsumptieFactor (PJ per km)],TableECFTransport[Index],CONCATENATE($A8,"_LPG_LPG"))</f>
        <v>8.0556811831715923E-4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0.20869747039983075</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0.11710734086928905</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3.3438162167733598E-2</v>
      </c>
      <c r="N8" s="414"/>
      <c r="O8" s="414"/>
      <c r="P8" s="415"/>
      <c r="R8" s="836"/>
    </row>
    <row r="9" spans="1:18">
      <c r="A9" s="256" t="s">
        <v>595</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2.8514795538250211E-7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8.1194466237403465E-3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5.4867241617617215E-8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9.0888654611894079E-4</v>
      </c>
      <c r="N9" s="414"/>
      <c r="O9" s="414"/>
      <c r="P9" s="415"/>
      <c r="R9" s="836"/>
    </row>
    <row r="10" spans="1:18">
      <c r="A10" s="256" t="s">
        <v>596</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4.3538962672523837E-3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3.2435488779540417E-3</v>
      </c>
      <c r="E10" s="416">
        <f>vkm_SW_PW*SUMIFS(TableVerdeelsleutelVkm[LPG],TableVerdeelsleutelVkm[Voertuigtype],"Lichte voertuigen")*SUMIFS(TableECFTransport[EnergieConsumptieFactor (PJ per km)],TableECFTransport[Index],CONCATENATE($A10,"_LPG_LPG"))</f>
        <v>1.346922883241976E-3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0.34079103870203425</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0.16351400646243264</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5.2217749040370146E-2</v>
      </c>
      <c r="N10" s="414"/>
      <c r="O10" s="414"/>
      <c r="P10" s="415"/>
      <c r="R10" s="836"/>
    </row>
    <row r="11" spans="1:18">
      <c r="A11" s="4" t="s">
        <v>597</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1.0125614643904203E-5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0.21068552607110025</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1.6614154835477957E-6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2.3584046432842707E-2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3385.415892249001</v>
      </c>
      <c r="C14" s="21"/>
      <c r="D14" s="21">
        <f t="shared" ref="D14:M14" si="0">((D5)*10^9/3600)+D12</f>
        <v>3061.1134239380822</v>
      </c>
      <c r="E14" s="21">
        <f t="shared" si="0"/>
        <v>1089.8133469851832</v>
      </c>
      <c r="F14" s="21"/>
      <c r="G14" s="21">
        <f t="shared" si="0"/>
        <v>423589.03848324204</v>
      </c>
      <c r="H14" s="21">
        <f t="shared" si="0"/>
        <v>147560.01919039997</v>
      </c>
      <c r="I14" s="21"/>
      <c r="J14" s="21"/>
      <c r="K14" s="21"/>
      <c r="L14" s="21"/>
      <c r="M14" s="21">
        <f t="shared" si="0"/>
        <v>60113.263578943472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0.18515593165311212</v>
      </c>
      <c r="C16" s="56">
        <f ca="1">'EF ele_warmte'!B22</f>
        <v>0.22779220181341614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626.82983356261559</v>
      </c>
      <c r="C18" s="23"/>
      <c r="D18" s="23">
        <f t="shared" ref="D18:M18" si="1">D14*D16</f>
        <v>618.34491163549262</v>
      </c>
      <c r="E18" s="23">
        <f t="shared" si="1"/>
        <v>247.3876297656366</v>
      </c>
      <c r="F18" s="23"/>
      <c r="G18" s="23">
        <f t="shared" si="1"/>
        <v>113098.27327502563</v>
      </c>
      <c r="H18" s="23">
        <f t="shared" si="1"/>
        <v>36742.44477840959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598</v>
      </c>
      <c r="D23" s="867" t="s">
        <v>599</v>
      </c>
      <c r="E23" s="867" t="s">
        <v>600</v>
      </c>
      <c r="F23" s="867" t="s">
        <v>584</v>
      </c>
      <c r="G23" s="867" t="s">
        <v>601</v>
      </c>
      <c r="H23" s="867" t="s">
        <v>602</v>
      </c>
      <c r="I23" s="867" t="s">
        <v>112</v>
      </c>
      <c r="J23" s="867" t="s">
        <v>603</v>
      </c>
      <c r="K23" s="867" t="s">
        <v>604</v>
      </c>
      <c r="L23" s="868" t="s">
        <v>605</v>
      </c>
      <c r="M23" s="128" t="s">
        <v>175</v>
      </c>
      <c r="N23" s="263" t="s">
        <v>303</v>
      </c>
    </row>
    <row r="24" spans="1:18">
      <c r="A24" s="32" t="s">
        <v>590</v>
      </c>
      <c r="B24" s="1002">
        <v>5.4120665560051361E-3</v>
      </c>
      <c r="C24" s="1002">
        <v>0.64447559623619466</v>
      </c>
      <c r="D24" s="1005" t="s">
        <v>826</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823</v>
      </c>
      <c r="N24" s="838">
        <f>SUM(B24:L24)</f>
        <v>1</v>
      </c>
      <c r="O24" s="836"/>
    </row>
    <row r="25" spans="1:18">
      <c r="A25" s="32" t="s">
        <v>591</v>
      </c>
      <c r="B25" s="1005" t="s">
        <v>826</v>
      </c>
      <c r="C25" s="1002">
        <v>0.99989598380856826</v>
      </c>
      <c r="D25" s="1005" t="s">
        <v>826</v>
      </c>
      <c r="E25" s="1005" t="s">
        <v>826</v>
      </c>
      <c r="F25" s="1002"/>
      <c r="G25" s="1005">
        <v>9.2685859755476838E-5</v>
      </c>
      <c r="H25" s="1005" t="s">
        <v>826</v>
      </c>
      <c r="I25" s="1005" t="s">
        <v>826</v>
      </c>
      <c r="J25" s="1005">
        <v>1.1330331676291997E-5</v>
      </c>
      <c r="K25" s="1005" t="s">
        <v>826</v>
      </c>
      <c r="L25" s="1003" t="s">
        <v>826</v>
      </c>
      <c r="M25" s="264" t="s">
        <v>823</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822</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1.1505737547307649E-3</v>
      </c>
      <c r="C50" s="312">
        <f t="shared" ref="C50:P50" si="2">SUM(C51:C52)</f>
        <v>0</v>
      </c>
      <c r="D50" s="312">
        <f t="shared" si="2"/>
        <v>0</v>
      </c>
      <c r="E50" s="312">
        <f t="shared" si="2"/>
        <v>0</v>
      </c>
      <c r="F50" s="312">
        <f t="shared" si="2"/>
        <v>0</v>
      </c>
      <c r="G50" s="312">
        <f t="shared" si="2"/>
        <v>4.7250310467641291E-2</v>
      </c>
      <c r="H50" s="312">
        <f t="shared" si="2"/>
        <v>0</v>
      </c>
      <c r="I50" s="312">
        <f t="shared" si="2"/>
        <v>0</v>
      </c>
      <c r="J50" s="312">
        <f t="shared" si="2"/>
        <v>0</v>
      </c>
      <c r="K50" s="312">
        <f t="shared" si="2"/>
        <v>0</v>
      </c>
      <c r="L50" s="312">
        <f t="shared" si="2"/>
        <v>0</v>
      </c>
      <c r="M50" s="312">
        <f t="shared" si="2"/>
        <v>5.289147203782203E-3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1.1505737547307649E-3</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4.7250310467641291E-2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5.289147203782203E-3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319.60382075854579</v>
      </c>
      <c r="C54" s="21">
        <f t="shared" ref="C54:P54" si="3">(C50)*10^9/3600</f>
        <v>0</v>
      </c>
      <c r="D54" s="21">
        <f t="shared" si="3"/>
        <v>0</v>
      </c>
      <c r="E54" s="21">
        <f t="shared" si="3"/>
        <v>0</v>
      </c>
      <c r="F54" s="21">
        <f t="shared" si="3"/>
        <v>0</v>
      </c>
      <c r="G54" s="21">
        <f t="shared" si="3"/>
        <v>13125.086241011471</v>
      </c>
      <c r="H54" s="21">
        <f t="shared" si="3"/>
        <v>0</v>
      </c>
      <c r="I54" s="21">
        <f t="shared" si="3"/>
        <v>0</v>
      </c>
      <c r="J54" s="21">
        <f t="shared" si="3"/>
        <v>0</v>
      </c>
      <c r="K54" s="21">
        <f t="shared" si="3"/>
        <v>0</v>
      </c>
      <c r="L54" s="21">
        <f t="shared" si="3"/>
        <v>0</v>
      </c>
      <c r="M54" s="21">
        <f t="shared" si="3"/>
        <v>1469.2075566061674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0.18515593165311212</v>
      </c>
      <c r="C56" s="56">
        <f ca="1">'EF ele_warmte'!B22</f>
        <v>0.22779220181341614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59.1765431924428</v>
      </c>
      <c r="C58" s="23">
        <f t="shared" ref="C58:P58" ca="1" si="4">C54*C56</f>
        <v>0</v>
      </c>
      <c r="D58" s="23">
        <f t="shared" si="4"/>
        <v>0</v>
      </c>
      <c r="E58" s="23">
        <f t="shared" si="4"/>
        <v>0</v>
      </c>
      <c r="F58" s="23">
        <f t="shared" si="4"/>
        <v>0</v>
      </c>
      <c r="G58" s="23">
        <f t="shared" si="4"/>
        <v>3504.398026350063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521</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718</v>
      </c>
      <c r="B65" s="1001">
        <v>9.1200000000000003E-2</v>
      </c>
      <c r="C65" s="293" t="s">
        <v>711</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522</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0"/>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641</v>
      </c>
      <c r="N2" s="1226" t="s">
        <v>642</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19735.496538483909</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41479.398437376796</v>
      </c>
      <c r="C6" s="1196"/>
      <c r="D6" s="1199"/>
      <c r="E6" s="1199"/>
      <c r="F6" s="1202"/>
      <c r="G6" s="1205"/>
      <c r="H6" s="1193"/>
      <c r="I6" s="1199"/>
      <c r="J6" s="1199"/>
      <c r="K6" s="1199"/>
      <c r="L6" s="1199"/>
      <c r="M6" s="1199"/>
      <c r="N6" s="902"/>
      <c r="O6" s="536"/>
      <c r="P6" s="1239"/>
      <c r="Q6" s="1240"/>
      <c r="S6" s="534"/>
      <c r="T6" s="1236"/>
      <c r="U6" s="1236"/>
    </row>
    <row r="7" spans="1:21" s="525" customFormat="1">
      <c r="A7" s="535" t="s">
        <v>639</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N31</f>
        <v>7681.3888895033997</v>
      </c>
      <c r="C8" s="539">
        <f>B50</f>
        <v>8491.1794916707495</v>
      </c>
      <c r="D8" s="540">
        <f>J50</f>
        <v>0</v>
      </c>
      <c r="E8" s="540">
        <f>E50</f>
        <v>0</v>
      </c>
      <c r="F8" s="541"/>
      <c r="G8" s="542"/>
      <c r="H8" s="540">
        <f>I50</f>
        <v>0</v>
      </c>
      <c r="I8" s="540">
        <f>G50+F50</f>
        <v>0</v>
      </c>
      <c r="J8" s="540">
        <f>H50+D50+C50</f>
        <v>1795.06729355059</v>
      </c>
      <c r="K8" s="540"/>
      <c r="L8" s="540"/>
      <c r="M8" s="540"/>
      <c r="N8" s="543"/>
      <c r="O8" s="544">
        <f>C8*$C$12+D8*$D$12+E8*$E$12+F8*$F$12+G8*$G$12+H8*$H$12+I8*$I$12+J8*$J$12</f>
        <v>1715.2182573174914</v>
      </c>
      <c r="P8" s="1239"/>
      <c r="Q8" s="1240"/>
      <c r="S8" s="534"/>
      <c r="T8" s="1236"/>
      <c r="U8" s="1236"/>
    </row>
    <row r="9" spans="1:21" s="525" customFormat="1" ht="17.45" customHeight="1" thickBot="1">
      <c r="A9" s="545" t="s">
        <v>237</v>
      </c>
      <c r="B9" s="546">
        <f>N38+'Eigen informatie GS &amp; warmtenet'!B12</f>
        <v>0</v>
      </c>
      <c r="C9" s="547">
        <f>B59+IF(ISERROR(('Eigen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J59+IF(ISERROR('Eigen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(G59+F59)+IF(ISERROR('Eigen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(H59+D59)+C59+IF(ISERROR('Eigen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68896.283865364108</v>
      </c>
      <c r="C10" s="554">
        <f t="shared" ref="C10:L10" si="0">SUM(C8:C9)</f>
        <v>8491.1794916707495</v>
      </c>
      <c r="D10" s="554">
        <f t="shared" si="0"/>
        <v>0</v>
      </c>
      <c r="E10" s="554">
        <f t="shared" si="0"/>
        <v>0</v>
      </c>
      <c r="F10" s="554">
        <f t="shared" si="0"/>
        <v>0</v>
      </c>
      <c r="G10" s="554">
        <f t="shared" si="0"/>
        <v>0</v>
      </c>
      <c r="H10" s="554">
        <f t="shared" si="0"/>
        <v>0</v>
      </c>
      <c r="I10" s="554">
        <f t="shared" si="0"/>
        <v>0</v>
      </c>
      <c r="J10" s="554">
        <f t="shared" si="0"/>
        <v>1795.06729355059</v>
      </c>
      <c r="K10" s="554">
        <f t="shared" si="0"/>
        <v>0</v>
      </c>
      <c r="L10" s="554">
        <f t="shared" si="0"/>
        <v>0</v>
      </c>
      <c r="M10" s="912"/>
      <c r="N10" s="912"/>
      <c r="O10" s="555">
        <f>SUM(O4:O9)</f>
        <v>1715.2182573174914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641</v>
      </c>
      <c r="N15" s="1226" t="s">
        <v>642</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O31</f>
        <v>9399.4444451964009</v>
      </c>
      <c r="C17" s="570">
        <f>B51</f>
        <v>10390.356620950884</v>
      </c>
      <c r="D17" s="571">
        <f>J51</f>
        <v>0</v>
      </c>
      <c r="E17" s="571">
        <f>E51</f>
        <v>0</v>
      </c>
      <c r="F17" s="572"/>
      <c r="G17" s="573"/>
      <c r="H17" s="570">
        <f>I51</f>
        <v>0</v>
      </c>
      <c r="I17" s="571">
        <f>G51+F51</f>
        <v>0</v>
      </c>
      <c r="J17" s="571">
        <f>H51+D51+C51</f>
        <v>2196.5604845465182</v>
      </c>
      <c r="K17" s="571"/>
      <c r="L17" s="571"/>
      <c r="M17" s="571"/>
      <c r="N17" s="913"/>
      <c r="O17" s="574">
        <f>C17*$C$22+E17*$E$22+H17*$H$22+I17*$I$22+J17*$J$22+D17*$D$22+F17*$F$22+G17*$G$22+K17*$K$22+L17*$L$22</f>
        <v>2098.8520374320788</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O38+'Eigen informatie GS &amp; warmtenet'!B11</f>
        <v>0</v>
      </c>
      <c r="C19" s="578">
        <f>B60+IF(ISERROR(('Eigen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J60+IF(ISERROR(('Eigen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E60+IF(ISERROR(('Eigen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I60+IF(ISERROR(('Eigen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(G60+F60)+IF(ISERROR(('Eigen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(H60+D60+C60)+IF(ISERROR(('Eigen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9399.4444451964009</v>
      </c>
      <c r="C20" s="553">
        <f>SUM(C17:C19)</f>
        <v>10390.356620950884</v>
      </c>
      <c r="D20" s="553">
        <f t="shared" ref="D20:L20" si="1">SUM(D17:D19)</f>
        <v>0</v>
      </c>
      <c r="E20" s="553">
        <f t="shared" si="1"/>
        <v>0</v>
      </c>
      <c r="F20" s="553">
        <f t="shared" si="1"/>
        <v>0</v>
      </c>
      <c r="G20" s="553">
        <f t="shared" si="1"/>
        <v>0</v>
      </c>
      <c r="H20" s="553">
        <f t="shared" si="1"/>
        <v>0</v>
      </c>
      <c r="I20" s="553">
        <f t="shared" si="1"/>
        <v>0</v>
      </c>
      <c r="J20" s="553">
        <f t="shared" si="1"/>
        <v>2196.5604845465182</v>
      </c>
      <c r="K20" s="553">
        <f t="shared" si="1"/>
        <v>0</v>
      </c>
      <c r="L20" s="553">
        <f t="shared" si="1"/>
        <v>0</v>
      </c>
      <c r="M20" s="553"/>
      <c r="N20" s="553"/>
      <c r="O20" s="579">
        <f>SUM(O17:O19)</f>
        <v>2098.8520374320788</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773</v>
      </c>
      <c r="Y27" s="624" t="s">
        <v>286</v>
      </c>
      <c r="Z27" s="624" t="s">
        <v>103</v>
      </c>
      <c r="AA27" s="626" t="s">
        <v>287</v>
      </c>
    </row>
    <row r="28" spans="1:27" s="584" customFormat="1" ht="12.75" hidden="1">
      <c r="A28" s="583"/>
      <c r="B28" s="741">
        <v>71022</v>
      </c>
      <c r="C28" s="741"/>
      <c r="D28" s="628"/>
      <c r="E28" s="627"/>
      <c r="F28" s="627"/>
      <c r="G28" s="627"/>
      <c r="H28" s="627"/>
      <c r="I28" s="627"/>
      <c r="J28" s="740"/>
      <c r="K28" s="740"/>
      <c r="L28" s="627"/>
      <c r="M28" s="627">
        <v>1602.35</v>
      </c>
      <c r="N28" s="627">
        <v>7359.7222228110004</v>
      </c>
      <c r="O28" s="627">
        <v>8746.3888895886012</v>
      </c>
      <c r="P28" s="627">
        <v>17826.944445870602</v>
      </c>
      <c r="Q28" s="627">
        <v>3991.6277780971081</v>
      </c>
      <c r="R28" s="627">
        <v>0</v>
      </c>
      <c r="S28" s="627">
        <v>0</v>
      </c>
      <c r="T28" s="627">
        <v>0</v>
      </c>
      <c r="U28" s="627">
        <v>0</v>
      </c>
      <c r="V28" s="627">
        <v>0</v>
      </c>
      <c r="W28" s="627">
        <v>0</v>
      </c>
      <c r="X28" s="627">
        <v>0</v>
      </c>
      <c r="Y28" s="627"/>
      <c r="Z28" s="627"/>
      <c r="AA28" s="629" t="s">
        <v>830</v>
      </c>
    </row>
    <row r="29" spans="1:27" s="584" customFormat="1" ht="12.75" hidden="1">
      <c r="A29" s="583"/>
      <c r="B29" s="741">
        <v>71022</v>
      </c>
      <c r="C29" s="741"/>
      <c r="D29" s="628"/>
      <c r="E29" s="627"/>
      <c r="F29" s="627"/>
      <c r="G29" s="627"/>
      <c r="H29" s="627"/>
      <c r="I29" s="627"/>
      <c r="J29" s="740"/>
      <c r="K29" s="740"/>
      <c r="L29" s="627"/>
      <c r="M29" s="627">
        <v>50</v>
      </c>
      <c r="N29" s="627">
        <v>238.33333335240002</v>
      </c>
      <c r="O29" s="627">
        <v>467.50000003740001</v>
      </c>
      <c r="P29" s="627">
        <v>743.89166672617807</v>
      </c>
      <c r="Q29" s="627">
        <v>0</v>
      </c>
      <c r="R29" s="627">
        <v>0</v>
      </c>
      <c r="S29" s="627">
        <v>0</v>
      </c>
      <c r="T29" s="627">
        <v>0</v>
      </c>
      <c r="U29" s="627">
        <v>0</v>
      </c>
      <c r="V29" s="627">
        <v>0</v>
      </c>
      <c r="W29" s="627">
        <v>0</v>
      </c>
      <c r="X29" s="627">
        <v>0</v>
      </c>
      <c r="Y29" s="627"/>
      <c r="Z29" s="627"/>
      <c r="AA29" s="629" t="s">
        <v>370</v>
      </c>
    </row>
    <row r="30" spans="1:27" s="584" customFormat="1" ht="12.75" hidden="1">
      <c r="A30" s="583"/>
      <c r="B30" s="741">
        <v>71022</v>
      </c>
      <c r="C30" s="741"/>
      <c r="D30" s="628"/>
      <c r="E30" s="627"/>
      <c r="F30" s="627"/>
      <c r="G30" s="627"/>
      <c r="H30" s="627"/>
      <c r="I30" s="627"/>
      <c r="J30" s="740"/>
      <c r="K30" s="740"/>
      <c r="L30" s="627"/>
      <c r="M30" s="627">
        <v>22.7</v>
      </c>
      <c r="N30" s="627">
        <v>83.33333334000001</v>
      </c>
      <c r="O30" s="627">
        <v>185.5555555704</v>
      </c>
      <c r="P30" s="627">
        <v>310.70000002485602</v>
      </c>
      <c r="Q30" s="627">
        <v>0</v>
      </c>
      <c r="R30" s="627">
        <v>0</v>
      </c>
      <c r="S30" s="627">
        <v>0</v>
      </c>
      <c r="T30" s="627">
        <v>0</v>
      </c>
      <c r="U30" s="627">
        <v>0</v>
      </c>
      <c r="V30" s="627">
        <v>0</v>
      </c>
      <c r="W30" s="627">
        <v>0</v>
      </c>
      <c r="X30" s="627">
        <v>0</v>
      </c>
      <c r="Y30" s="627"/>
      <c r="Z30" s="627"/>
      <c r="AA30" s="629" t="s">
        <v>148</v>
      </c>
    </row>
    <row r="31" spans="1:27" s="564" customFormat="1" hidden="1">
      <c r="A31" s="586" t="s">
        <v>269</v>
      </c>
      <c r="B31" s="587"/>
      <c r="C31" s="587"/>
      <c r="D31" s="587"/>
      <c r="E31" s="587"/>
      <c r="F31" s="587"/>
      <c r="G31" s="587"/>
      <c r="H31" s="587"/>
      <c r="I31" s="587"/>
      <c r="J31" s="587"/>
      <c r="K31" s="587"/>
      <c r="L31" s="588"/>
      <c r="M31" s="588">
        <f>SUM(M28:M30)</f>
        <v>1675.05</v>
      </c>
      <c r="N31" s="588">
        <f>SUM(N28:N30)</f>
        <v>7681.3888895033997</v>
      </c>
      <c r="O31" s="588">
        <f>SUM(O28:O30)</f>
        <v>9399.4444451964009</v>
      </c>
      <c r="P31" s="588">
        <f>SUM(P28:P30)</f>
        <v>18881.536112621634</v>
      </c>
      <c r="Q31" s="588">
        <f>SUM(Q28:Q30)</f>
        <v>3991.6277780971081</v>
      </c>
      <c r="R31" s="588">
        <f>SUM(R28:R30)</f>
        <v>0</v>
      </c>
      <c r="S31" s="588">
        <f>SUM(S28:S30)</f>
        <v>0</v>
      </c>
      <c r="T31" s="588">
        <f>SUM(T28:T30)</f>
        <v>0</v>
      </c>
      <c r="U31" s="588">
        <f>SUM(U28:U30)</f>
        <v>0</v>
      </c>
      <c r="V31" s="588">
        <f>SUM(V28:V30)</f>
        <v>0</v>
      </c>
      <c r="W31" s="588">
        <f>SUM(W28:W30)</f>
        <v>0</v>
      </c>
      <c r="X31" s="588">
        <f>SUM(X28:X30)</f>
        <v>0</v>
      </c>
      <c r="Y31" s="589"/>
      <c r="Z31" s="589"/>
      <c r="AA31" s="590"/>
    </row>
    <row r="32" spans="1:27" s="564" customFormat="1">
      <c r="A32" s="586" t="s">
        <v>274</v>
      </c>
      <c r="B32" s="587"/>
      <c r="C32" s="587"/>
      <c r="D32" s="587"/>
      <c r="E32" s="587"/>
      <c r="F32" s="587"/>
      <c r="G32" s="587"/>
      <c r="H32" s="587"/>
      <c r="I32" s="587"/>
      <c r="J32" s="587"/>
      <c r="K32" s="587"/>
      <c r="L32" s="588"/>
      <c r="M32" s="588">
        <f>SUMIF($AA$28:$AA$30,"industrie",M28:M30)</f>
        <v>50</v>
      </c>
      <c r="N32" s="588">
        <f>SUMIF($AA$28:$AA$30,"industrie",N28:N30)</f>
        <v>238.33333335240002</v>
      </c>
      <c r="O32" s="588">
        <f>SUMIF($AA$28:$AA$30,"industrie",O28:O30)</f>
        <v>467.50000003740001</v>
      </c>
      <c r="P32" s="588">
        <f>SUMIF($AA$28:$AA$30,"industrie",P28:P30)</f>
        <v>743.89166672617807</v>
      </c>
      <c r="Q32" s="588">
        <f>SUMIF($AA$28:$AA$30,"industrie",Q28:Q30)</f>
        <v>0</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f>SUMIF($AA$28:$AA$30,"industrie",X28:X30)</f>
        <v>0</v>
      </c>
      <c r="Y32" s="589"/>
      <c r="Z32" s="589"/>
      <c r="AA32" s="590"/>
    </row>
    <row r="33" spans="1:28" s="564" customFormat="1">
      <c r="A33" s="586" t="s">
        <v>275</v>
      </c>
      <c r="B33" s="587"/>
      <c r="C33" s="587"/>
      <c r="D33" s="587"/>
      <c r="E33" s="587"/>
      <c r="F33" s="587"/>
      <c r="G33" s="587"/>
      <c r="H33" s="587"/>
      <c r="I33" s="587"/>
      <c r="J33" s="587"/>
      <c r="K33" s="587"/>
      <c r="L33" s="588"/>
      <c r="M33" s="588">
        <f ca="1">SUMIF($AA$28:AD30,"tertiair",M28:M30)</f>
        <v>1602.35</v>
      </c>
      <c r="N33" s="588">
        <f ca="1">SUMIF($AA$28:AE30,"tertiair",N28:N30)</f>
        <v>7359.7222228110004</v>
      </c>
      <c r="O33" s="588">
        <f ca="1">SUMIF($AA$28:AF30,"tertiair",O28:O30)</f>
        <v>8746.3888895886012</v>
      </c>
      <c r="P33" s="588">
        <f ca="1">SUMIF($AA$28:AG30,"tertiair",P28:P30)</f>
        <v>17826.944445870602</v>
      </c>
      <c r="Q33" s="588">
        <f ca="1">SUMIF($AA$28:AH30,"tertiair",Q28:Q30)</f>
        <v>3991.6277780971081</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f ca="1">SUMIF($AA$28:AO30,"tertiair",X28:X30)</f>
        <v>0</v>
      </c>
      <c r="Y33" s="589"/>
      <c r="Z33" s="589"/>
      <c r="AA33" s="590"/>
    </row>
    <row r="34" spans="1:28" s="564" customFormat="1" ht="15.75" thickBot="1">
      <c r="A34" s="591" t="s">
        <v>276</v>
      </c>
      <c r="B34" s="592"/>
      <c r="C34" s="592"/>
      <c r="D34" s="592"/>
      <c r="E34" s="592"/>
      <c r="F34" s="592"/>
      <c r="G34" s="592"/>
      <c r="H34" s="592"/>
      <c r="I34" s="592"/>
      <c r="J34" s="592"/>
      <c r="K34" s="592"/>
      <c r="L34" s="593"/>
      <c r="M34" s="593">
        <f>SUMIF($AA$28:$AA$30,"landbouw",M28:M30)</f>
        <v>0</v>
      </c>
      <c r="N34" s="593">
        <f>SUMIF($AA$28:$AA$30,"landbouw",N28:N30)</f>
        <v>0</v>
      </c>
      <c r="O34" s="593">
        <f>SUMIF($AA$28:$AA$30,"landbouw",O28:O30)</f>
        <v>0</v>
      </c>
      <c r="P34" s="593">
        <f>SUMIF($AA$28:$AA$30,"landbouw",P28:P30)</f>
        <v>0</v>
      </c>
      <c r="Q34" s="593">
        <f>SUMIF($AA$28:$AA$30,"landbouw",Q28:Q30)</f>
        <v>0</v>
      </c>
      <c r="R34" s="593">
        <f>SUMIF($AA$28:$AA$30,"landbouw",R28:R30)</f>
        <v>0</v>
      </c>
      <c r="S34" s="593">
        <f>SUMIF($AA$28:$AA$30,"landbouw",S28:S30)</f>
        <v>0</v>
      </c>
      <c r="T34" s="593">
        <f>SUMIF($AA$28:$AA$30,"landbouw",T28:T30)</f>
        <v>0</v>
      </c>
      <c r="U34" s="593">
        <f>SUMIF($AA$28:$AA$30,"landbouw",U28:U30)</f>
        <v>0</v>
      </c>
      <c r="V34" s="593">
        <f>SUMIF($AA$28:$AA$30,"landbouw",V28:V30)</f>
        <v>0</v>
      </c>
      <c r="W34" s="593">
        <f>SUMIF($AA$28:$AA$30,"landbouw",W28:W30)</f>
        <v>0</v>
      </c>
      <c r="X34" s="593">
        <f>SUMIF($AA$28:$AA$30,"landbouw",X28:X30)</f>
        <v>0</v>
      </c>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82" t="s">
        <v>816</v>
      </c>
      <c r="B36" s="624" t="s">
        <v>89</v>
      </c>
      <c r="C36" s="624" t="s">
        <v>90</v>
      </c>
      <c r="D36" s="624"/>
      <c r="E36" s="624"/>
      <c r="F36" s="624"/>
      <c r="G36" s="624" t="s">
        <v>91</v>
      </c>
      <c r="H36" s="624" t="s">
        <v>92</v>
      </c>
      <c r="I36" s="624"/>
      <c r="J36" s="624"/>
      <c r="K36" s="624"/>
      <c r="L36" s="624" t="s">
        <v>93</v>
      </c>
      <c r="M36" s="625" t="s">
        <v>285</v>
      </c>
      <c r="N36" s="625" t="s">
        <v>94</v>
      </c>
      <c r="O36" s="625" t="s">
        <v>95</v>
      </c>
      <c r="P36" s="625" t="s">
        <v>495</v>
      </c>
      <c r="Q36" s="625" t="s">
        <v>96</v>
      </c>
      <c r="R36" s="625" t="s">
        <v>97</v>
      </c>
      <c r="S36" s="625" t="s">
        <v>98</v>
      </c>
      <c r="T36" s="625" t="s">
        <v>99</v>
      </c>
      <c r="U36" s="625" t="s">
        <v>100</v>
      </c>
      <c r="V36" s="625" t="s">
        <v>101</v>
      </c>
      <c r="W36" s="624" t="s">
        <v>102</v>
      </c>
      <c r="X36" s="624" t="s">
        <v>773</v>
      </c>
      <c r="Y36" s="624" t="s">
        <v>286</v>
      </c>
      <c r="Z36" s="624" t="s">
        <v>103</v>
      </c>
      <c r="AA36" s="626" t="s">
        <v>287</v>
      </c>
    </row>
    <row r="37" spans="1:28" s="598" customFormat="1" ht="12.75" hidden="1">
      <c r="A37" s="585"/>
      <c r="B37" s="741"/>
      <c r="C37" s="741"/>
      <c r="D37" s="630"/>
      <c r="E37" s="630"/>
      <c r="F37" s="630"/>
      <c r="G37" s="630"/>
      <c r="H37" s="630"/>
      <c r="I37" s="630"/>
      <c r="J37" s="740"/>
      <c r="K37" s="740"/>
      <c r="L37" s="630"/>
      <c r="M37" s="630"/>
      <c r="N37" s="630"/>
      <c r="O37" s="630"/>
      <c r="P37" s="630"/>
      <c r="Q37" s="630"/>
      <c r="R37" s="630"/>
      <c r="S37" s="630"/>
      <c r="T37" s="630"/>
      <c r="U37" s="630"/>
      <c r="V37" s="630"/>
      <c r="W37" s="630"/>
      <c r="X37" s="630"/>
      <c r="Y37" s="630"/>
      <c r="Z37" s="630"/>
      <c r="AA37" s="631"/>
    </row>
    <row r="38" spans="1:28" s="564" customFormat="1" hidden="1">
      <c r="A38" s="586" t="s">
        <v>269</v>
      </c>
      <c r="B38" s="587"/>
      <c r="C38" s="587"/>
      <c r="D38" s="587"/>
      <c r="E38" s="587"/>
      <c r="F38" s="587"/>
      <c r="G38" s="587"/>
      <c r="H38" s="587"/>
      <c r="I38" s="587"/>
      <c r="J38" s="587"/>
      <c r="K38" s="587"/>
      <c r="L38" s="588"/>
      <c r="M38" s="588">
        <f>SUM(M37:M37)</f>
        <v>0</v>
      </c>
      <c r="N38" s="588">
        <f>SUM(N37:N37)</f>
        <v>0</v>
      </c>
      <c r="O38" s="588">
        <f>SUM(O37:O37)</f>
        <v>0</v>
      </c>
      <c r="P38" s="588">
        <f>SUM(P37:P37)</f>
        <v>0</v>
      </c>
      <c r="Q38" s="588">
        <f>SUM(Q37:Q37)</f>
        <v>0</v>
      </c>
      <c r="R38" s="588">
        <f>SUM(R37:R37)</f>
        <v>0</v>
      </c>
      <c r="S38" s="588">
        <f>SUM(S37:S37)</f>
        <v>0</v>
      </c>
      <c r="T38" s="588">
        <f>SUM(T37:T37)</f>
        <v>0</v>
      </c>
      <c r="U38" s="588">
        <f>SUM(U37:U37)</f>
        <v>0</v>
      </c>
      <c r="V38" s="588">
        <f>SUM(V37:V37)</f>
        <v>0</v>
      </c>
      <c r="W38" s="588">
        <f>SUM(W37:W37)</f>
        <v>0</v>
      </c>
      <c r="X38" s="588">
        <f>SUM(X37:X37)</f>
        <v>0</v>
      </c>
      <c r="Y38" s="589"/>
      <c r="Z38" s="589"/>
      <c r="AA38" s="590"/>
    </row>
    <row r="39" spans="1:28" s="564" customFormat="1">
      <c r="A39" s="586" t="s">
        <v>274</v>
      </c>
      <c r="B39" s="587"/>
      <c r="C39" s="587"/>
      <c r="D39" s="587"/>
      <c r="E39" s="587"/>
      <c r="F39" s="587"/>
      <c r="G39" s="587"/>
      <c r="H39" s="587"/>
      <c r="I39" s="587"/>
      <c r="J39" s="587"/>
      <c r="K39" s="587"/>
      <c r="L39" s="588"/>
      <c r="M39" s="588">
        <f>SUMIF($AA$37:$AA$37,"industrie",M37:M37)</f>
        <v>0</v>
      </c>
      <c r="N39" s="588">
        <f>SUMIF($AA$37:$AA$37,"industrie",N37:N37)</f>
        <v>0</v>
      </c>
      <c r="O39" s="588">
        <f>SUMIF($AA$37:$AA$37,"industrie",O37:O37)</f>
        <v>0</v>
      </c>
      <c r="P39" s="588">
        <f>SUMIF($AA$37:$AA$37,"industrie",P37:P37)</f>
        <v>0</v>
      </c>
      <c r="Q39" s="588">
        <f>SUMIF($AA$37:$AA$37,"industrie",Q37:Q37)</f>
        <v>0</v>
      </c>
      <c r="R39" s="588">
        <f>SUMIF($AA$37:$AA$37,"industrie",R37:R37)</f>
        <v>0</v>
      </c>
      <c r="S39" s="588">
        <f>SUMIF($AA$37:$AA$37,"industrie",S37:S37)</f>
        <v>0</v>
      </c>
      <c r="T39" s="588">
        <f>SUMIF($AA$37:$AA$37,"industrie",T37:T37)</f>
        <v>0</v>
      </c>
      <c r="U39" s="588">
        <f>SUMIF($AA$37:$AA$37,"industrie",U37:U37)</f>
        <v>0</v>
      </c>
      <c r="V39" s="588">
        <f>SUMIF($AA$37:$AA$37,"industrie",V37:V37)</f>
        <v>0</v>
      </c>
      <c r="W39" s="588">
        <f>SUMIF($AA$37:$AA$37,"industrie",W37:W37)</f>
        <v>0</v>
      </c>
      <c r="X39" s="588">
        <f>SUMIF($AA$37:$AA$37,"industrie",X37:X37)</f>
        <v>0</v>
      </c>
      <c r="Y39" s="589"/>
      <c r="Z39" s="589"/>
      <c r="AA39" s="590"/>
    </row>
    <row r="40" spans="1:28" s="564" customFormat="1">
      <c r="A40" s="586" t="s">
        <v>275</v>
      </c>
      <c r="B40" s="587"/>
      <c r="C40" s="587"/>
      <c r="D40" s="587"/>
      <c r="E40" s="587"/>
      <c r="F40" s="587"/>
      <c r="G40" s="587"/>
      <c r="H40" s="587"/>
      <c r="I40" s="587"/>
      <c r="J40" s="587"/>
      <c r="K40" s="587"/>
      <c r="L40" s="588"/>
      <c r="M40" s="588">
        <f>SUMIF($AA$37:$AA$38,"tertiair",M37:M38)</f>
        <v>0</v>
      </c>
      <c r="N40" s="588">
        <f>SUMIF($AA$37:$AA$38,"tertiair",N37:N38)</f>
        <v>0</v>
      </c>
      <c r="O40" s="588">
        <f>SUMIF($AA$37:$AA$38,"tertiair",O37:O38)</f>
        <v>0</v>
      </c>
      <c r="P40" s="588">
        <f>SUMIF($AA$37:$AA$38,"tertiair",P37:P38)</f>
        <v>0</v>
      </c>
      <c r="Q40" s="588">
        <f>SUMIF($AA$37:$AA$38,"tertiair",Q37:Q38)</f>
        <v>0</v>
      </c>
      <c r="R40" s="588">
        <f>SUMIF($AA$37:$AA$38,"tertiair",R37:R38)</f>
        <v>0</v>
      </c>
      <c r="S40" s="588">
        <f>SUMIF($AA$37:$AA$38,"tertiair",S37:S38)</f>
        <v>0</v>
      </c>
      <c r="T40" s="588">
        <f>SUMIF($AA$37:$AA$38,"tertiair",T37:T38)</f>
        <v>0</v>
      </c>
      <c r="U40" s="588">
        <f>SUMIF($AA$37:$AA$38,"tertiair",U37:U38)</f>
        <v>0</v>
      </c>
      <c r="V40" s="588">
        <f>SUMIF($AA$37:$AA$38,"tertiair",V37:V38)</f>
        <v>0</v>
      </c>
      <c r="W40" s="588">
        <f>SUMIF($AA$37:$AA$38,"tertiair",W37:W38)</f>
        <v>0</v>
      </c>
      <c r="X40" s="588">
        <f>SUMIF($AA$37:$AA$38,"tertiair",X37:X38)</f>
        <v>0</v>
      </c>
      <c r="Y40" s="589"/>
      <c r="Z40" s="589"/>
      <c r="AA40" s="590"/>
    </row>
    <row r="41" spans="1:28" s="564" customFormat="1" ht="15.75" thickBot="1">
      <c r="A41" s="591" t="s">
        <v>276</v>
      </c>
      <c r="B41" s="592"/>
      <c r="C41" s="592"/>
      <c r="D41" s="592"/>
      <c r="E41" s="592"/>
      <c r="F41" s="592"/>
      <c r="G41" s="592"/>
      <c r="H41" s="592"/>
      <c r="I41" s="592"/>
      <c r="J41" s="592"/>
      <c r="K41" s="592"/>
      <c r="L41" s="593"/>
      <c r="M41" s="593">
        <f>SUMIF($AA$37:$AA$39,"landbouw",M37:M39)</f>
        <v>0</v>
      </c>
      <c r="N41" s="593">
        <f>SUMIF($AA$37:$AA$39,"landbouw",N37:N39)</f>
        <v>0</v>
      </c>
      <c r="O41" s="593">
        <f>SUMIF($AA$37:$AA$39,"landbouw",O37:O39)</f>
        <v>0</v>
      </c>
      <c r="P41" s="593">
        <f>SUMIF($AA$37:$AA$39,"landbouw",P37:P39)</f>
        <v>0</v>
      </c>
      <c r="Q41" s="593">
        <f>SUMIF($AA$37:$AA$39,"landbouw",Q37:Q39)</f>
        <v>0</v>
      </c>
      <c r="R41" s="593">
        <f>SUMIF($AA$37:$AA$39,"landbouw",R37:R39)</f>
        <v>0</v>
      </c>
      <c r="S41" s="593">
        <f>SUMIF($AA$37:$AA$39,"landbouw",S37:S39)</f>
        <v>0</v>
      </c>
      <c r="T41" s="593">
        <f>SUMIF($AA$37:$AA$39,"landbouw",T37:T39)</f>
        <v>0</v>
      </c>
      <c r="U41" s="593">
        <f>SUMIF($AA$37:$AA$39,"landbouw",U37:U39)</f>
        <v>0</v>
      </c>
      <c r="V41" s="593">
        <f>SUMIF($AA$37:$AA$39,"landbouw",V37:V39)</f>
        <v>0</v>
      </c>
      <c r="W41" s="593">
        <f>SUMIF($AA$37:$AA$39,"landbouw",W37:W39)</f>
        <v>0</v>
      </c>
      <c r="X41" s="593">
        <f>SUMIF($AA$37:$AA$39,"landbouw",X37:X39)</f>
        <v>0</v>
      </c>
      <c r="Y41" s="594"/>
      <c r="Z41" s="594"/>
      <c r="AA41" s="595"/>
    </row>
    <row r="42" spans="1:28" s="599" customForma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8" s="599" customFormat="1" ht="15.75" thickBo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row>
    <row r="44" spans="1:28">
      <c r="A44" s="600" t="s">
        <v>774</v>
      </c>
      <c r="B44" s="601"/>
      <c r="C44" s="601"/>
      <c r="D44" s="601"/>
      <c r="E44" s="601"/>
      <c r="F44" s="601"/>
      <c r="G44" s="601"/>
      <c r="H44" s="601"/>
      <c r="I44" s="601"/>
      <c r="J44" s="602"/>
      <c r="K44" s="603"/>
      <c r="L44" s="604"/>
      <c r="M44" s="604"/>
      <c r="N44" s="604"/>
      <c r="O44" s="604"/>
      <c r="P44" s="604"/>
    </row>
    <row r="45" spans="1:28">
      <c r="A45" s="606"/>
      <c r="B45" s="597"/>
      <c r="C45" s="597"/>
      <c r="D45" s="597"/>
      <c r="E45" s="597"/>
      <c r="F45" s="597"/>
      <c r="G45" s="597"/>
      <c r="H45" s="597"/>
      <c r="I45" s="597"/>
      <c r="J45" s="607"/>
      <c r="K45" s="597"/>
      <c r="L45" s="604"/>
      <c r="M45" s="604"/>
      <c r="N45" s="604"/>
      <c r="O45" s="604"/>
      <c r="P45" s="604"/>
    </row>
    <row r="46" spans="1:28">
      <c r="A46" s="608"/>
      <c r="B46" s="609" t="s">
        <v>270</v>
      </c>
      <c r="C46" s="609" t="s">
        <v>271</v>
      </c>
      <c r="D46" s="609"/>
      <c r="E46" s="609"/>
      <c r="F46" s="609"/>
      <c r="G46" s="609"/>
      <c r="H46" s="609"/>
      <c r="I46" s="609"/>
      <c r="J46" s="610"/>
      <c r="K46" s="609"/>
      <c r="L46" s="609"/>
      <c r="M46" s="609"/>
      <c r="N46" s="609"/>
      <c r="O46" s="609"/>
      <c r="P46" s="604"/>
    </row>
    <row r="47" spans="1:28">
      <c r="A47" s="606" t="s">
        <v>269</v>
      </c>
      <c r="B47" s="611">
        <f>IF(ISERROR(O31/(O31+N31)),0,O31/(O31+N31))</f>
        <v>0.55029191263762178</v>
      </c>
      <c r="C47" s="612">
        <f>IF(ISERROR(N31/(O31+N31)),0,N31/(N31+O31))</f>
        <v>0.44970808736237822</v>
      </c>
      <c r="D47" s="580"/>
      <c r="E47" s="580"/>
      <c r="F47" s="580"/>
      <c r="G47" s="580"/>
      <c r="H47" s="580"/>
      <c r="I47" s="580"/>
      <c r="J47" s="613"/>
      <c r="K47" s="580"/>
      <c r="L47" s="614"/>
      <c r="M47" s="614"/>
      <c r="N47" s="614"/>
      <c r="O47" s="614"/>
      <c r="P47" s="604"/>
    </row>
    <row r="48" spans="1:28">
      <c r="A48" s="606"/>
      <c r="B48" s="615"/>
      <c r="C48" s="615"/>
      <c r="D48" s="615"/>
      <c r="E48" s="615"/>
      <c r="F48" s="615"/>
      <c r="G48" s="615"/>
      <c r="H48" s="615"/>
      <c r="I48" s="615"/>
      <c r="J48" s="616"/>
      <c r="K48" s="615"/>
      <c r="L48" s="617"/>
      <c r="M48" s="617"/>
      <c r="N48" s="617"/>
      <c r="O48" s="617"/>
      <c r="P48" s="604"/>
    </row>
    <row r="49" spans="1:16" ht="30">
      <c r="A49" s="618"/>
      <c r="B49" s="619" t="s">
        <v>495</v>
      </c>
      <c r="C49" s="619" t="s">
        <v>96</v>
      </c>
      <c r="D49" s="619" t="s">
        <v>97</v>
      </c>
      <c r="E49" s="619" t="s">
        <v>98</v>
      </c>
      <c r="F49" s="619" t="s">
        <v>99</v>
      </c>
      <c r="G49" s="619" t="s">
        <v>100</v>
      </c>
      <c r="H49" s="619" t="s">
        <v>101</v>
      </c>
      <c r="I49" s="619" t="s">
        <v>102</v>
      </c>
      <c r="J49" s="620" t="s">
        <v>773</v>
      </c>
      <c r="K49" s="609"/>
      <c r="L49" s="617"/>
      <c r="M49" s="617"/>
      <c r="N49" s="617"/>
      <c r="O49" s="604"/>
      <c r="P49" s="604"/>
    </row>
    <row r="50" spans="1:16">
      <c r="A50" s="608" t="s">
        <v>272</v>
      </c>
      <c r="B50" s="621">
        <f>$C$47*P31</f>
        <v>8491.1794916707495</v>
      </c>
      <c r="C50" s="621">
        <f>$C$47*Q31</f>
        <v>1795.06729355059</v>
      </c>
      <c r="D50" s="621">
        <f>$C$47*R31</f>
        <v>0</v>
      </c>
      <c r="E50" s="621">
        <f>$C$47*S31</f>
        <v>0</v>
      </c>
      <c r="F50" s="621">
        <f>$C$47*T31</f>
        <v>0</v>
      </c>
      <c r="G50" s="621">
        <f>$C$47*U31</f>
        <v>0</v>
      </c>
      <c r="H50" s="621">
        <f>$C$47*V31</f>
        <v>0</v>
      </c>
      <c r="I50" s="621">
        <f>$C$47*W31</f>
        <v>0</v>
      </c>
      <c r="J50" s="621">
        <f>$C$47*X31</f>
        <v>0</v>
      </c>
      <c r="K50" s="580"/>
      <c r="L50" s="617"/>
      <c r="M50" s="617"/>
      <c r="N50" s="617"/>
      <c r="O50" s="604"/>
      <c r="P50" s="604"/>
    </row>
    <row r="51" spans="1:16" ht="15.75" thickBot="1">
      <c r="A51" s="622" t="s">
        <v>273</v>
      </c>
      <c r="B51" s="623">
        <f>$B$47*P31</f>
        <v>10390.356620950884</v>
      </c>
      <c r="C51" s="623">
        <f>$B$47*Q31</f>
        <v>2196.5604845465182</v>
      </c>
      <c r="D51" s="623">
        <f>$B$47*R31</f>
        <v>0</v>
      </c>
      <c r="E51" s="623">
        <f>$B$47*S31</f>
        <v>0</v>
      </c>
      <c r="F51" s="623">
        <f>$B$47*T31</f>
        <v>0</v>
      </c>
      <c r="G51" s="623">
        <f>$B$47*U31</f>
        <v>0</v>
      </c>
      <c r="H51" s="623">
        <f>$B$47*V31</f>
        <v>0</v>
      </c>
      <c r="I51" s="623">
        <f>$B$47*W31</f>
        <v>0</v>
      </c>
      <c r="J51" s="623">
        <f>$B$47*X31</f>
        <v>0</v>
      </c>
      <c r="K51" s="580"/>
      <c r="L51" s="617"/>
      <c r="M51" s="617"/>
      <c r="N51" s="617"/>
      <c r="O51" s="604"/>
      <c r="P51" s="604"/>
    </row>
    <row r="52" spans="1:16" ht="15.75" thickBot="1">
      <c r="J52" s="560"/>
      <c r="K52" s="560"/>
      <c r="L52" s="560"/>
      <c r="M52" s="560"/>
      <c r="N52" s="560"/>
    </row>
    <row r="53" spans="1:16">
      <c r="A53" s="600" t="s">
        <v>775</v>
      </c>
      <c r="B53" s="601"/>
      <c r="C53" s="601"/>
      <c r="D53" s="601"/>
      <c r="E53" s="601"/>
      <c r="F53" s="601"/>
      <c r="G53" s="601"/>
      <c r="H53" s="601"/>
      <c r="I53" s="601"/>
      <c r="J53" s="602"/>
      <c r="K53" s="603"/>
      <c r="L53" s="604"/>
      <c r="M53" s="604"/>
      <c r="N53" s="604"/>
      <c r="O53" s="604"/>
      <c r="P53" s="604"/>
    </row>
    <row r="54" spans="1:16">
      <c r="A54" s="606"/>
      <c r="B54" s="597"/>
      <c r="C54" s="597"/>
      <c r="D54" s="597"/>
      <c r="E54" s="597"/>
      <c r="F54" s="597"/>
      <c r="G54" s="597"/>
      <c r="H54" s="597"/>
      <c r="I54" s="597"/>
      <c r="J54" s="607"/>
      <c r="K54" s="597"/>
      <c r="L54" s="604"/>
      <c r="M54" s="604"/>
      <c r="N54" s="604"/>
      <c r="O54" s="604"/>
      <c r="P54" s="604"/>
    </row>
    <row r="55" spans="1:16">
      <c r="A55" s="608"/>
      <c r="B55" s="609" t="s">
        <v>270</v>
      </c>
      <c r="C55" s="609" t="s">
        <v>271</v>
      </c>
      <c r="D55" s="609"/>
      <c r="E55" s="609"/>
      <c r="F55" s="609"/>
      <c r="G55" s="609"/>
      <c r="H55" s="609"/>
      <c r="I55" s="609"/>
      <c r="J55" s="610"/>
      <c r="K55" s="609"/>
      <c r="L55" s="609"/>
      <c r="M55" s="609"/>
      <c r="N55" s="609"/>
      <c r="O55" s="609"/>
      <c r="P55" s="604"/>
    </row>
    <row r="56" spans="1:16">
      <c r="A56" s="606" t="s">
        <v>269</v>
      </c>
      <c r="B56" s="611">
        <f>IF(ISERROR(O38/(O38+N38)),0,O38/(O38+N38))</f>
        <v>0</v>
      </c>
      <c r="C56" s="612">
        <f>IF(ISERROR(N38/(O38+N38)),0,N38/(N38+O38))</f>
        <v>0</v>
      </c>
      <c r="D56" s="580"/>
      <c r="E56" s="580"/>
      <c r="F56" s="580"/>
      <c r="G56" s="580"/>
      <c r="H56" s="580"/>
      <c r="I56" s="580"/>
      <c r="J56" s="613"/>
      <c r="K56" s="580"/>
      <c r="L56" s="614"/>
      <c r="M56" s="614"/>
      <c r="N56" s="614"/>
      <c r="O56" s="614"/>
      <c r="P56" s="604"/>
    </row>
    <row r="57" spans="1:16">
      <c r="A57" s="606"/>
      <c r="B57" s="615"/>
      <c r="C57" s="615"/>
      <c r="D57" s="615"/>
      <c r="E57" s="615"/>
      <c r="F57" s="615"/>
      <c r="G57" s="615"/>
      <c r="H57" s="615"/>
      <c r="I57" s="615"/>
      <c r="J57" s="616"/>
      <c r="K57" s="615"/>
      <c r="L57" s="617"/>
      <c r="M57" s="617"/>
      <c r="N57" s="617"/>
      <c r="O57" s="617"/>
      <c r="P57" s="604"/>
    </row>
    <row r="58" spans="1:16" ht="30">
      <c r="A58" s="618"/>
      <c r="B58" s="619" t="s">
        <v>495</v>
      </c>
      <c r="C58" s="619" t="s">
        <v>96</v>
      </c>
      <c r="D58" s="619" t="s">
        <v>97</v>
      </c>
      <c r="E58" s="619" t="s">
        <v>98</v>
      </c>
      <c r="F58" s="619" t="s">
        <v>99</v>
      </c>
      <c r="G58" s="619" t="s">
        <v>100</v>
      </c>
      <c r="H58" s="619" t="s">
        <v>101</v>
      </c>
      <c r="I58" s="619" t="s">
        <v>102</v>
      </c>
      <c r="J58" s="620" t="s">
        <v>773</v>
      </c>
      <c r="K58" s="609"/>
      <c r="L58" s="617"/>
      <c r="M58" s="617"/>
      <c r="N58" s="617"/>
      <c r="O58" s="604"/>
      <c r="P58" s="604"/>
    </row>
    <row r="59" spans="1:16">
      <c r="A59" s="608" t="s">
        <v>272</v>
      </c>
      <c r="B59" s="621">
        <f>$C$56*P38</f>
        <v>0</v>
      </c>
      <c r="C59" s="621">
        <f t="shared" ref="C59:J59" si="2">$C$56*Q38</f>
        <v>0</v>
      </c>
      <c r="D59" s="621">
        <f t="shared" si="2"/>
        <v>0</v>
      </c>
      <c r="E59" s="621">
        <f t="shared" si="2"/>
        <v>0</v>
      </c>
      <c r="F59" s="621">
        <f t="shared" si="2"/>
        <v>0</v>
      </c>
      <c r="G59" s="621">
        <f t="shared" si="2"/>
        <v>0</v>
      </c>
      <c r="H59" s="621">
        <f t="shared" si="2"/>
        <v>0</v>
      </c>
      <c r="I59" s="621">
        <f t="shared" si="2"/>
        <v>0</v>
      </c>
      <c r="J59" s="621">
        <f t="shared" si="2"/>
        <v>0</v>
      </c>
      <c r="K59" s="580"/>
      <c r="L59" s="617"/>
      <c r="M59" s="617"/>
      <c r="N59" s="617"/>
      <c r="O59" s="604"/>
      <c r="P59" s="604"/>
    </row>
    <row r="60" spans="1:16" ht="15.75" thickBot="1">
      <c r="A60" s="622" t="s">
        <v>273</v>
      </c>
      <c r="B60" s="623">
        <f>$B$56*P38</f>
        <v>0</v>
      </c>
      <c r="C60" s="623">
        <f t="shared" ref="C60:J60" si="3">$B$56*Q38</f>
        <v>0</v>
      </c>
      <c r="D60" s="623">
        <f t="shared" si="3"/>
        <v>0</v>
      </c>
      <c r="E60" s="623">
        <f t="shared" si="3"/>
        <v>0</v>
      </c>
      <c r="F60" s="623">
        <f t="shared" si="3"/>
        <v>0</v>
      </c>
      <c r="G60" s="623">
        <f t="shared" si="3"/>
        <v>0</v>
      </c>
      <c r="H60" s="623">
        <f t="shared" si="3"/>
        <v>0</v>
      </c>
      <c r="I60" s="623">
        <f t="shared" si="3"/>
        <v>0</v>
      </c>
      <c r="J60" s="623">
        <f t="shared" si="3"/>
        <v>0</v>
      </c>
      <c r="K60" s="580"/>
      <c r="L60" s="617"/>
      <c r="M60" s="617"/>
      <c r="N60" s="617"/>
      <c r="O60" s="604"/>
      <c r="P60"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183487.7573694973</v>
      </c>
      <c r="D10" s="637">
        <f ca="1">tertiair!C16</f>
        <v>8746.3888895886012</v>
      </c>
      <c r="E10" s="637">
        <f ca="1">tertiair!D16</f>
        <v>185467.23645047817</v>
      </c>
      <c r="F10" s="637">
        <f ca="1">tertiair!E16</f>
        <v>184.43409338744561</v>
      </c>
      <c r="G10" s="637">
        <f ca="1">tertiair!F16</f>
        <v>26788.017123892507</v>
      </c>
      <c r="H10" s="637">
        <f>tertiair!G16</f>
        <v>0</v>
      </c>
      <c r="I10" s="637">
        <f>tertiair!H16</f>
        <v>0</v>
      </c>
      <c r="J10" s="637">
        <f>tertiair!I16</f>
        <v>0</v>
      </c>
      <c r="K10" s="637">
        <f>tertiair!J16</f>
        <v>0.15207909635868247</v>
      </c>
      <c r="L10" s="637">
        <f>tertiair!K16</f>
        <v>0</v>
      </c>
      <c r="M10" s="637">
        <f ca="1">tertiair!L16</f>
        <v>0</v>
      </c>
      <c r="N10" s="637">
        <f>tertiair!M16</f>
        <v>0</v>
      </c>
      <c r="O10" s="637">
        <f ca="1">tertiair!N16</f>
        <v>1946.2769406442726</v>
      </c>
      <c r="P10" s="637">
        <f>tertiair!O16</f>
        <v>39.178086126729234</v>
      </c>
      <c r="Q10" s="638">
        <f>tertiair!P16</f>
        <v>1208.4001810493855</v>
      </c>
      <c r="R10" s="640">
        <f ca="1">SUM(C10:Q10)</f>
        <v>407867.84121376072</v>
      </c>
      <c r="S10" s="67"/>
    </row>
    <row r="11" spans="1:19" s="439" customFormat="1">
      <c r="A11" s="757" t="s">
        <v>214</v>
      </c>
      <c r="B11" s="762"/>
      <c r="C11" s="637">
        <f>huishoudens!B8</f>
        <v>129621.29774606586</v>
      </c>
      <c r="D11" s="637">
        <f>huishoudens!C8</f>
        <v>0</v>
      </c>
      <c r="E11" s="637">
        <f>huishoudens!D8</f>
        <v>290641.4343518989</v>
      </c>
      <c r="F11" s="637">
        <f>huishoudens!E8</f>
        <v>11050.630471183144</v>
      </c>
      <c r="G11" s="637">
        <f>huishoudens!F8</f>
        <v>139995.33641161254</v>
      </c>
      <c r="H11" s="637">
        <f>huishoudens!G8</f>
        <v>0</v>
      </c>
      <c r="I11" s="637">
        <f>huishoudens!H8</f>
        <v>0</v>
      </c>
      <c r="J11" s="637">
        <f>huishoudens!I8</f>
        <v>0</v>
      </c>
      <c r="K11" s="637">
        <f>huishoudens!J8</f>
        <v>896.05082322760757</v>
      </c>
      <c r="L11" s="637">
        <f>huishoudens!K8</f>
        <v>0</v>
      </c>
      <c r="M11" s="637">
        <f>huishoudens!L8</f>
        <v>0</v>
      </c>
      <c r="N11" s="637">
        <f>huishoudens!M8</f>
        <v>0</v>
      </c>
      <c r="O11" s="637">
        <f>huishoudens!N8</f>
        <v>41521.488898647382</v>
      </c>
      <c r="P11" s="637">
        <f>huishoudens!O8</f>
        <v>1668.5088625044937</v>
      </c>
      <c r="Q11" s="638">
        <f>huishoudens!P8</f>
        <v>3834.3611879973487</v>
      </c>
      <c r="R11" s="640">
        <f>SUM(C11:Q11)</f>
        <v>619229.10875313729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574</v>
      </c>
      <c r="B13" s="766" t="s">
        <v>572</v>
      </c>
      <c r="C13" s="637">
        <f>industrie!B18</f>
        <v>49927.437092713655</v>
      </c>
      <c r="D13" s="637">
        <f>industrie!C18</f>
        <v>467.50000003740001</v>
      </c>
      <c r="E13" s="637">
        <f>industrie!D18</f>
        <v>56907.320103710175</v>
      </c>
      <c r="F13" s="637">
        <f>industrie!E18</f>
        <v>626.99565617101939</v>
      </c>
      <c r="G13" s="637">
        <f>industrie!F18</f>
        <v>19103.924968114286</v>
      </c>
      <c r="H13" s="637">
        <f>industrie!G18</f>
        <v>0</v>
      </c>
      <c r="I13" s="637">
        <f>industrie!H18</f>
        <v>0</v>
      </c>
      <c r="J13" s="637">
        <f>industrie!I18</f>
        <v>0</v>
      </c>
      <c r="K13" s="637">
        <f>industrie!J18</f>
        <v>274.40617053894323</v>
      </c>
      <c r="L13" s="637">
        <f>industrie!K18</f>
        <v>0</v>
      </c>
      <c r="M13" s="637">
        <f>industrie!L18</f>
        <v>0</v>
      </c>
      <c r="N13" s="637">
        <f>industrie!M18</f>
        <v>0</v>
      </c>
      <c r="O13" s="637">
        <f>industrie!N18</f>
        <v>5208.2483165384574</v>
      </c>
      <c r="P13" s="637">
        <f>industrie!O18</f>
        <v>0</v>
      </c>
      <c r="Q13" s="638">
        <f>industrie!P18</f>
        <v>0</v>
      </c>
      <c r="R13" s="640">
        <f>SUM(C13:Q13)</f>
        <v>132515.83230782393</v>
      </c>
      <c r="S13" s="67"/>
    </row>
    <row r="14" spans="1:19" s="439" customFormat="1">
      <c r="A14" s="757"/>
      <c r="B14" s="766" t="s">
        <v>573</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635</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363036.49220827682</v>
      </c>
      <c r="D16" s="673">
        <f t="shared" ref="D16:R16" ca="1" si="0">SUM(D9:D15)</f>
        <v>9213.8888896260014</v>
      </c>
      <c r="E16" s="673">
        <f t="shared" ca="1" si="0"/>
        <v>533015.99090608722</v>
      </c>
      <c r="F16" s="673">
        <f t="shared" ca="1" si="0"/>
        <v>11862.060220741609</v>
      </c>
      <c r="G16" s="673">
        <f t="shared" ca="1" si="0"/>
        <v>185887.27850361934</v>
      </c>
      <c r="H16" s="673">
        <f t="shared" si="0"/>
        <v>0</v>
      </c>
      <c r="I16" s="673">
        <f t="shared" si="0"/>
        <v>0</v>
      </c>
      <c r="J16" s="673">
        <f t="shared" si="0"/>
        <v>0</v>
      </c>
      <c r="K16" s="673">
        <f t="shared" si="0"/>
        <v>1170.6090728629094</v>
      </c>
      <c r="L16" s="673">
        <f t="shared" si="0"/>
        <v>0</v>
      </c>
      <c r="M16" s="673">
        <f t="shared" ca="1" si="0"/>
        <v>0</v>
      </c>
      <c r="N16" s="673">
        <f t="shared" si="0"/>
        <v>0</v>
      </c>
      <c r="O16" s="673">
        <f t="shared" ca="1" si="0"/>
        <v>48676.014155830111</v>
      </c>
      <c r="P16" s="673">
        <f t="shared" si="0"/>
        <v>1707.686948631223</v>
      </c>
      <c r="Q16" s="673">
        <f t="shared" si="0"/>
        <v>5042.7613690467342</v>
      </c>
      <c r="R16" s="673">
        <f t="shared" ca="1" si="0"/>
        <v>1159612.7822747219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319.60382075854579</v>
      </c>
      <c r="D19" s="637">
        <f>transport!C54</f>
        <v>0</v>
      </c>
      <c r="E19" s="637">
        <f>transport!D54</f>
        <v>0</v>
      </c>
      <c r="F19" s="637">
        <f>transport!E54</f>
        <v>0</v>
      </c>
      <c r="G19" s="637">
        <f>transport!F54</f>
        <v>0</v>
      </c>
      <c r="H19" s="637">
        <f>transport!G54</f>
        <v>13125.086241011471</v>
      </c>
      <c r="I19" s="637">
        <f>transport!H54</f>
        <v>0</v>
      </c>
      <c r="J19" s="637">
        <f>transport!I54</f>
        <v>0</v>
      </c>
      <c r="K19" s="637">
        <f>transport!J54</f>
        <v>0</v>
      </c>
      <c r="L19" s="637">
        <f>transport!K54</f>
        <v>0</v>
      </c>
      <c r="M19" s="637">
        <f>transport!L54</f>
        <v>0</v>
      </c>
      <c r="N19" s="637">
        <f>transport!M54</f>
        <v>1469.2075566061674</v>
      </c>
      <c r="O19" s="637">
        <f>transport!N54</f>
        <v>0</v>
      </c>
      <c r="P19" s="637">
        <f>transport!O54</f>
        <v>0</v>
      </c>
      <c r="Q19" s="638">
        <f>transport!P54</f>
        <v>0</v>
      </c>
      <c r="R19" s="640">
        <f>SUM(C19:Q19)</f>
        <v>14913.897618376184</v>
      </c>
      <c r="S19" s="67"/>
    </row>
    <row r="20" spans="1:19" s="439" customFormat="1">
      <c r="A20" s="757" t="s">
        <v>294</v>
      </c>
      <c r="B20" s="762"/>
      <c r="C20" s="637">
        <f>transport!B14</f>
        <v>3385.415892249001</v>
      </c>
      <c r="D20" s="637">
        <f>transport!C14</f>
        <v>0</v>
      </c>
      <c r="E20" s="637">
        <f>transport!D14</f>
        <v>3061.1134239380822</v>
      </c>
      <c r="F20" s="637">
        <f>transport!E14</f>
        <v>1089.8133469851832</v>
      </c>
      <c r="G20" s="637">
        <f>transport!F14</f>
        <v>0</v>
      </c>
      <c r="H20" s="637">
        <f>transport!G14</f>
        <v>423589.03848324204</v>
      </c>
      <c r="I20" s="637">
        <f>transport!H14</f>
        <v>147560.01919039997</v>
      </c>
      <c r="J20" s="637">
        <f>transport!I14</f>
        <v>0</v>
      </c>
      <c r="K20" s="637">
        <f>transport!J14</f>
        <v>0</v>
      </c>
      <c r="L20" s="637">
        <f>transport!K14</f>
        <v>0</v>
      </c>
      <c r="M20" s="637">
        <f>transport!L14</f>
        <v>0</v>
      </c>
      <c r="N20" s="637">
        <f>transport!M14</f>
        <v>60113.263578943472</v>
      </c>
      <c r="O20" s="637">
        <f>transport!N14</f>
        <v>0</v>
      </c>
      <c r="P20" s="637">
        <f>transport!O14</f>
        <v>0</v>
      </c>
      <c r="Q20" s="638">
        <f>transport!P14</f>
        <v>0</v>
      </c>
      <c r="R20" s="640">
        <f>SUM(C20:Q20)</f>
        <v>638798.66391575779</v>
      </c>
      <c r="S20" s="67"/>
    </row>
    <row r="21" spans="1:19" s="439" customFormat="1" ht="15" thickBot="1">
      <c r="A21" s="779" t="s">
        <v>638</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3705.0197130075467</v>
      </c>
      <c r="D22" s="760">
        <f t="shared" ref="D22:R22" si="1">SUM(D18:D21)</f>
        <v>0</v>
      </c>
      <c r="E22" s="760">
        <f t="shared" si="1"/>
        <v>3061.1134239380822</v>
      </c>
      <c r="F22" s="760">
        <f t="shared" si="1"/>
        <v>1089.8133469851832</v>
      </c>
      <c r="G22" s="760">
        <f t="shared" si="1"/>
        <v>0</v>
      </c>
      <c r="H22" s="760">
        <f t="shared" si="1"/>
        <v>436714.12472425349</v>
      </c>
      <c r="I22" s="760">
        <f t="shared" si="1"/>
        <v>147560.01919039997</v>
      </c>
      <c r="J22" s="760">
        <f t="shared" si="1"/>
        <v>0</v>
      </c>
      <c r="K22" s="760">
        <f t="shared" si="1"/>
        <v>0</v>
      </c>
      <c r="L22" s="760">
        <f t="shared" si="1"/>
        <v>0</v>
      </c>
      <c r="M22" s="760">
        <f t="shared" si="1"/>
        <v>0</v>
      </c>
      <c r="N22" s="760">
        <f t="shared" si="1"/>
        <v>61582.47113554964</v>
      </c>
      <c r="O22" s="760">
        <f t="shared" si="1"/>
        <v>0</v>
      </c>
      <c r="P22" s="760">
        <f t="shared" si="1"/>
        <v>0</v>
      </c>
      <c r="Q22" s="760">
        <f t="shared" si="1"/>
        <v>0</v>
      </c>
      <c r="R22" s="760">
        <f t="shared" si="1"/>
        <v>653712.56153413397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569</v>
      </c>
      <c r="B24" s="762"/>
      <c r="C24" s="637">
        <f>+landbouw!B8</f>
        <v>1722.4115507813101</v>
      </c>
      <c r="D24" s="637">
        <f>+landbouw!C8</f>
        <v>0</v>
      </c>
      <c r="E24" s="637">
        <f>+landbouw!D8</f>
        <v>914.53712295290291</v>
      </c>
      <c r="F24" s="637">
        <f>+landbouw!E8</f>
        <v>58.082355899521332</v>
      </c>
      <c r="G24" s="637">
        <f>+landbouw!F8</f>
        <v>5967.6265576027854</v>
      </c>
      <c r="H24" s="637">
        <f>+landbouw!G8</f>
        <v>0</v>
      </c>
      <c r="I24" s="637">
        <f>+landbouw!H8</f>
        <v>0</v>
      </c>
      <c r="J24" s="637">
        <f>+landbouw!I8</f>
        <v>0</v>
      </c>
      <c r="K24" s="637">
        <f>+landbouw!J8</f>
        <v>373.85543047662088</v>
      </c>
      <c r="L24" s="637">
        <f>+landbouw!K8</f>
        <v>0</v>
      </c>
      <c r="M24" s="637">
        <f>+landbouw!L8</f>
        <v>0</v>
      </c>
      <c r="N24" s="637">
        <f>+landbouw!M8</f>
        <v>0</v>
      </c>
      <c r="O24" s="637">
        <f>+landbouw!N8</f>
        <v>0</v>
      </c>
      <c r="P24" s="637">
        <f>+landbouw!O8</f>
        <v>0</v>
      </c>
      <c r="Q24" s="638">
        <f>+landbouw!P8</f>
        <v>0</v>
      </c>
      <c r="R24" s="640">
        <f>SUM(C24:Q24)</f>
        <v>9036.5130177131396</v>
      </c>
      <c r="S24" s="67"/>
    </row>
    <row r="25" spans="1:19" s="439" customFormat="1" ht="15" thickBot="1">
      <c r="A25" s="779" t="s">
        <v>636</v>
      </c>
      <c r="B25" s="890"/>
      <c r="C25" s="891">
        <f>IF(Onbekend_ele_kWh="---",0,Onbekend_ele_kWh)/1000+IF(REST_rest_ele_kWh="---",0,REST_rest_ele_kWh)/1000</f>
        <v>8470.4229914556399</v>
      </c>
      <c r="D25" s="891"/>
      <c r="E25" s="891">
        <f>IF(onbekend_gas_kWh="---",0,onbekend_gas_kWh)/1000+IF(REST_rest_gas_kWh="---",0,REST_rest_gas_kWh)/1000</f>
        <v>21514.565078497802</v>
      </c>
      <c r="F25" s="891"/>
      <c r="G25" s="891"/>
      <c r="H25" s="891"/>
      <c r="I25" s="891"/>
      <c r="J25" s="891"/>
      <c r="K25" s="891"/>
      <c r="L25" s="891"/>
      <c r="M25" s="891"/>
      <c r="N25" s="891"/>
      <c r="O25" s="891"/>
      <c r="P25" s="891"/>
      <c r="Q25" s="892"/>
      <c r="R25" s="640">
        <f>SUM(C25:Q25)</f>
        <v>29984.988069953441</v>
      </c>
      <c r="S25" s="67"/>
    </row>
    <row r="26" spans="1:19" s="439" customFormat="1" ht="15.75" thickBot="1">
      <c r="A26" s="645" t="s">
        <v>637</v>
      </c>
      <c r="B26" s="765"/>
      <c r="C26" s="760">
        <f>SUM(C24:C25)</f>
        <v>10192.834542236949</v>
      </c>
      <c r="D26" s="760">
        <f t="shared" ref="D26:R26" si="2">SUM(D24:D25)</f>
        <v>0</v>
      </c>
      <c r="E26" s="760">
        <f t="shared" si="2"/>
        <v>22429.102201450707</v>
      </c>
      <c r="F26" s="760">
        <f t="shared" si="2"/>
        <v>58.082355899521332</v>
      </c>
      <c r="G26" s="760">
        <f t="shared" si="2"/>
        <v>5967.6265576027854</v>
      </c>
      <c r="H26" s="760">
        <f t="shared" si="2"/>
        <v>0</v>
      </c>
      <c r="I26" s="760">
        <f t="shared" si="2"/>
        <v>0</v>
      </c>
      <c r="J26" s="760">
        <f t="shared" si="2"/>
        <v>0</v>
      </c>
      <c r="K26" s="760">
        <f t="shared" si="2"/>
        <v>373.85543047662088</v>
      </c>
      <c r="L26" s="760">
        <f t="shared" si="2"/>
        <v>0</v>
      </c>
      <c r="M26" s="760">
        <f t="shared" si="2"/>
        <v>0</v>
      </c>
      <c r="N26" s="760">
        <f t="shared" si="2"/>
        <v>0</v>
      </c>
      <c r="O26" s="760">
        <f t="shared" si="2"/>
        <v>0</v>
      </c>
      <c r="P26" s="760">
        <f t="shared" si="2"/>
        <v>0</v>
      </c>
      <c r="Q26" s="760">
        <f t="shared" si="2"/>
        <v>0</v>
      </c>
      <c r="R26" s="760">
        <f t="shared" si="2"/>
        <v>39021.501087666576</v>
      </c>
      <c r="S26" s="67"/>
    </row>
    <row r="27" spans="1:19" s="439" customFormat="1" ht="17.25" thickTop="1" thickBot="1">
      <c r="A27" s="646" t="s">
        <v>109</v>
      </c>
      <c r="B27" s="752"/>
      <c r="C27" s="647">
        <f ca="1">C22+C16+C26</f>
        <v>376934.3464635213</v>
      </c>
      <c r="D27" s="647">
        <f t="shared" ref="D27:R27" ca="1" si="3">D22+D16+D26</f>
        <v>9213.8888896260014</v>
      </c>
      <c r="E27" s="647">
        <f t="shared" ca="1" si="3"/>
        <v>558506.206531476</v>
      </c>
      <c r="F27" s="647">
        <f t="shared" ca="1" si="3"/>
        <v>13009.955923626314</v>
      </c>
      <c r="G27" s="647">
        <f t="shared" ca="1" si="3"/>
        <v>191854.90506122212</v>
      </c>
      <c r="H27" s="647">
        <f t="shared" si="3"/>
        <v>436714.12472425349</v>
      </c>
      <c r="I27" s="647">
        <f t="shared" si="3"/>
        <v>147560.01919039997</v>
      </c>
      <c r="J27" s="647">
        <f t="shared" si="3"/>
        <v>0</v>
      </c>
      <c r="K27" s="647">
        <f t="shared" si="3"/>
        <v>1544.4645033395304</v>
      </c>
      <c r="L27" s="647">
        <f t="shared" si="3"/>
        <v>0</v>
      </c>
      <c r="M27" s="647">
        <f t="shared" ca="1" si="3"/>
        <v>0</v>
      </c>
      <c r="N27" s="647">
        <f t="shared" si="3"/>
        <v>61582.47113554964</v>
      </c>
      <c r="O27" s="647">
        <f t="shared" ca="1" si="3"/>
        <v>48676.014155830111</v>
      </c>
      <c r="P27" s="647">
        <f t="shared" si="3"/>
        <v>1707.686948631223</v>
      </c>
      <c r="Q27" s="647">
        <f t="shared" si="3"/>
        <v>5042.7613690467342</v>
      </c>
      <c r="R27" s="647">
        <f t="shared" ca="1" si="3"/>
        <v>1852346.8448965224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33973.846662689459</v>
      </c>
      <c r="D40" s="637">
        <f ca="1">tertiair!C20</f>
        <v>1992.3591830757873</v>
      </c>
      <c r="E40" s="637">
        <f ca="1">tertiair!D20</f>
        <v>37464.381762996592</v>
      </c>
      <c r="F40" s="637">
        <f ca="1">tertiair!E20</f>
        <v>41.866539198950157</v>
      </c>
      <c r="G40" s="637">
        <f ca="1">tertiair!F20</f>
        <v>7152.4005720792993</v>
      </c>
      <c r="H40" s="637">
        <f>tertiair!G20</f>
        <v>0</v>
      </c>
      <c r="I40" s="637">
        <f>tertiair!H20</f>
        <v>0</v>
      </c>
      <c r="J40" s="637">
        <f>tertiair!I20</f>
        <v>0</v>
      </c>
      <c r="K40" s="637">
        <f>tertiair!J20</f>
        <v>5.3836000110973593E-2</v>
      </c>
      <c r="L40" s="637">
        <f>tertiair!K20</f>
        <v>0</v>
      </c>
      <c r="M40" s="637">
        <f ca="1">tertiair!L20</f>
        <v>0</v>
      </c>
      <c r="N40" s="637">
        <f>tertiair!M20</f>
        <v>0</v>
      </c>
      <c r="O40" s="637">
        <f ca="1">tertiair!N20</f>
        <v>0</v>
      </c>
      <c r="P40" s="637">
        <f>tertiair!O20</f>
        <v>0</v>
      </c>
      <c r="Q40" s="720">
        <f>tertiair!P20</f>
        <v>0</v>
      </c>
      <c r="R40" s="798">
        <f t="shared" ca="1" si="4"/>
        <v>80624.908556040187</v>
      </c>
    </row>
    <row r="41" spans="1:18">
      <c r="A41" s="770" t="s">
        <v>214</v>
      </c>
      <c r="B41" s="777"/>
      <c r="C41" s="637">
        <f ca="1">huishoudens!B12</f>
        <v>24000.152146258264</v>
      </c>
      <c r="D41" s="637">
        <f ca="1">huishoudens!C12</f>
        <v>0</v>
      </c>
      <c r="E41" s="637">
        <f>huishoudens!D12</f>
        <v>58709.569739083585</v>
      </c>
      <c r="F41" s="637">
        <f>huishoudens!E12</f>
        <v>2508.4931169585739</v>
      </c>
      <c r="G41" s="637">
        <f>huishoudens!F12</f>
        <v>37378.754821900555</v>
      </c>
      <c r="H41" s="637">
        <f>huishoudens!G12</f>
        <v>0</v>
      </c>
      <c r="I41" s="637">
        <f>huishoudens!H12</f>
        <v>0</v>
      </c>
      <c r="J41" s="637">
        <f>huishoudens!I12</f>
        <v>0</v>
      </c>
      <c r="K41" s="637">
        <f>huishoudens!J12</f>
        <v>317.20199142257309</v>
      </c>
      <c r="L41" s="637">
        <f>huishoudens!K12</f>
        <v>0</v>
      </c>
      <c r="M41" s="637">
        <f>huishoudens!L12</f>
        <v>0</v>
      </c>
      <c r="N41" s="637">
        <f>huishoudens!M12</f>
        <v>0</v>
      </c>
      <c r="O41" s="637">
        <f>huishoudens!N12</f>
        <v>0</v>
      </c>
      <c r="P41" s="637">
        <f>huishoudens!O12</f>
        <v>0</v>
      </c>
      <c r="Q41" s="720">
        <f>huishoudens!P12</f>
        <v>0</v>
      </c>
      <c r="R41" s="798">
        <f t="shared" ca="1" si="4"/>
        <v>122914.17181562354</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575</v>
      </c>
      <c r="B43" s="785" t="s">
        <v>572</v>
      </c>
      <c r="C43" s="637">
        <f ca="1">industrie!B22</f>
        <v>9244.3611299535442</v>
      </c>
      <c r="D43" s="637">
        <f ca="1">industrie!C22</f>
        <v>106.49285435629147</v>
      </c>
      <c r="E43" s="637">
        <f>industrie!D22</f>
        <v>11495.278660949456</v>
      </c>
      <c r="F43" s="637">
        <f>industrie!E22</f>
        <v>142.3280139508214</v>
      </c>
      <c r="G43" s="637">
        <f>industrie!F22</f>
        <v>5100.747966486515</v>
      </c>
      <c r="H43" s="637">
        <f>industrie!G22</f>
        <v>0</v>
      </c>
      <c r="I43" s="637">
        <f>industrie!H22</f>
        <v>0</v>
      </c>
      <c r="J43" s="637">
        <f>industrie!I22</f>
        <v>0</v>
      </c>
      <c r="K43" s="637">
        <f>industrie!J22</f>
        <v>97.139784370785904</v>
      </c>
      <c r="L43" s="637">
        <f>industrie!K22</f>
        <v>0</v>
      </c>
      <c r="M43" s="637">
        <f>industrie!L22</f>
        <v>0</v>
      </c>
      <c r="N43" s="637">
        <f>industrie!M22</f>
        <v>0</v>
      </c>
      <c r="O43" s="637">
        <f>industrie!N22</f>
        <v>0</v>
      </c>
      <c r="P43" s="637">
        <f>industrie!O22</f>
        <v>0</v>
      </c>
      <c r="Q43" s="720">
        <f>industrie!P22</f>
        <v>0</v>
      </c>
      <c r="R43" s="797">
        <f t="shared" ca="1" si="4"/>
        <v>26186.348410067414</v>
      </c>
    </row>
    <row r="44" spans="1:18">
      <c r="A44" s="770"/>
      <c r="B44" s="777" t="s">
        <v>573</v>
      </c>
      <c r="C44" s="637"/>
      <c r="D44" s="637"/>
      <c r="E44" s="637"/>
      <c r="F44" s="637"/>
      <c r="G44" s="637"/>
      <c r="H44" s="637"/>
      <c r="I44" s="637"/>
      <c r="J44" s="637"/>
      <c r="K44" s="637"/>
      <c r="L44" s="637"/>
      <c r="M44" s="637"/>
      <c r="N44" s="637"/>
      <c r="O44" s="637"/>
      <c r="P44" s="637"/>
      <c r="Q44" s="720"/>
      <c r="R44" s="798">
        <f t="shared" si="4"/>
        <v>0</v>
      </c>
    </row>
    <row r="45" spans="1:18" ht="15" thickBot="1">
      <c r="A45" s="889" t="s">
        <v>635</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67218.359938901267</v>
      </c>
      <c r="D46" s="673">
        <f t="shared" ref="D46:Q46" ca="1" si="5">SUM(D39:D45)</f>
        <v>2098.8520374320788</v>
      </c>
      <c r="E46" s="673">
        <f t="shared" ca="1" si="5"/>
        <v>107669.23016302963</v>
      </c>
      <c r="F46" s="673">
        <f t="shared" ca="1" si="5"/>
        <v>2692.6876701083456</v>
      </c>
      <c r="G46" s="673">
        <f t="shared" ca="1" si="5"/>
        <v>49631.903360466371</v>
      </c>
      <c r="H46" s="673">
        <f t="shared" si="5"/>
        <v>0</v>
      </c>
      <c r="I46" s="673">
        <f t="shared" si="5"/>
        <v>0</v>
      </c>
      <c r="J46" s="673">
        <f t="shared" si="5"/>
        <v>0</v>
      </c>
      <c r="K46" s="673">
        <f t="shared" si="5"/>
        <v>414.39561179346993</v>
      </c>
      <c r="L46" s="673">
        <f t="shared" si="5"/>
        <v>0</v>
      </c>
      <c r="M46" s="673">
        <f t="shared" ca="1" si="5"/>
        <v>0</v>
      </c>
      <c r="N46" s="673">
        <f t="shared" si="5"/>
        <v>0</v>
      </c>
      <c r="O46" s="673">
        <f t="shared" ca="1" si="5"/>
        <v>0</v>
      </c>
      <c r="P46" s="673">
        <f t="shared" si="5"/>
        <v>0</v>
      </c>
      <c r="Q46" s="673">
        <f t="shared" si="5"/>
        <v>0</v>
      </c>
      <c r="R46" s="673">
        <f ca="1">SUM(R39:R45)</f>
        <v>229725.42878173114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59.1765431924428</v>
      </c>
      <c r="D49" s="637">
        <f ca="1">transport!C58</f>
        <v>0</v>
      </c>
      <c r="E49" s="637">
        <f>transport!D58</f>
        <v>0</v>
      </c>
      <c r="F49" s="637">
        <f>transport!E58</f>
        <v>0</v>
      </c>
      <c r="G49" s="637">
        <f>transport!F58</f>
        <v>0</v>
      </c>
      <c r="H49" s="637">
        <f>transport!G58</f>
        <v>3504.398026350063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3563.5745695425057</v>
      </c>
    </row>
    <row r="50" spans="1:18">
      <c r="A50" s="773" t="s">
        <v>294</v>
      </c>
      <c r="B50" s="783"/>
      <c r="C50" s="643">
        <f ca="1">transport!B18</f>
        <v>626.82983356261559</v>
      </c>
      <c r="D50" s="643">
        <f>transport!C18</f>
        <v>0</v>
      </c>
      <c r="E50" s="643">
        <f>transport!D18</f>
        <v>618.34491163549262</v>
      </c>
      <c r="F50" s="643">
        <f>transport!E18</f>
        <v>247.3876297656366</v>
      </c>
      <c r="G50" s="643">
        <f>transport!F18</f>
        <v>0</v>
      </c>
      <c r="H50" s="643">
        <f>transport!G18</f>
        <v>113098.27327502563</v>
      </c>
      <c r="I50" s="643">
        <f>transport!H18</f>
        <v>36742.44477840959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151333.28042839895</v>
      </c>
    </row>
    <row r="51" spans="1:18" ht="15" thickBot="1">
      <c r="A51" s="770" t="s">
        <v>638</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686.00637675505834</v>
      </c>
      <c r="D52" s="673">
        <f t="shared" ref="D52:Q52" ca="1" si="6">SUM(D48:D51)</f>
        <v>0</v>
      </c>
      <c r="E52" s="673">
        <f t="shared" si="6"/>
        <v>618.34491163549262</v>
      </c>
      <c r="F52" s="673">
        <f t="shared" si="6"/>
        <v>247.3876297656366</v>
      </c>
      <c r="G52" s="673">
        <f t="shared" si="6"/>
        <v>0</v>
      </c>
      <c r="H52" s="673">
        <f t="shared" si="6"/>
        <v>116602.67130137568</v>
      </c>
      <c r="I52" s="673">
        <f t="shared" si="6"/>
        <v>36742.44477840959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154896.85499794147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569</v>
      </c>
      <c r="B54" s="783"/>
      <c r="C54" s="643">
        <f ca="1">+landbouw!B12</f>
        <v>318.91471537499513</v>
      </c>
      <c r="D54" s="643">
        <f ca="1">+landbouw!C12</f>
        <v>0</v>
      </c>
      <c r="E54" s="643">
        <f>+landbouw!D12</f>
        <v>184.73649883648639</v>
      </c>
      <c r="F54" s="643">
        <f>+landbouw!E12</f>
        <v>13.184694789191342</v>
      </c>
      <c r="G54" s="643">
        <f>+landbouw!F12</f>
        <v>1593.3562908799438</v>
      </c>
      <c r="H54" s="643">
        <f>+landbouw!G12</f>
        <v>0</v>
      </c>
      <c r="I54" s="643">
        <f>+landbouw!H12</f>
        <v>0</v>
      </c>
      <c r="J54" s="643">
        <f>+landbouw!I12</f>
        <v>0</v>
      </c>
      <c r="K54" s="643">
        <f>+landbouw!J12</f>
        <v>132.3448223887238</v>
      </c>
      <c r="L54" s="643">
        <f>+landbouw!K12</f>
        <v>0</v>
      </c>
      <c r="M54" s="643">
        <f>+landbouw!L12</f>
        <v>0</v>
      </c>
      <c r="N54" s="643">
        <f>+landbouw!M12</f>
        <v>0</v>
      </c>
      <c r="O54" s="643">
        <f>+landbouw!N12</f>
        <v>0</v>
      </c>
      <c r="P54" s="643">
        <f>+landbouw!O12</f>
        <v>0</v>
      </c>
      <c r="Q54" s="644">
        <f>+landbouw!P12</f>
        <v>0</v>
      </c>
      <c r="R54" s="672">
        <f ca="1">SUM(C54:Q54)</f>
        <v>2242.5370222693405</v>
      </c>
    </row>
    <row r="55" spans="1:18" ht="15" thickBot="1">
      <c r="A55" s="773" t="s">
        <v>636</v>
      </c>
      <c r="B55" s="783"/>
      <c r="C55" s="643">
        <f ca="1">C25*'EF ele_warmte'!B12</f>
        <v>1568.3490604789099</v>
      </c>
      <c r="D55" s="643"/>
      <c r="E55" s="643">
        <f>E25*EF_CO2_aardgas</f>
        <v>4345.9421458565566</v>
      </c>
      <c r="F55" s="643"/>
      <c r="G55" s="643"/>
      <c r="H55" s="643"/>
      <c r="I55" s="643"/>
      <c r="J55" s="643"/>
      <c r="K55" s="643"/>
      <c r="L55" s="643"/>
      <c r="M55" s="643"/>
      <c r="N55" s="643"/>
      <c r="O55" s="643"/>
      <c r="P55" s="643"/>
      <c r="Q55" s="644"/>
      <c r="R55" s="672">
        <f ca="1">SUM(C55:Q55)</f>
        <v>5914.291206335467</v>
      </c>
    </row>
    <row r="56" spans="1:18" ht="15.75" thickBot="1">
      <c r="A56" s="771" t="s">
        <v>637</v>
      </c>
      <c r="B56" s="784"/>
      <c r="C56" s="673">
        <f ca="1">SUM(C54:C55)</f>
        <v>1887.2637758539049</v>
      </c>
      <c r="D56" s="673">
        <f t="shared" ref="D56:Q56" ca="1" si="7">SUM(D54:D55)</f>
        <v>0</v>
      </c>
      <c r="E56" s="673">
        <f t="shared" si="7"/>
        <v>4530.6786446930428</v>
      </c>
      <c r="F56" s="673">
        <f t="shared" si="7"/>
        <v>13.184694789191342</v>
      </c>
      <c r="G56" s="673">
        <f t="shared" si="7"/>
        <v>1593.3562908799438</v>
      </c>
      <c r="H56" s="673">
        <f t="shared" si="7"/>
        <v>0</v>
      </c>
      <c r="I56" s="673">
        <f t="shared" si="7"/>
        <v>0</v>
      </c>
      <c r="J56" s="673">
        <f t="shared" si="7"/>
        <v>0</v>
      </c>
      <c r="K56" s="673">
        <f t="shared" si="7"/>
        <v>132.3448223887238</v>
      </c>
      <c r="L56" s="673">
        <f t="shared" si="7"/>
        <v>0</v>
      </c>
      <c r="M56" s="673">
        <f t="shared" si="7"/>
        <v>0</v>
      </c>
      <c r="N56" s="673">
        <f t="shared" si="7"/>
        <v>0</v>
      </c>
      <c r="O56" s="673">
        <f t="shared" si="7"/>
        <v>0</v>
      </c>
      <c r="P56" s="673">
        <f t="shared" si="7"/>
        <v>0</v>
      </c>
      <c r="Q56" s="674">
        <f t="shared" si="7"/>
        <v>0</v>
      </c>
      <c r="R56" s="675">
        <f ca="1">SUM(R54:R55)</f>
        <v>8156.828228604807</v>
      </c>
    </row>
    <row r="57" spans="1:18" ht="15.75">
      <c r="A57" s="751" t="s">
        <v>570</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69791.630091510233</v>
      </c>
      <c r="D61" s="681">
        <f t="shared" ref="D61:Q61" ca="1" si="8">D46+D52+D56</f>
        <v>2098.8520374320788</v>
      </c>
      <c r="E61" s="681">
        <f t="shared" ca="1" si="8"/>
        <v>112818.25371935817</v>
      </c>
      <c r="F61" s="681">
        <f t="shared" ca="1" si="8"/>
        <v>2953.2599946631735</v>
      </c>
      <c r="G61" s="681">
        <f t="shared" ca="1" si="8"/>
        <v>51225.259651346314</v>
      </c>
      <c r="H61" s="681">
        <f t="shared" si="8"/>
        <v>116602.67130137568</v>
      </c>
      <c r="I61" s="681">
        <f t="shared" si="8"/>
        <v>36742.44477840959</v>
      </c>
      <c r="J61" s="681">
        <f t="shared" si="8"/>
        <v>0</v>
      </c>
      <c r="K61" s="681">
        <f t="shared" si="8"/>
        <v>546.74043418219367</v>
      </c>
      <c r="L61" s="681">
        <f t="shared" si="8"/>
        <v>0</v>
      </c>
      <c r="M61" s="681">
        <f t="shared" ca="1" si="8"/>
        <v>0</v>
      </c>
      <c r="N61" s="681">
        <f t="shared" si="8"/>
        <v>0</v>
      </c>
      <c r="O61" s="681">
        <f t="shared" ca="1" si="8"/>
        <v>0</v>
      </c>
      <c r="P61" s="681">
        <f t="shared" si="8"/>
        <v>0</v>
      </c>
      <c r="Q61" s="681">
        <f t="shared" si="8"/>
        <v>0</v>
      </c>
      <c r="R61" s="681">
        <f ca="1">R46+R52+R56</f>
        <v>392779.11200827739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0.18515593165311212</v>
      </c>
      <c r="D63" s="727">
        <f t="shared" ca="1" si="9"/>
        <v>0.22779220181341614</v>
      </c>
      <c r="E63" s="916">
        <f t="shared" ca="1" si="9"/>
        <v>0.20200000000000004</v>
      </c>
      <c r="F63" s="727">
        <f t="shared" ca="1" si="9"/>
        <v>0.22700000000000001</v>
      </c>
      <c r="G63" s="727">
        <f t="shared" ca="1" si="9"/>
        <v>0.26700000000000007</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578</v>
      </c>
      <c r="Q69" s="1111" t="s">
        <v>577</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576</v>
      </c>
      <c r="C71" s="883" t="s">
        <v>640</v>
      </c>
      <c r="D71" s="896" t="s">
        <v>192</v>
      </c>
      <c r="E71" s="897" t="s">
        <v>193</v>
      </c>
      <c r="F71" s="878" t="s">
        <v>194</v>
      </c>
      <c r="G71" s="877" t="s">
        <v>196</v>
      </c>
      <c r="H71" s="898" t="s">
        <v>197</v>
      </c>
      <c r="I71" s="879"/>
      <c r="J71" s="879"/>
      <c r="K71" s="879"/>
      <c r="L71" s="879"/>
      <c r="M71" s="693"/>
      <c r="N71" s="879"/>
      <c r="O71" s="884"/>
      <c r="P71" s="906"/>
      <c r="Q71" s="885" t="s">
        <v>579</v>
      </c>
      <c r="R71" s="884" t="s">
        <v>580</v>
      </c>
    </row>
    <row r="72" spans="1:18" ht="15.75" thickTop="1">
      <c r="A72" s="694" t="s">
        <v>238</v>
      </c>
      <c r="B72" s="791">
        <f>'lokale energieproductie'!B4</f>
        <v>19735.496538483909</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41479.398437376796</v>
      </c>
      <c r="C74" s="1104"/>
      <c r="D74" s="1104"/>
      <c r="E74" s="1118"/>
      <c r="F74" s="1118"/>
      <c r="G74" s="1125"/>
      <c r="H74" s="1128"/>
      <c r="I74" s="1104"/>
      <c r="J74" s="882"/>
      <c r="K74" s="1118"/>
      <c r="L74" s="1118"/>
      <c r="M74" s="1118"/>
      <c r="N74" s="1118"/>
      <c r="O74" s="1121"/>
      <c r="P74" s="800">
        <v>0</v>
      </c>
      <c r="Q74" s="806"/>
      <c r="R74" s="800">
        <v>0</v>
      </c>
    </row>
    <row r="75" spans="1:18" ht="15.75" thickBot="1">
      <c r="A75" s="695" t="s">
        <v>639</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1340.4899038978031</v>
      </c>
      <c r="C76" s="694">
        <f>'lokale energieproductie'!B8*IFERROR(SUM(D76:H76)/SUM(D76:O76),0)</f>
        <v>6340.8989856055969</v>
      </c>
      <c r="D76" s="899">
        <f>'lokale energieproductie'!C8</f>
        <v>8491.1794916707495</v>
      </c>
      <c r="E76" s="900">
        <f>'lokale energieproductie'!D8</f>
        <v>0</v>
      </c>
      <c r="F76" s="900">
        <f>'lokale energieproductie'!E8</f>
        <v>0</v>
      </c>
      <c r="G76" s="900">
        <f>'lokale energieproductie'!F8</f>
        <v>0</v>
      </c>
      <c r="H76" s="900">
        <f>'lokale energieproductie'!G8</f>
        <v>0</v>
      </c>
      <c r="I76" s="900">
        <f>'lokale energieproductie'!I8</f>
        <v>0</v>
      </c>
      <c r="J76" s="900">
        <f>'lokale energieproductie'!J8</f>
        <v>1795.06729355059</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1715.2182573174914</v>
      </c>
      <c r="R76" s="800">
        <v>0</v>
      </c>
    </row>
    <row r="77" spans="1:18" ht="15.75" thickBot="1">
      <c r="A77" s="697" t="s">
        <v>666</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62555.384879758509</v>
      </c>
      <c r="C78" s="699">
        <f>SUM(C72:C77)</f>
        <v>6340.8989856055969</v>
      </c>
      <c r="D78" s="700">
        <f t="shared" ref="D78:H78" si="10">SUM(D76:D77)</f>
        <v>8491.1794916707495</v>
      </c>
      <c r="E78" s="700">
        <f t="shared" si="10"/>
        <v>0</v>
      </c>
      <c r="F78" s="700">
        <f t="shared" si="10"/>
        <v>0</v>
      </c>
      <c r="G78" s="700">
        <f t="shared" si="10"/>
        <v>0</v>
      </c>
      <c r="H78" s="700">
        <f t="shared" si="10"/>
        <v>0</v>
      </c>
      <c r="I78" s="700">
        <f>SUM(I76:I77)</f>
        <v>0</v>
      </c>
      <c r="J78" s="700">
        <f>SUM(J76:J77)</f>
        <v>1795.06729355059</v>
      </c>
      <c r="K78" s="700">
        <f t="shared" ref="K78:L78" si="11">SUM(K76:K77)</f>
        <v>0</v>
      </c>
      <c r="L78" s="700">
        <f t="shared" si="11"/>
        <v>0</v>
      </c>
      <c r="M78" s="700">
        <f>SUM(M76:M77)</f>
        <v>0</v>
      </c>
      <c r="N78" s="700">
        <f>SUM(N76:N77)</f>
        <v>0</v>
      </c>
      <c r="O78" s="808">
        <f>SUM(O76:O77)</f>
        <v>0</v>
      </c>
      <c r="P78" s="701">
        <v>0</v>
      </c>
      <c r="Q78" s="701">
        <f>SUM(Q76:Q77)</f>
        <v>1715.2182573174914</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578</v>
      </c>
      <c r="Q84" s="1082" t="s">
        <v>577</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576</v>
      </c>
      <c r="C86" s="792" t="s">
        <v>640</v>
      </c>
      <c r="D86" s="708" t="s">
        <v>192</v>
      </c>
      <c r="E86" s="692" t="s">
        <v>193</v>
      </c>
      <c r="F86" s="709" t="s">
        <v>194</v>
      </c>
      <c r="G86" s="692" t="s">
        <v>196</v>
      </c>
      <c r="H86" s="710" t="s">
        <v>197</v>
      </c>
      <c r="I86" s="1091"/>
      <c r="J86" s="1086"/>
      <c r="K86" s="1075"/>
      <c r="L86" s="1075"/>
      <c r="M86" s="1099"/>
      <c r="N86" s="1075"/>
      <c r="O86" s="1089"/>
      <c r="P86" s="906"/>
      <c r="Q86" s="745" t="s">
        <v>579</v>
      </c>
      <c r="R86" s="743" t="s">
        <v>580</v>
      </c>
    </row>
    <row r="87" spans="1:19" ht="15.75" thickTop="1">
      <c r="A87" s="711" t="s">
        <v>241</v>
      </c>
      <c r="B87" s="712">
        <f>'lokale energieproductie'!B17*IFERROR(SUM(I87:O87)/SUM(D87:O87),0)</f>
        <v>1640.3101785735316</v>
      </c>
      <c r="C87" s="712">
        <f>'lokale energieproductie'!B17*IFERROR(SUM(D87:H87)/SUM(D87:O87),0)</f>
        <v>7759.1342666228684</v>
      </c>
      <c r="D87" s="723">
        <f>'lokale energieproductie'!C17</f>
        <v>10390.356620950884</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2196.5604845465182</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2098.8520374320788</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1640.3101785735316</v>
      </c>
      <c r="C90" s="699">
        <f>SUM(C87:C89)</f>
        <v>7759.1342666228684</v>
      </c>
      <c r="D90" s="699">
        <f t="shared" ref="D90:H90" si="12">SUM(D87:D89)</f>
        <v>10390.356620950884</v>
      </c>
      <c r="E90" s="699">
        <f t="shared" si="12"/>
        <v>0</v>
      </c>
      <c r="F90" s="699">
        <f t="shared" si="12"/>
        <v>0</v>
      </c>
      <c r="G90" s="699">
        <f t="shared" si="12"/>
        <v>0</v>
      </c>
      <c r="H90" s="699">
        <f t="shared" si="12"/>
        <v>0</v>
      </c>
      <c r="I90" s="699">
        <f>SUM(I87:I89)</f>
        <v>0</v>
      </c>
      <c r="J90" s="699">
        <f>SUM(J87:J89)</f>
        <v>2196.5604845465182</v>
      </c>
      <c r="K90" s="699">
        <f t="shared" ref="K90:L90" si="13">SUM(K87:K89)</f>
        <v>0</v>
      </c>
      <c r="L90" s="699">
        <f t="shared" si="13"/>
        <v>0</v>
      </c>
      <c r="M90" s="699">
        <f>SUM(M87:M89)</f>
        <v>0</v>
      </c>
      <c r="N90" s="699">
        <f>SUM(N87:N89)</f>
        <v>0</v>
      </c>
      <c r="O90" s="699">
        <f>SUM(O87:O89)</f>
        <v>0</v>
      </c>
      <c r="P90" s="699">
        <v>0</v>
      </c>
      <c r="Q90" s="699">
        <f>SUM(Q87:Q89)</f>
        <v>2098.8520374320788</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690</v>
      </c>
      <c r="B2" s="1010" t="s">
        <v>719</v>
      </c>
      <c r="C2" s="994" t="s">
        <v>586</v>
      </c>
      <c r="D2" s="994" t="s">
        <v>691</v>
      </c>
      <c r="E2" s="340"/>
      <c r="F2" s="846" t="s">
        <v>613</v>
      </c>
      <c r="G2" s="846" t="s">
        <v>612</v>
      </c>
      <c r="H2" s="846" t="s">
        <v>614</v>
      </c>
    </row>
    <row r="3" spans="1:8" s="10" customFormat="1">
      <c r="A3" s="994" t="s">
        <v>717</v>
      </c>
      <c r="B3" s="1010" t="s">
        <v>825</v>
      </c>
      <c r="C3" s="994" t="s">
        <v>186</v>
      </c>
      <c r="D3" s="1032" t="s">
        <v>821</v>
      </c>
      <c r="E3" s="1024"/>
      <c r="F3" s="846" t="s">
        <v>613</v>
      </c>
      <c r="G3" s="846" t="s">
        <v>612</v>
      </c>
      <c r="H3" s="846" t="s">
        <v>614</v>
      </c>
    </row>
    <row r="4" spans="1:8" s="10" customFormat="1">
      <c r="A4" s="339" t="s">
        <v>376</v>
      </c>
      <c r="B4" s="747">
        <v>2021</v>
      </c>
      <c r="C4" s="339" t="s">
        <v>376</v>
      </c>
      <c r="D4" s="339" t="s">
        <v>620</v>
      </c>
      <c r="E4" s="1024"/>
      <c r="F4" s="846" t="s">
        <v>610</v>
      </c>
      <c r="G4" s="846" t="s">
        <v>611</v>
      </c>
      <c r="H4" s="846" t="s">
        <v>824</v>
      </c>
    </row>
    <row r="5" spans="1:8">
      <c r="A5" s="334" t="s">
        <v>684</v>
      </c>
      <c r="B5" s="842" t="s">
        <v>758</v>
      </c>
      <c r="C5" s="334" t="s">
        <v>684</v>
      </c>
      <c r="D5" s="334" t="s">
        <v>621</v>
      </c>
      <c r="E5" s="341" t="s">
        <v>759</v>
      </c>
      <c r="F5" s="337"/>
      <c r="G5" s="337"/>
      <c r="H5" s="338"/>
    </row>
    <row r="6" spans="1:8">
      <c r="A6" s="339" t="s">
        <v>396</v>
      </c>
      <c r="B6" s="342" t="s">
        <v>397</v>
      </c>
      <c r="C6" s="339" t="s">
        <v>399</v>
      </c>
      <c r="D6" s="339" t="s">
        <v>395</v>
      </c>
      <c r="E6" s="336" t="s">
        <v>398</v>
      </c>
      <c r="F6" s="337"/>
      <c r="G6" s="337"/>
      <c r="H6" s="338"/>
    </row>
    <row r="7" spans="1:8" s="10" customFormat="1">
      <c r="A7" s="339" t="s">
        <v>615</v>
      </c>
      <c r="B7" s="747">
        <v>2021</v>
      </c>
      <c r="C7" s="339" t="s">
        <v>376</v>
      </c>
      <c r="D7" s="339" t="s">
        <v>820</v>
      </c>
      <c r="E7" s="341" t="s">
        <v>616</v>
      </c>
      <c r="F7" s="1025"/>
      <c r="G7" s="1025"/>
      <c r="H7" s="1026"/>
    </row>
    <row r="8" spans="1:8" s="836" customFormat="1">
      <c r="A8" s="339" t="s">
        <v>626</v>
      </c>
      <c r="B8" s="747">
        <v>2017</v>
      </c>
      <c r="C8" s="339" t="s">
        <v>628</v>
      </c>
      <c r="D8" s="339" t="s">
        <v>627</v>
      </c>
      <c r="E8" s="341" t="s">
        <v>625</v>
      </c>
      <c r="F8" s="337"/>
      <c r="G8" s="337"/>
      <c r="H8" s="338"/>
    </row>
    <row r="9" spans="1:8" s="11" customFormat="1">
      <c r="A9" s="339" t="s">
        <v>564</v>
      </c>
      <c r="B9" s="747" t="s">
        <v>756</v>
      </c>
      <c r="C9" s="339" t="s">
        <v>565</v>
      </c>
      <c r="D9" s="339" t="s">
        <v>566</v>
      </c>
      <c r="E9" s="341" t="s">
        <v>757</v>
      </c>
      <c r="F9" s="846" t="s">
        <v>692</v>
      </c>
      <c r="G9" s="846"/>
      <c r="H9" s="993" t="s">
        <v>693</v>
      </c>
    </row>
    <row r="10" spans="1:8" s="10" customFormat="1">
      <c r="A10" s="339" t="s">
        <v>619</v>
      </c>
      <c r="B10" s="747">
        <v>2017</v>
      </c>
      <c r="C10" s="339" t="s">
        <v>390</v>
      </c>
      <c r="D10" s="339" t="s">
        <v>618</v>
      </c>
      <c r="E10" s="1024"/>
      <c r="F10" s="846" t="s">
        <v>617</v>
      </c>
      <c r="G10" s="846" t="s">
        <v>622</v>
      </c>
      <c r="H10" s="1033" t="s">
        <v>623</v>
      </c>
    </row>
    <row r="11" spans="1:8">
      <c r="A11" s="334" t="s">
        <v>761</v>
      </c>
      <c r="B11" s="335" t="s">
        <v>754</v>
      </c>
      <c r="C11" s="334" t="s">
        <v>761</v>
      </c>
      <c r="D11" s="334" t="s">
        <v>762</v>
      </c>
      <c r="E11" s="341" t="s">
        <v>760</v>
      </c>
      <c r="F11" s="337"/>
      <c r="G11" s="337"/>
      <c r="H11" s="337"/>
    </row>
    <row r="12" spans="1:8" s="843" customFormat="1">
      <c r="A12" s="1012" t="s">
        <v>729</v>
      </c>
      <c r="B12" s="1013" t="s">
        <v>805</v>
      </c>
      <c r="C12" s="1012" t="s">
        <v>729</v>
      </c>
      <c r="D12" s="1012" t="s">
        <v>389</v>
      </c>
      <c r="E12" s="1014"/>
      <c r="F12" s="1015" t="s">
        <v>800</v>
      </c>
      <c r="G12" s="1015" t="s">
        <v>801</v>
      </c>
      <c r="H12" s="1015" t="s">
        <v>802</v>
      </c>
    </row>
    <row r="13" spans="1:8" s="843" customFormat="1">
      <c r="A13" s="339" t="s">
        <v>471</v>
      </c>
      <c r="B13" s="342" t="s">
        <v>704</v>
      </c>
      <c r="C13" s="339" t="s">
        <v>632</v>
      </c>
      <c r="D13" s="1017" t="s">
        <v>703</v>
      </c>
      <c r="E13" s="1014"/>
      <c r="F13" s="1015" t="s">
        <v>609</v>
      </c>
      <c r="G13" s="1015" t="s">
        <v>807</v>
      </c>
      <c r="H13" s="1018" t="s">
        <v>732</v>
      </c>
    </row>
    <row r="14" spans="1:8" s="843" customFormat="1">
      <c r="A14" s="1012" t="s">
        <v>729</v>
      </c>
      <c r="B14" s="1016" t="s">
        <v>806</v>
      </c>
      <c r="C14" s="1012" t="s">
        <v>729</v>
      </c>
      <c r="D14" s="1017" t="s">
        <v>705</v>
      </c>
      <c r="E14" s="1014"/>
      <c r="F14" s="1015" t="s">
        <v>800</v>
      </c>
      <c r="G14" s="1015" t="s">
        <v>801</v>
      </c>
      <c r="H14" s="1015" t="s">
        <v>802</v>
      </c>
    </row>
    <row r="15" spans="1:8" s="843" customFormat="1">
      <c r="A15" s="1012" t="s">
        <v>730</v>
      </c>
      <c r="B15" s="1016" t="s">
        <v>769</v>
      </c>
      <c r="C15" s="1012" t="s">
        <v>729</v>
      </c>
      <c r="D15" s="1012" t="s">
        <v>768</v>
      </c>
      <c r="E15" s="1019" t="s">
        <v>733</v>
      </c>
      <c r="F15" s="1015" t="s">
        <v>609</v>
      </c>
      <c r="G15" s="1015" t="s">
        <v>807</v>
      </c>
      <c r="H15" s="1018" t="s">
        <v>732</v>
      </c>
    </row>
    <row r="16" spans="1:8" s="843" customFormat="1">
      <c r="A16" s="1012" t="s">
        <v>186</v>
      </c>
      <c r="B16" s="1020" t="s">
        <v>754</v>
      </c>
      <c r="C16" s="1012" t="s">
        <v>391</v>
      </c>
      <c r="D16" s="1012" t="s">
        <v>755</v>
      </c>
      <c r="E16" s="1014"/>
      <c r="F16" s="1015" t="s">
        <v>392</v>
      </c>
      <c r="G16" s="1015" t="s">
        <v>393</v>
      </c>
      <c r="H16" s="1018" t="s">
        <v>394</v>
      </c>
    </row>
    <row r="17" spans="1:8" s="10" customFormat="1">
      <c r="A17" s="994" t="s">
        <v>823</v>
      </c>
      <c r="B17" s="1034" t="s">
        <v>825</v>
      </c>
      <c r="C17" s="994" t="s">
        <v>186</v>
      </c>
      <c r="D17" s="994" t="s">
        <v>827</v>
      </c>
      <c r="E17" s="336"/>
      <c r="F17" s="846" t="s">
        <v>613</v>
      </c>
      <c r="G17" s="846" t="s">
        <v>612</v>
      </c>
      <c r="H17" s="846" t="s">
        <v>614</v>
      </c>
    </row>
    <row r="18" spans="1:8" s="843" customFormat="1">
      <c r="A18" s="1012" t="s">
        <v>729</v>
      </c>
      <c r="B18" s="1020" t="s">
        <v>808</v>
      </c>
      <c r="C18" s="1012" t="s">
        <v>729</v>
      </c>
      <c r="D18" s="1012" t="s">
        <v>702</v>
      </c>
      <c r="E18" s="1014"/>
      <c r="F18" s="1015" t="s">
        <v>634</v>
      </c>
      <c r="G18" s="1015" t="s">
        <v>686</v>
      </c>
      <c r="H18" s="993" t="s">
        <v>804</v>
      </c>
    </row>
    <row r="19" spans="1:8" s="843" customFormat="1">
      <c r="A19" s="1012" t="s">
        <v>729</v>
      </c>
      <c r="B19" s="1021" t="s">
        <v>808</v>
      </c>
      <c r="C19" s="1012" t="s">
        <v>729</v>
      </c>
      <c r="D19" s="1012" t="s">
        <v>701</v>
      </c>
      <c r="E19" s="1014"/>
      <c r="F19" s="1015" t="s">
        <v>634</v>
      </c>
      <c r="G19" s="1015" t="s">
        <v>686</v>
      </c>
      <c r="H19" s="993" t="s">
        <v>804</v>
      </c>
    </row>
    <row r="20" spans="1:8" s="843" customFormat="1">
      <c r="A20" s="1012" t="s">
        <v>729</v>
      </c>
      <c r="B20" s="1020" t="s">
        <v>731</v>
      </c>
      <c r="C20" s="1012" t="s">
        <v>729</v>
      </c>
      <c r="D20" s="1012" t="s">
        <v>633</v>
      </c>
      <c r="E20" s="1014"/>
      <c r="F20" s="1015" t="s">
        <v>685</v>
      </c>
      <c r="G20" s="1015" t="s">
        <v>687</v>
      </c>
      <c r="H20" s="993" t="s">
        <v>803</v>
      </c>
    </row>
    <row r="21" spans="1:8" s="843" customFormat="1">
      <c r="A21" s="1012" t="s">
        <v>729</v>
      </c>
      <c r="B21" s="1013" t="s">
        <v>799</v>
      </c>
      <c r="C21" s="1012" t="s">
        <v>729</v>
      </c>
      <c r="D21" s="1012" t="s">
        <v>811</v>
      </c>
      <c r="E21" s="1014"/>
      <c r="F21" s="1015" t="s">
        <v>800</v>
      </c>
      <c r="G21" s="1015" t="s">
        <v>801</v>
      </c>
      <c r="H21" s="1015" t="s">
        <v>802</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554</v>
      </c>
      <c r="B1" s="847" t="s">
        <v>555</v>
      </c>
      <c r="C1" s="847" t="s">
        <v>557</v>
      </c>
      <c r="D1" s="847" t="s">
        <v>556</v>
      </c>
    </row>
    <row r="2" spans="1:4" s="837" customFormat="1">
      <c r="A2" s="965" t="s">
        <v>748</v>
      </c>
      <c r="B2" s="870"/>
      <c r="C2" s="995" t="s">
        <v>696</v>
      </c>
      <c r="D2" s="996" t="s">
        <v>697</v>
      </c>
    </row>
    <row r="3" spans="1:4" s="837" customFormat="1">
      <c r="A3" s="965" t="s">
        <v>748</v>
      </c>
      <c r="B3" s="870"/>
      <c r="C3" s="995" t="s">
        <v>699</v>
      </c>
      <c r="D3" s="874" t="s">
        <v>698</v>
      </c>
    </row>
    <row r="4" spans="1:4" s="7" customFormat="1">
      <c r="A4" s="965" t="s">
        <v>748</v>
      </c>
      <c r="B4" s="870"/>
      <c r="C4" s="997" t="s">
        <v>723</v>
      </c>
      <c r="D4" s="1009" t="s">
        <v>720</v>
      </c>
    </row>
    <row r="5" spans="1:4" s="7" customFormat="1">
      <c r="A5" s="965" t="s">
        <v>748</v>
      </c>
      <c r="B5" s="856"/>
      <c r="C5" s="997" t="s">
        <v>722</v>
      </c>
      <c r="D5" s="1009" t="s">
        <v>721</v>
      </c>
    </row>
    <row r="6" spans="1:4" s="1007" customFormat="1">
      <c r="A6" s="965" t="s">
        <v>748</v>
      </c>
      <c r="B6" s="1008"/>
      <c r="C6" s="997" t="s">
        <v>725</v>
      </c>
      <c r="D6" s="1009" t="s">
        <v>726</v>
      </c>
    </row>
    <row r="7" spans="1:4" s="7" customFormat="1">
      <c r="A7" s="965" t="s">
        <v>748</v>
      </c>
      <c r="B7" s="856"/>
      <c r="C7" s="997" t="s">
        <v>819</v>
      </c>
      <c r="D7" s="1009" t="s">
        <v>727</v>
      </c>
    </row>
    <row r="8" spans="1:4" s="7" customFormat="1">
      <c r="A8" s="965" t="s">
        <v>748</v>
      </c>
      <c r="B8" s="856"/>
      <c r="C8" s="997" t="s">
        <v>818</v>
      </c>
      <c r="D8" s="1009" t="s">
        <v>728</v>
      </c>
    </row>
    <row r="9" spans="1:4" s="7" customFormat="1">
      <c r="A9" s="965" t="s">
        <v>748</v>
      </c>
      <c r="B9" s="856"/>
      <c r="C9" s="997" t="s">
        <v>817</v>
      </c>
      <c r="D9" s="1009" t="s">
        <v>724</v>
      </c>
    </row>
    <row r="10" spans="1:4" s="7" customFormat="1">
      <c r="A10" s="965" t="s">
        <v>748</v>
      </c>
      <c r="B10" s="856"/>
      <c r="C10" s="997" t="s">
        <v>734</v>
      </c>
      <c r="D10" s="1009" t="s">
        <v>735</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512</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129621.29774606586</v>
      </c>
      <c r="C4" s="443">
        <f>huishoudens!C8</f>
        <v>0</v>
      </c>
      <c r="D4" s="443">
        <f>huishoudens!D8</f>
        <v>290641.4343518989</v>
      </c>
      <c r="E4" s="443">
        <f>huishoudens!E8</f>
        <v>11050.630471183144</v>
      </c>
      <c r="F4" s="443">
        <f>huishoudens!F8</f>
        <v>139995.33641161254</v>
      </c>
      <c r="G4" s="443">
        <f>huishoudens!G8</f>
        <v>0</v>
      </c>
      <c r="H4" s="443">
        <f>huishoudens!H8</f>
        <v>0</v>
      </c>
      <c r="I4" s="443">
        <f>huishoudens!I8</f>
        <v>0</v>
      </c>
      <c r="J4" s="443">
        <f>huishoudens!J8</f>
        <v>896.05082322760757</v>
      </c>
      <c r="K4" s="443">
        <f>huishoudens!K8</f>
        <v>0</v>
      </c>
      <c r="L4" s="443">
        <f>huishoudens!L8</f>
        <v>0</v>
      </c>
      <c r="M4" s="443">
        <f>huishoudens!M8</f>
        <v>0</v>
      </c>
      <c r="N4" s="443">
        <f>huishoudens!N8</f>
        <v>41521.488898647382</v>
      </c>
      <c r="O4" s="443">
        <f>huishoudens!O8</f>
        <v>1668.5088625044937</v>
      </c>
      <c r="P4" s="444">
        <f>huishoudens!P8</f>
        <v>3834.3611879973487</v>
      </c>
      <c r="Q4" s="445">
        <f>SUM(B4:P4)</f>
        <v>619229.10875313729</v>
      </c>
    </row>
    <row r="5" spans="1:17">
      <c r="A5" s="442" t="s">
        <v>149</v>
      </c>
      <c r="B5" s="443">
        <f ca="1">tertiair!B16</f>
        <v>179139.64101504534</v>
      </c>
      <c r="C5" s="443">
        <f ca="1">tertiair!C16</f>
        <v>8746.3888895886012</v>
      </c>
      <c r="D5" s="443">
        <f ca="1">tertiair!D16</f>
        <v>185467.23645047817</v>
      </c>
      <c r="E5" s="443">
        <f ca="1">tertiair!E16</f>
        <v>184.43409338744561</v>
      </c>
      <c r="F5" s="443">
        <f ca="1">tertiair!F16</f>
        <v>26788.017123892507</v>
      </c>
      <c r="G5" s="443">
        <f>tertiair!G16</f>
        <v>0</v>
      </c>
      <c r="H5" s="443">
        <f>tertiair!H16</f>
        <v>0</v>
      </c>
      <c r="I5" s="443">
        <f>tertiair!I16</f>
        <v>0</v>
      </c>
      <c r="J5" s="443">
        <f>tertiair!J16</f>
        <v>0.15207909635868247</v>
      </c>
      <c r="K5" s="443">
        <f>tertiair!K16</f>
        <v>0</v>
      </c>
      <c r="L5" s="443">
        <f ca="1">tertiair!L16</f>
        <v>0</v>
      </c>
      <c r="M5" s="443">
        <f>tertiair!M16</f>
        <v>0</v>
      </c>
      <c r="N5" s="443">
        <f ca="1">tertiair!N16</f>
        <v>1946.2769406442726</v>
      </c>
      <c r="O5" s="443">
        <f>tertiair!O16</f>
        <v>39.178086126729234</v>
      </c>
      <c r="P5" s="444">
        <f>tertiair!P16</f>
        <v>1208.4001810493855</v>
      </c>
      <c r="Q5" s="442">
        <f t="shared" ref="Q5:Q14" ca="1" si="0">SUM(B5:P5)</f>
        <v>403519.72485930874</v>
      </c>
    </row>
    <row r="6" spans="1:17">
      <c r="A6" s="442" t="s">
        <v>187</v>
      </c>
      <c r="B6" s="443">
        <f>'openbare verlichting'!B8</f>
        <v>4348.1163544519495</v>
      </c>
      <c r="C6" s="443"/>
      <c r="D6" s="443"/>
      <c r="E6" s="443"/>
      <c r="F6" s="443"/>
      <c r="G6" s="443"/>
      <c r="H6" s="443"/>
      <c r="I6" s="443"/>
      <c r="J6" s="443"/>
      <c r="K6" s="443"/>
      <c r="L6" s="443"/>
      <c r="M6" s="443"/>
      <c r="N6" s="443"/>
      <c r="O6" s="443"/>
      <c r="P6" s="444"/>
      <c r="Q6" s="442">
        <f t="shared" si="0"/>
        <v>4348.1163544519495</v>
      </c>
    </row>
    <row r="7" spans="1:17">
      <c r="A7" s="442" t="s">
        <v>105</v>
      </c>
      <c r="B7" s="443">
        <f>landbouw!B8</f>
        <v>1722.4115507813101</v>
      </c>
      <c r="C7" s="443">
        <f>landbouw!C8</f>
        <v>0</v>
      </c>
      <c r="D7" s="443">
        <f>landbouw!D8</f>
        <v>914.53712295290291</v>
      </c>
      <c r="E7" s="443">
        <f>landbouw!E8</f>
        <v>58.082355899521332</v>
      </c>
      <c r="F7" s="443">
        <f>landbouw!F8</f>
        <v>5967.6265576027854</v>
      </c>
      <c r="G7" s="443">
        <f>landbouw!G8</f>
        <v>0</v>
      </c>
      <c r="H7" s="443">
        <f>landbouw!H8</f>
        <v>0</v>
      </c>
      <c r="I7" s="443">
        <f>landbouw!I8</f>
        <v>0</v>
      </c>
      <c r="J7" s="443">
        <f>landbouw!J8</f>
        <v>373.85543047662088</v>
      </c>
      <c r="K7" s="443">
        <f>landbouw!K8</f>
        <v>0</v>
      </c>
      <c r="L7" s="443">
        <f>landbouw!L8</f>
        <v>0</v>
      </c>
      <c r="M7" s="443">
        <f>landbouw!M8</f>
        <v>0</v>
      </c>
      <c r="N7" s="443">
        <f>landbouw!N8</f>
        <v>0</v>
      </c>
      <c r="O7" s="443">
        <f>landbouw!O8</f>
        <v>0</v>
      </c>
      <c r="P7" s="444">
        <f>landbouw!P8</f>
        <v>0</v>
      </c>
      <c r="Q7" s="442">
        <f t="shared" si="0"/>
        <v>9036.5130177131396</v>
      </c>
    </row>
    <row r="8" spans="1:17">
      <c r="A8" s="442" t="s">
        <v>571</v>
      </c>
      <c r="B8" s="443">
        <f>industrie!B18</f>
        <v>49927.437092713655</v>
      </c>
      <c r="C8" s="443">
        <f>industrie!C18</f>
        <v>467.50000003740001</v>
      </c>
      <c r="D8" s="443">
        <f>industrie!D18</f>
        <v>56907.320103710175</v>
      </c>
      <c r="E8" s="443">
        <f>industrie!E18</f>
        <v>626.99565617101939</v>
      </c>
      <c r="F8" s="443">
        <f>industrie!F18</f>
        <v>19103.924968114286</v>
      </c>
      <c r="G8" s="443">
        <f>industrie!G18</f>
        <v>0</v>
      </c>
      <c r="H8" s="443">
        <f>industrie!H18</f>
        <v>0</v>
      </c>
      <c r="I8" s="443">
        <f>industrie!I18</f>
        <v>0</v>
      </c>
      <c r="J8" s="443">
        <f>industrie!J18</f>
        <v>274.40617053894323</v>
      </c>
      <c r="K8" s="443">
        <f>industrie!K18</f>
        <v>0</v>
      </c>
      <c r="L8" s="443">
        <f>industrie!L18</f>
        <v>0</v>
      </c>
      <c r="M8" s="443">
        <f>industrie!M18</f>
        <v>0</v>
      </c>
      <c r="N8" s="443">
        <f>industrie!N18</f>
        <v>5208.2483165384574</v>
      </c>
      <c r="O8" s="443">
        <f>industrie!O18</f>
        <v>0</v>
      </c>
      <c r="P8" s="444">
        <f>industrie!P18</f>
        <v>0</v>
      </c>
      <c r="Q8" s="442">
        <f t="shared" si="0"/>
        <v>132515.83230782393</v>
      </c>
    </row>
    <row r="9" spans="1:17" s="448" customFormat="1">
      <c r="A9" s="446" t="s">
        <v>523</v>
      </c>
      <c r="B9" s="447">
        <f>transport!B14</f>
        <v>3385.415892249001</v>
      </c>
      <c r="C9" s="447">
        <f>transport!C14</f>
        <v>0</v>
      </c>
      <c r="D9" s="447">
        <f>transport!D14</f>
        <v>3061.1134239380822</v>
      </c>
      <c r="E9" s="447">
        <f>transport!E14</f>
        <v>1089.8133469851832</v>
      </c>
      <c r="F9" s="447">
        <f>transport!F14</f>
        <v>0</v>
      </c>
      <c r="G9" s="447">
        <f>transport!G14</f>
        <v>423589.03848324204</v>
      </c>
      <c r="H9" s="447">
        <f>transport!H14</f>
        <v>147560.01919039997</v>
      </c>
      <c r="I9" s="447">
        <f>transport!I14</f>
        <v>0</v>
      </c>
      <c r="J9" s="447">
        <f>transport!J14</f>
        <v>0</v>
      </c>
      <c r="K9" s="447">
        <f>transport!K14</f>
        <v>0</v>
      </c>
      <c r="L9" s="447">
        <f>transport!L14</f>
        <v>0</v>
      </c>
      <c r="M9" s="447">
        <f>transport!M14</f>
        <v>60113.263578943472</v>
      </c>
      <c r="N9" s="447">
        <f>transport!N14</f>
        <v>0</v>
      </c>
      <c r="O9" s="447">
        <f>transport!O14</f>
        <v>0</v>
      </c>
      <c r="P9" s="447">
        <f>transport!P14</f>
        <v>0</v>
      </c>
      <c r="Q9" s="446">
        <f>SUM(B9:P9)</f>
        <v>638798.66391575779</v>
      </c>
    </row>
    <row r="10" spans="1:17">
      <c r="A10" s="442" t="s">
        <v>513</v>
      </c>
      <c r="B10" s="443">
        <f>transport!B54</f>
        <v>319.60382075854579</v>
      </c>
      <c r="C10" s="443">
        <f>transport!C54</f>
        <v>0</v>
      </c>
      <c r="D10" s="443">
        <f>transport!D54</f>
        <v>0</v>
      </c>
      <c r="E10" s="443">
        <f>transport!E54</f>
        <v>0</v>
      </c>
      <c r="F10" s="443">
        <f>transport!F54</f>
        <v>0</v>
      </c>
      <c r="G10" s="443">
        <f>transport!G54</f>
        <v>13125.086241011471</v>
      </c>
      <c r="H10" s="443">
        <f>transport!H54</f>
        <v>0</v>
      </c>
      <c r="I10" s="443">
        <f>transport!I54</f>
        <v>0</v>
      </c>
      <c r="J10" s="443">
        <f>transport!J54</f>
        <v>0</v>
      </c>
      <c r="K10" s="443">
        <f>transport!K54</f>
        <v>0</v>
      </c>
      <c r="L10" s="443">
        <f>transport!L54</f>
        <v>0</v>
      </c>
      <c r="M10" s="443">
        <f>transport!M54</f>
        <v>1469.2075566061674</v>
      </c>
      <c r="N10" s="443">
        <f>transport!N54</f>
        <v>0</v>
      </c>
      <c r="O10" s="443">
        <f>transport!O54</f>
        <v>0</v>
      </c>
      <c r="P10" s="444">
        <f>transport!P54</f>
        <v>0</v>
      </c>
      <c r="Q10" s="442">
        <f t="shared" si="0"/>
        <v>14913.897618376184</v>
      </c>
    </row>
    <row r="11" spans="1:17">
      <c r="A11" s="442" t="s">
        <v>514</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515</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516</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659</v>
      </c>
      <c r="B14" s="450">
        <f>'SEAP template'!C25</f>
        <v>8470.4229914556399</v>
      </c>
      <c r="C14" s="450"/>
      <c r="D14" s="450">
        <f>'SEAP template'!E25</f>
        <v>21514.565078497802</v>
      </c>
      <c r="E14" s="450"/>
      <c r="F14" s="450"/>
      <c r="G14" s="450"/>
      <c r="H14" s="450"/>
      <c r="I14" s="450"/>
      <c r="J14" s="450"/>
      <c r="K14" s="450"/>
      <c r="L14" s="450"/>
      <c r="M14" s="450"/>
      <c r="N14" s="450"/>
      <c r="O14" s="450"/>
      <c r="P14" s="451"/>
      <c r="Q14" s="442">
        <f t="shared" si="0"/>
        <v>29984.988069953441</v>
      </c>
    </row>
    <row r="15" spans="1:17" s="454" customFormat="1">
      <c r="A15" s="452" t="s">
        <v>517</v>
      </c>
      <c r="B15" s="453">
        <f ca="1">SUM(B4:B14)</f>
        <v>376934.34646352124</v>
      </c>
      <c r="C15" s="453">
        <f t="shared" ref="C15:Q15" ca="1" si="1">SUM(C4:C14)</f>
        <v>9213.8888896260014</v>
      </c>
      <c r="D15" s="453">
        <f t="shared" ca="1" si="1"/>
        <v>558506.206531476</v>
      </c>
      <c r="E15" s="453">
        <f t="shared" ca="1" si="1"/>
        <v>13009.955923626314</v>
      </c>
      <c r="F15" s="453">
        <f t="shared" ca="1" si="1"/>
        <v>191854.90506122212</v>
      </c>
      <c r="G15" s="453">
        <f t="shared" si="1"/>
        <v>436714.12472425349</v>
      </c>
      <c r="H15" s="453">
        <f t="shared" si="1"/>
        <v>147560.01919039997</v>
      </c>
      <c r="I15" s="453">
        <f t="shared" si="1"/>
        <v>0</v>
      </c>
      <c r="J15" s="453">
        <f t="shared" si="1"/>
        <v>1544.4645033395304</v>
      </c>
      <c r="K15" s="453">
        <f t="shared" si="1"/>
        <v>0</v>
      </c>
      <c r="L15" s="453">
        <f t="shared" ca="1" si="1"/>
        <v>0</v>
      </c>
      <c r="M15" s="453">
        <f t="shared" si="1"/>
        <v>61582.47113554964</v>
      </c>
      <c r="N15" s="453">
        <f t="shared" ca="1" si="1"/>
        <v>48676.014155830111</v>
      </c>
      <c r="O15" s="453">
        <f t="shared" si="1"/>
        <v>1707.686948631223</v>
      </c>
      <c r="P15" s="453">
        <f t="shared" si="1"/>
        <v>5042.7613690467342</v>
      </c>
      <c r="Q15" s="453">
        <f t="shared" ca="1" si="1"/>
        <v>1852346.8448965224</v>
      </c>
    </row>
    <row r="17" spans="1:17">
      <c r="A17" s="455" t="s">
        <v>518</v>
      </c>
      <c r="B17" s="732">
        <f ca="1">huishoudens!B10</f>
        <v>0.18515593165311212</v>
      </c>
      <c r="C17" s="732">
        <f ca="1">huishoudens!C10</f>
        <v>0.22779220181341614</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520</v>
      </c>
      <c r="B19" s="1131" t="s">
        <v>519</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24000.152146258264</v>
      </c>
      <c r="C22" s="443">
        <f t="shared" ref="C22:C32" ca="1" si="3">C4*$C$17</f>
        <v>0</v>
      </c>
      <c r="D22" s="443">
        <f t="shared" ref="D22:D32" si="4">D4*$D$17</f>
        <v>58709.569739083585</v>
      </c>
      <c r="E22" s="443">
        <f t="shared" ref="E22:E32" si="5">E4*$E$17</f>
        <v>2508.4931169585739</v>
      </c>
      <c r="F22" s="443">
        <f t="shared" ref="F22:F32" si="6">F4*$F$17</f>
        <v>37378.754821900555</v>
      </c>
      <c r="G22" s="443">
        <f t="shared" ref="G22:G32" si="7">G4*$G$17</f>
        <v>0</v>
      </c>
      <c r="H22" s="443">
        <f t="shared" ref="H22:H32" si="8">H4*$H$17</f>
        <v>0</v>
      </c>
      <c r="I22" s="443">
        <f t="shared" ref="I22:I32" si="9">I4*$I$17</f>
        <v>0</v>
      </c>
      <c r="J22" s="443">
        <f t="shared" ref="J22:J32" si="10">J4*$J$17</f>
        <v>317.20199142257309</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122914.17181562354</v>
      </c>
    </row>
    <row r="23" spans="1:17">
      <c r="A23" s="442" t="s">
        <v>149</v>
      </c>
      <c r="B23" s="443">
        <f t="shared" ca="1" si="2"/>
        <v>33168.767128144777</v>
      </c>
      <c r="C23" s="443">
        <f t="shared" ca="1" si="3"/>
        <v>1992.3591830757873</v>
      </c>
      <c r="D23" s="443">
        <f t="shared" ca="1" si="4"/>
        <v>37464.381762996592</v>
      </c>
      <c r="E23" s="443">
        <f t="shared" ca="1" si="5"/>
        <v>41.866539198950157</v>
      </c>
      <c r="F23" s="443">
        <f t="shared" ca="1" si="6"/>
        <v>7152.4005720792993</v>
      </c>
      <c r="G23" s="443">
        <f t="shared" si="7"/>
        <v>0</v>
      </c>
      <c r="H23" s="443">
        <f t="shared" si="8"/>
        <v>0</v>
      </c>
      <c r="I23" s="443">
        <f t="shared" si="9"/>
        <v>0</v>
      </c>
      <c r="J23" s="443">
        <f t="shared" si="10"/>
        <v>5.3836000110973593E-2</v>
      </c>
      <c r="K23" s="443">
        <f t="shared" si="11"/>
        <v>0</v>
      </c>
      <c r="L23" s="443">
        <f t="shared" ca="1" si="12"/>
        <v>0</v>
      </c>
      <c r="M23" s="443">
        <f t="shared" si="13"/>
        <v>0</v>
      </c>
      <c r="N23" s="443">
        <f t="shared" ca="1" si="14"/>
        <v>0</v>
      </c>
      <c r="O23" s="443">
        <f t="shared" si="15"/>
        <v>0</v>
      </c>
      <c r="P23" s="444">
        <f t="shared" si="16"/>
        <v>0</v>
      </c>
      <c r="Q23" s="442">
        <f t="shared" ref="Q23:Q31" ca="1" si="17">SUM(B23:P23)</f>
        <v>79819.82902149552</v>
      </c>
    </row>
    <row r="24" spans="1:17">
      <c r="A24" s="442" t="s">
        <v>187</v>
      </c>
      <c r="B24" s="443">
        <f t="shared" ca="1" si="2"/>
        <v>805.07953454468418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805.07953454468418</v>
      </c>
    </row>
    <row r="25" spans="1:17">
      <c r="A25" s="442" t="s">
        <v>105</v>
      </c>
      <c r="B25" s="443">
        <f t="shared" ca="1" si="2"/>
        <v>318.91471537499513</v>
      </c>
      <c r="C25" s="443">
        <f t="shared" ca="1" si="3"/>
        <v>0</v>
      </c>
      <c r="D25" s="443">
        <f t="shared" si="4"/>
        <v>184.73649883648639</v>
      </c>
      <c r="E25" s="443">
        <f t="shared" si="5"/>
        <v>13.184694789191342</v>
      </c>
      <c r="F25" s="443">
        <f t="shared" si="6"/>
        <v>1593.3562908799438</v>
      </c>
      <c r="G25" s="443">
        <f t="shared" si="7"/>
        <v>0</v>
      </c>
      <c r="H25" s="443">
        <f t="shared" si="8"/>
        <v>0</v>
      </c>
      <c r="I25" s="443">
        <f t="shared" si="9"/>
        <v>0</v>
      </c>
      <c r="J25" s="443">
        <f t="shared" si="10"/>
        <v>132.3448223887238</v>
      </c>
      <c r="K25" s="443">
        <f t="shared" si="11"/>
        <v>0</v>
      </c>
      <c r="L25" s="443">
        <f t="shared" si="12"/>
        <v>0</v>
      </c>
      <c r="M25" s="443">
        <f t="shared" si="13"/>
        <v>0</v>
      </c>
      <c r="N25" s="443">
        <f t="shared" si="14"/>
        <v>0</v>
      </c>
      <c r="O25" s="443">
        <f t="shared" si="15"/>
        <v>0</v>
      </c>
      <c r="P25" s="444">
        <f t="shared" si="16"/>
        <v>0</v>
      </c>
      <c r="Q25" s="442">
        <f t="shared" ca="1" si="17"/>
        <v>2242.5370222693405</v>
      </c>
    </row>
    <row r="26" spans="1:17">
      <c r="A26" s="442" t="s">
        <v>571</v>
      </c>
      <c r="B26" s="443">
        <f t="shared" ca="1" si="2"/>
        <v>9244.3611299535442</v>
      </c>
      <c r="C26" s="443">
        <f t="shared" ca="1" si="3"/>
        <v>106.49285435629147</v>
      </c>
      <c r="D26" s="443">
        <f t="shared" si="4"/>
        <v>11495.278660949456</v>
      </c>
      <c r="E26" s="443">
        <f t="shared" si="5"/>
        <v>142.3280139508214</v>
      </c>
      <c r="F26" s="443">
        <f t="shared" si="6"/>
        <v>5100.747966486515</v>
      </c>
      <c r="G26" s="443">
        <f t="shared" si="7"/>
        <v>0</v>
      </c>
      <c r="H26" s="443">
        <f t="shared" si="8"/>
        <v>0</v>
      </c>
      <c r="I26" s="443">
        <f t="shared" si="9"/>
        <v>0</v>
      </c>
      <c r="J26" s="443">
        <f t="shared" si="10"/>
        <v>97.139784370785904</v>
      </c>
      <c r="K26" s="443">
        <f t="shared" si="11"/>
        <v>0</v>
      </c>
      <c r="L26" s="443">
        <f t="shared" si="12"/>
        <v>0</v>
      </c>
      <c r="M26" s="443">
        <f t="shared" si="13"/>
        <v>0</v>
      </c>
      <c r="N26" s="443">
        <f t="shared" si="14"/>
        <v>0</v>
      </c>
      <c r="O26" s="443">
        <f t="shared" si="15"/>
        <v>0</v>
      </c>
      <c r="P26" s="444">
        <f t="shared" si="16"/>
        <v>0</v>
      </c>
      <c r="Q26" s="442">
        <f t="shared" ca="1" si="17"/>
        <v>26186.348410067414</v>
      </c>
    </row>
    <row r="27" spans="1:17" s="448" customFormat="1">
      <c r="A27" s="446" t="s">
        <v>523</v>
      </c>
      <c r="B27" s="726">
        <f t="shared" ca="1" si="2"/>
        <v>626.82983356261559</v>
      </c>
      <c r="C27" s="447">
        <f t="shared" ca="1" si="3"/>
        <v>0</v>
      </c>
      <c r="D27" s="447">
        <f t="shared" si="4"/>
        <v>618.34491163549262</v>
      </c>
      <c r="E27" s="447">
        <f t="shared" si="5"/>
        <v>247.3876297656366</v>
      </c>
      <c r="F27" s="447">
        <f t="shared" si="6"/>
        <v>0</v>
      </c>
      <c r="G27" s="447">
        <f t="shared" si="7"/>
        <v>113098.27327502563</v>
      </c>
      <c r="H27" s="447">
        <f t="shared" si="8"/>
        <v>36742.44477840959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151333.28042839895</v>
      </c>
    </row>
    <row r="28" spans="1:17" ht="16.5" customHeight="1">
      <c r="A28" s="442" t="s">
        <v>513</v>
      </c>
      <c r="B28" s="443">
        <f t="shared" ca="1" si="2"/>
        <v>59.1765431924428</v>
      </c>
      <c r="C28" s="443">
        <f t="shared" ca="1" si="3"/>
        <v>0</v>
      </c>
      <c r="D28" s="443">
        <f t="shared" si="4"/>
        <v>0</v>
      </c>
      <c r="E28" s="443">
        <f t="shared" si="5"/>
        <v>0</v>
      </c>
      <c r="F28" s="443">
        <f t="shared" si="6"/>
        <v>0</v>
      </c>
      <c r="G28" s="443">
        <f t="shared" si="7"/>
        <v>3504.398026350063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3563.5745695425057</v>
      </c>
    </row>
    <row r="29" spans="1:17">
      <c r="A29" s="442" t="s">
        <v>514</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515</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516</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659</v>
      </c>
      <c r="B32" s="443">
        <f t="shared" ca="1" si="2"/>
        <v>1568.3490604789099</v>
      </c>
      <c r="C32" s="443">
        <f t="shared" ca="1" si="3"/>
        <v>0</v>
      </c>
      <c r="D32" s="443">
        <f t="shared" si="4"/>
        <v>4345.9421458565566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5914.291206335467</v>
      </c>
    </row>
    <row r="33" spans="1:17" s="454" customFormat="1">
      <c r="A33" s="452" t="s">
        <v>517</v>
      </c>
      <c r="B33" s="453">
        <f ca="1">SUM(B22:B32)</f>
        <v>69791.630091510233</v>
      </c>
      <c r="C33" s="453">
        <f t="shared" ref="C33:Q33" ca="1" si="19">SUM(C22:C32)</f>
        <v>2098.8520374320788</v>
      </c>
      <c r="D33" s="453">
        <f t="shared" ca="1" si="19"/>
        <v>112818.25371935817</v>
      </c>
      <c r="E33" s="453">
        <f t="shared" ca="1" si="19"/>
        <v>2953.2599946631735</v>
      </c>
      <c r="F33" s="453">
        <f t="shared" ca="1" si="19"/>
        <v>51225.259651346314</v>
      </c>
      <c r="G33" s="453">
        <f t="shared" si="19"/>
        <v>116602.67130137568</v>
      </c>
      <c r="H33" s="453">
        <f t="shared" si="19"/>
        <v>36742.44477840959</v>
      </c>
      <c r="I33" s="453">
        <f t="shared" si="19"/>
        <v>0</v>
      </c>
      <c r="J33" s="453">
        <f t="shared" si="19"/>
        <v>546.74043418219378</v>
      </c>
      <c r="K33" s="453">
        <f t="shared" si="19"/>
        <v>0</v>
      </c>
      <c r="L33" s="453">
        <f t="shared" ca="1" si="19"/>
        <v>0</v>
      </c>
      <c r="M33" s="453">
        <f t="shared" si="19"/>
        <v>0</v>
      </c>
      <c r="N33" s="453">
        <f t="shared" ca="1" si="19"/>
        <v>0</v>
      </c>
      <c r="O33" s="453">
        <f t="shared" si="19"/>
        <v>0</v>
      </c>
      <c r="P33" s="453">
        <f t="shared" si="19"/>
        <v>0</v>
      </c>
      <c r="Q33" s="453">
        <f t="shared" ca="1" si="19"/>
        <v>392779.11200827744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512</v>
      </c>
      <c r="B1" s="1140" t="s">
        <v>643</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644</v>
      </c>
      <c r="C4" s="922" t="s">
        <v>645</v>
      </c>
      <c r="D4" s="923" t="s">
        <v>646</v>
      </c>
      <c r="E4" s="924" t="s">
        <v>782</v>
      </c>
      <c r="F4" s="924" t="s">
        <v>783</v>
      </c>
      <c r="G4" s="925" t="s">
        <v>647</v>
      </c>
      <c r="H4" s="925" t="s">
        <v>647</v>
      </c>
      <c r="I4" s="925" t="s">
        <v>647</v>
      </c>
      <c r="J4" s="924" t="s">
        <v>784</v>
      </c>
      <c r="K4" s="925" t="s">
        <v>647</v>
      </c>
      <c r="L4" s="925" t="s">
        <v>647</v>
      </c>
      <c r="M4" s="925" t="s">
        <v>647</v>
      </c>
      <c r="N4" s="924" t="s">
        <v>785</v>
      </c>
      <c r="O4" s="926" t="s">
        <v>648</v>
      </c>
      <c r="P4" s="927" t="s">
        <v>649</v>
      </c>
      <c r="Q4" s="928"/>
    </row>
    <row r="5" spans="1:17" ht="195">
      <c r="A5" s="929" t="s">
        <v>149</v>
      </c>
      <c r="B5" s="930" t="s">
        <v>786</v>
      </c>
      <c r="C5" s="931" t="s">
        <v>787</v>
      </c>
      <c r="D5" s="931" t="s">
        <v>788</v>
      </c>
      <c r="E5" s="932" t="s">
        <v>650</v>
      </c>
      <c r="F5" s="932" t="s">
        <v>789</v>
      </c>
      <c r="G5" s="933" t="s">
        <v>647</v>
      </c>
      <c r="H5" s="933" t="s">
        <v>647</v>
      </c>
      <c r="I5" s="933" t="s">
        <v>647</v>
      </c>
      <c r="J5" s="932" t="s">
        <v>652</v>
      </c>
      <c r="K5" s="933" t="s">
        <v>647</v>
      </c>
      <c r="L5" s="933" t="s">
        <v>647</v>
      </c>
      <c r="M5" s="933" t="s">
        <v>647</v>
      </c>
      <c r="N5" s="932" t="s">
        <v>790</v>
      </c>
      <c r="O5" s="934" t="s">
        <v>648</v>
      </c>
      <c r="P5" s="935" t="s">
        <v>649</v>
      </c>
      <c r="Q5" s="936"/>
    </row>
    <row r="6" spans="1:17" ht="30">
      <c r="A6" s="929" t="s">
        <v>187</v>
      </c>
      <c r="B6" s="937" t="s">
        <v>653</v>
      </c>
      <c r="C6" s="938" t="s">
        <v>654</v>
      </c>
      <c r="D6" s="933" t="s">
        <v>654</v>
      </c>
      <c r="E6" s="933" t="s">
        <v>654</v>
      </c>
      <c r="F6" s="933" t="s">
        <v>654</v>
      </c>
      <c r="G6" s="933" t="s">
        <v>654</v>
      </c>
      <c r="H6" s="933" t="s">
        <v>654</v>
      </c>
      <c r="I6" s="933" t="s">
        <v>654</v>
      </c>
      <c r="J6" s="933" t="s">
        <v>654</v>
      </c>
      <c r="K6" s="933" t="s">
        <v>654</v>
      </c>
      <c r="L6" s="933" t="s">
        <v>654</v>
      </c>
      <c r="M6" s="933" t="s">
        <v>654</v>
      </c>
      <c r="N6" s="933" t="s">
        <v>654</v>
      </c>
      <c r="O6" s="939" t="s">
        <v>654</v>
      </c>
      <c r="P6" s="940" t="s">
        <v>654</v>
      </c>
      <c r="Q6" s="941"/>
    </row>
    <row r="7" spans="1:17" ht="195">
      <c r="A7" s="929" t="s">
        <v>105</v>
      </c>
      <c r="B7" s="937" t="s">
        <v>653</v>
      </c>
      <c r="C7" s="931" t="s">
        <v>787</v>
      </c>
      <c r="D7" s="931" t="s">
        <v>788</v>
      </c>
      <c r="E7" s="932" t="s">
        <v>650</v>
      </c>
      <c r="F7" s="932" t="s">
        <v>651</v>
      </c>
      <c r="G7" s="933" t="s">
        <v>647</v>
      </c>
      <c r="H7" s="933" t="s">
        <v>647</v>
      </c>
      <c r="I7" s="933" t="s">
        <v>647</v>
      </c>
      <c r="J7" s="932" t="s">
        <v>652</v>
      </c>
      <c r="K7" s="933" t="s">
        <v>647</v>
      </c>
      <c r="L7" s="933" t="s">
        <v>647</v>
      </c>
      <c r="M7" s="933" t="s">
        <v>647</v>
      </c>
      <c r="N7" s="942" t="s">
        <v>647</v>
      </c>
      <c r="O7" s="938" t="s">
        <v>647</v>
      </c>
      <c r="P7" s="943" t="s">
        <v>647</v>
      </c>
      <c r="Q7" s="936"/>
    </row>
    <row r="8" spans="1:17" ht="195">
      <c r="A8" s="929" t="s">
        <v>571</v>
      </c>
      <c r="B8" s="930" t="s">
        <v>791</v>
      </c>
      <c r="C8" s="931" t="s">
        <v>787</v>
      </c>
      <c r="D8" s="931" t="s">
        <v>788</v>
      </c>
      <c r="E8" s="932" t="s">
        <v>650</v>
      </c>
      <c r="F8" s="932" t="s">
        <v>651</v>
      </c>
      <c r="G8" s="933" t="s">
        <v>647</v>
      </c>
      <c r="H8" s="933" t="s">
        <v>647</v>
      </c>
      <c r="I8" s="933" t="s">
        <v>647</v>
      </c>
      <c r="J8" s="932" t="s">
        <v>652</v>
      </c>
      <c r="K8" s="933" t="s">
        <v>647</v>
      </c>
      <c r="L8" s="933" t="s">
        <v>647</v>
      </c>
      <c r="M8" s="933" t="s">
        <v>647</v>
      </c>
      <c r="N8" s="932" t="s">
        <v>790</v>
      </c>
      <c r="O8" s="934" t="s">
        <v>648</v>
      </c>
      <c r="P8" s="935" t="s">
        <v>649</v>
      </c>
      <c r="Q8" s="936"/>
    </row>
    <row r="9" spans="1:17" s="448" customFormat="1" ht="390">
      <c r="A9" s="944" t="s">
        <v>523</v>
      </c>
      <c r="B9" s="932" t="s">
        <v>792</v>
      </c>
      <c r="C9" s="939" t="s">
        <v>654</v>
      </c>
      <c r="D9" s="932" t="s">
        <v>793</v>
      </c>
      <c r="E9" s="932" t="s">
        <v>794</v>
      </c>
      <c r="F9" s="933" t="s">
        <v>654</v>
      </c>
      <c r="G9" s="932" t="s">
        <v>795</v>
      </c>
      <c r="H9" s="932" t="s">
        <v>796</v>
      </c>
      <c r="I9" s="933" t="s">
        <v>654</v>
      </c>
      <c r="J9" s="933" t="s">
        <v>654</v>
      </c>
      <c r="K9" s="933" t="s">
        <v>654</v>
      </c>
      <c r="L9" s="933" t="s">
        <v>654</v>
      </c>
      <c r="M9" s="932" t="s">
        <v>797</v>
      </c>
      <c r="N9" s="933" t="s">
        <v>654</v>
      </c>
      <c r="O9" s="933" t="s">
        <v>654</v>
      </c>
      <c r="P9" s="945" t="s">
        <v>654</v>
      </c>
      <c r="Q9" s="946"/>
    </row>
    <row r="10" spans="1:17" ht="360">
      <c r="A10" s="929" t="s">
        <v>513</v>
      </c>
      <c r="B10" s="930" t="s">
        <v>655</v>
      </c>
      <c r="C10" s="939" t="s">
        <v>654</v>
      </c>
      <c r="D10" s="939" t="s">
        <v>654</v>
      </c>
      <c r="E10" s="939" t="s">
        <v>654</v>
      </c>
      <c r="F10" s="933" t="s">
        <v>654</v>
      </c>
      <c r="G10" s="930" t="s">
        <v>656</v>
      </c>
      <c r="H10" s="933" t="s">
        <v>654</v>
      </c>
      <c r="I10" s="933" t="s">
        <v>654</v>
      </c>
      <c r="J10" s="933" t="s">
        <v>654</v>
      </c>
      <c r="K10" s="933" t="s">
        <v>654</v>
      </c>
      <c r="L10" s="933" t="s">
        <v>654</v>
      </c>
      <c r="M10" s="930" t="s">
        <v>657</v>
      </c>
      <c r="N10" s="933" t="s">
        <v>654</v>
      </c>
      <c r="O10" s="933" t="s">
        <v>654</v>
      </c>
      <c r="P10" s="945" t="s">
        <v>654</v>
      </c>
      <c r="Q10" s="936"/>
    </row>
    <row r="11" spans="1:17" ht="21">
      <c r="A11" s="929" t="s">
        <v>514</v>
      </c>
      <c r="B11" s="947" t="s">
        <v>658</v>
      </c>
      <c r="C11" s="947" t="s">
        <v>658</v>
      </c>
      <c r="D11" s="947" t="s">
        <v>658</v>
      </c>
      <c r="E11" s="947" t="s">
        <v>658</v>
      </c>
      <c r="F11" s="947" t="s">
        <v>658</v>
      </c>
      <c r="G11" s="947" t="s">
        <v>658</v>
      </c>
      <c r="H11" s="947" t="s">
        <v>658</v>
      </c>
      <c r="I11" s="947" t="s">
        <v>658</v>
      </c>
      <c r="J11" s="947" t="s">
        <v>658</v>
      </c>
      <c r="K11" s="947" t="s">
        <v>658</v>
      </c>
      <c r="L11" s="947" t="s">
        <v>658</v>
      </c>
      <c r="M11" s="947" t="s">
        <v>658</v>
      </c>
      <c r="N11" s="947" t="s">
        <v>658</v>
      </c>
      <c r="O11" s="947" t="s">
        <v>658</v>
      </c>
      <c r="P11" s="948" t="s">
        <v>658</v>
      </c>
      <c r="Q11" s="949"/>
    </row>
    <row r="12" spans="1:17" ht="21">
      <c r="A12" s="929" t="s">
        <v>515</v>
      </c>
      <c r="B12" s="947" t="s">
        <v>658</v>
      </c>
      <c r="C12" s="947" t="s">
        <v>654</v>
      </c>
      <c r="D12" s="947" t="s">
        <v>654</v>
      </c>
      <c r="E12" s="947" t="s">
        <v>654</v>
      </c>
      <c r="F12" s="947" t="s">
        <v>654</v>
      </c>
      <c r="G12" s="947" t="s">
        <v>654</v>
      </c>
      <c r="H12" s="947" t="s">
        <v>654</v>
      </c>
      <c r="I12" s="947" t="s">
        <v>654</v>
      </c>
      <c r="J12" s="947" t="s">
        <v>654</v>
      </c>
      <c r="K12" s="947" t="s">
        <v>654</v>
      </c>
      <c r="L12" s="947" t="s">
        <v>654</v>
      </c>
      <c r="M12" s="947" t="s">
        <v>654</v>
      </c>
      <c r="N12" s="947" t="s">
        <v>654</v>
      </c>
      <c r="O12" s="947" t="s">
        <v>654</v>
      </c>
      <c r="P12" s="950" t="s">
        <v>654</v>
      </c>
      <c r="Q12" s="444"/>
    </row>
    <row r="13" spans="1:17" ht="21">
      <c r="A13" s="929" t="s">
        <v>516</v>
      </c>
      <c r="B13" s="947" t="s">
        <v>658</v>
      </c>
      <c r="C13" s="947" t="s">
        <v>654</v>
      </c>
      <c r="D13" s="947" t="s">
        <v>658</v>
      </c>
      <c r="E13" s="947" t="s">
        <v>658</v>
      </c>
      <c r="F13" s="947" t="s">
        <v>654</v>
      </c>
      <c r="G13" s="947" t="s">
        <v>658</v>
      </c>
      <c r="H13" s="947" t="s">
        <v>658</v>
      </c>
      <c r="I13" s="947" t="s">
        <v>654</v>
      </c>
      <c r="J13" s="947" t="s">
        <v>654</v>
      </c>
      <c r="K13" s="947" t="s">
        <v>654</v>
      </c>
      <c r="L13" s="947" t="s">
        <v>654</v>
      </c>
      <c r="M13" s="947" t="s">
        <v>658</v>
      </c>
      <c r="N13" s="947" t="s">
        <v>654</v>
      </c>
      <c r="O13" s="947" t="s">
        <v>654</v>
      </c>
      <c r="P13" s="950" t="s">
        <v>654</v>
      </c>
      <c r="Q13" s="444"/>
    </row>
    <row r="14" spans="1:17" ht="30">
      <c r="A14" s="951" t="s">
        <v>659</v>
      </c>
      <c r="B14" s="937" t="s">
        <v>653</v>
      </c>
      <c r="C14" s="947" t="s">
        <v>654</v>
      </c>
      <c r="D14" s="937" t="s">
        <v>653</v>
      </c>
      <c r="E14" s="947" t="s">
        <v>654</v>
      </c>
      <c r="F14" s="947" t="s">
        <v>654</v>
      </c>
      <c r="G14" s="947" t="s">
        <v>654</v>
      </c>
      <c r="H14" s="947" t="s">
        <v>654</v>
      </c>
      <c r="I14" s="947" t="s">
        <v>654</v>
      </c>
      <c r="J14" s="947" t="s">
        <v>654</v>
      </c>
      <c r="K14" s="947" t="s">
        <v>654</v>
      </c>
      <c r="L14" s="947" t="s">
        <v>654</v>
      </c>
      <c r="M14" s="947" t="s">
        <v>654</v>
      </c>
      <c r="N14" s="947" t="s">
        <v>654</v>
      </c>
      <c r="O14" s="947" t="s">
        <v>654</v>
      </c>
      <c r="P14" s="948" t="s">
        <v>654</v>
      </c>
      <c r="Q14" s="952"/>
    </row>
    <row r="15" spans="1:17" s="454" customFormat="1" ht="21">
      <c r="A15" s="953" t="s">
        <v>517</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660</v>
      </c>
      <c r="B18" s="962" t="s">
        <v>661</v>
      </c>
      <c r="C18" s="963" t="s">
        <v>662</v>
      </c>
      <c r="D18" s="964" t="s">
        <v>663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664</v>
      </c>
    </row>
    <row r="2" spans="1:16" ht="60">
      <c r="A2" s="1150"/>
      <c r="B2" s="1148"/>
      <c r="C2" s="1148"/>
      <c r="D2" s="1151" t="s">
        <v>190</v>
      </c>
      <c r="E2" s="1151"/>
      <c r="F2" s="1151"/>
      <c r="G2" s="1151"/>
      <c r="H2" s="1151"/>
      <c r="I2" s="966" t="s">
        <v>672</v>
      </c>
      <c r="J2" s="966" t="s">
        <v>223</v>
      </c>
      <c r="K2" s="966" t="s">
        <v>671</v>
      </c>
      <c r="L2" s="966" t="s">
        <v>639</v>
      </c>
      <c r="M2" s="966" t="s">
        <v>234</v>
      </c>
      <c r="N2" s="966" t="s">
        <v>669</v>
      </c>
      <c r="O2" s="966" t="s">
        <v>120</v>
      </c>
      <c r="P2" s="1148"/>
    </row>
    <row r="3" spans="1:16" ht="30">
      <c r="A3" s="1150"/>
      <c r="B3" s="966" t="s">
        <v>675</v>
      </c>
      <c r="C3" s="966" t="s">
        <v>676</v>
      </c>
      <c r="D3" s="966" t="s">
        <v>192</v>
      </c>
      <c r="E3" s="966" t="s">
        <v>193</v>
      </c>
      <c r="F3" s="966" t="s">
        <v>194</v>
      </c>
      <c r="G3" s="966" t="s">
        <v>196</v>
      </c>
      <c r="H3" s="966" t="s">
        <v>197</v>
      </c>
      <c r="I3" s="966"/>
      <c r="J3" s="966"/>
      <c r="K3" s="966"/>
      <c r="L3" s="966"/>
      <c r="M3" s="966"/>
      <c r="N3" s="966"/>
      <c r="O3" s="966"/>
      <c r="P3" s="1148"/>
    </row>
    <row r="4" spans="1:16">
      <c r="A4" s="971" t="s">
        <v>238</v>
      </c>
      <c r="B4" s="967">
        <f>'SEAP template'!B72</f>
        <v>19735.496538483909</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41479.398437376796</v>
      </c>
      <c r="C6" s="967"/>
      <c r="D6" s="967"/>
      <c r="E6" s="967"/>
      <c r="F6" s="967"/>
      <c r="G6" s="967"/>
      <c r="H6" s="967"/>
      <c r="I6" s="967"/>
      <c r="J6" s="967"/>
      <c r="K6" s="967"/>
      <c r="L6" s="967"/>
      <c r="M6" s="967"/>
      <c r="N6" s="967"/>
      <c r="O6" s="967"/>
      <c r="P6" s="968">
        <f>'SEAP template'!Q74</f>
        <v>0</v>
      </c>
    </row>
    <row r="7" spans="1:16">
      <c r="A7" s="972" t="s">
        <v>639</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1340.4899038978031</v>
      </c>
      <c r="C8" s="967">
        <f>'SEAP template'!C76</f>
        <v>6340.8989856055969</v>
      </c>
      <c r="D8" s="967">
        <f>'SEAP template'!D76</f>
        <v>8491.1794916707495</v>
      </c>
      <c r="E8" s="967">
        <f>'SEAP template'!E76</f>
        <v>0</v>
      </c>
      <c r="F8" s="967">
        <f>'SEAP template'!F76</f>
        <v>0</v>
      </c>
      <c r="G8" s="967">
        <f>'SEAP template'!G76</f>
        <v>0</v>
      </c>
      <c r="H8" s="967">
        <f>'SEAP template'!H76</f>
        <v>0</v>
      </c>
      <c r="I8" s="967">
        <f>'SEAP template'!I76</f>
        <v>0</v>
      </c>
      <c r="J8" s="967">
        <f>'SEAP template'!J76</f>
        <v>1795.06729355059</v>
      </c>
      <c r="K8" s="967">
        <f>'SEAP template'!K76</f>
        <v>0</v>
      </c>
      <c r="L8" s="967">
        <f>'SEAP template'!L76</f>
        <v>0</v>
      </c>
      <c r="M8" s="967">
        <f>'SEAP template'!M76</f>
        <v>0</v>
      </c>
      <c r="N8" s="967">
        <f>'SEAP template'!N76</f>
        <v>0</v>
      </c>
      <c r="O8" s="967">
        <f>'SEAP template'!O76</f>
        <v>0</v>
      </c>
      <c r="P8" s="968">
        <f>'SEAP template'!Q76</f>
        <v>1715.2182573174914</v>
      </c>
    </row>
    <row r="9" spans="1:16">
      <c r="A9" s="973" t="s">
        <v>667</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62555.384879758509</v>
      </c>
      <c r="C10" s="969">
        <f>SUM(C4:C9)</f>
        <v>6340.8989856055969</v>
      </c>
      <c r="D10" s="969">
        <f t="shared" ref="D10:H10" si="0">SUM(D8:D9)</f>
        <v>8491.1794916707495</v>
      </c>
      <c r="E10" s="969">
        <f t="shared" si="0"/>
        <v>0</v>
      </c>
      <c r="F10" s="969">
        <f t="shared" si="0"/>
        <v>0</v>
      </c>
      <c r="G10" s="969">
        <f t="shared" si="0"/>
        <v>0</v>
      </c>
      <c r="H10" s="969">
        <f t="shared" si="0"/>
        <v>0</v>
      </c>
      <c r="I10" s="969">
        <f>SUM(I8:I9)</f>
        <v>0</v>
      </c>
      <c r="J10" s="969">
        <f>SUM(J8:J9)</f>
        <v>1795.06729355059</v>
      </c>
      <c r="K10" s="969">
        <f t="shared" ref="K10:L10" si="1">SUM(K8:K9)</f>
        <v>0</v>
      </c>
      <c r="L10" s="969">
        <f t="shared" si="1"/>
        <v>0</v>
      </c>
      <c r="M10" s="969">
        <f>SUM(M8:M9)</f>
        <v>0</v>
      </c>
      <c r="N10" s="969">
        <f>SUM(N8:N9)</f>
        <v>0</v>
      </c>
      <c r="O10" s="969">
        <f>SUM(O8:O9)</f>
        <v>0</v>
      </c>
      <c r="P10" s="969">
        <f>SUM(P8:P9)</f>
        <v>1715.2182573174914</v>
      </c>
    </row>
    <row r="11" spans="1:16">
      <c r="A11" s="843"/>
      <c r="B11" s="843"/>
      <c r="C11" s="843"/>
      <c r="D11" s="843"/>
      <c r="E11" s="843"/>
      <c r="F11" s="843"/>
      <c r="G11" s="843"/>
      <c r="H11" s="843"/>
      <c r="I11" s="843"/>
      <c r="J11" s="843"/>
      <c r="K11" s="843"/>
      <c r="L11" s="843"/>
      <c r="M11" s="843"/>
      <c r="N11" s="843"/>
      <c r="O11" s="843"/>
      <c r="P11" s="843"/>
    </row>
    <row r="12" spans="1:16">
      <c r="A12" s="455" t="s">
        <v>678</v>
      </c>
      <c r="B12" s="732" t="s">
        <v>677</v>
      </c>
      <c r="C12" s="732">
        <f ca="1">'EF ele_warmte'!B12</f>
        <v>0.18515593165311212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665</v>
      </c>
    </row>
    <row r="15" spans="1:16">
      <c r="A15" s="1150"/>
      <c r="B15" s="1148"/>
      <c r="C15" s="1148"/>
      <c r="D15" s="1152" t="s">
        <v>190</v>
      </c>
      <c r="E15" s="1152"/>
      <c r="F15" s="1152"/>
      <c r="G15" s="1152"/>
      <c r="H15" s="1152"/>
      <c r="I15" s="1148" t="s">
        <v>672</v>
      </c>
      <c r="J15" s="1148" t="s">
        <v>223</v>
      </c>
      <c r="K15" s="1148" t="s">
        <v>671</v>
      </c>
      <c r="L15" s="1148" t="s">
        <v>639</v>
      </c>
      <c r="M15" s="1148" t="s">
        <v>234</v>
      </c>
      <c r="N15" s="1148" t="s">
        <v>670</v>
      </c>
      <c r="O15" s="1148" t="s">
        <v>120</v>
      </c>
      <c r="P15" s="1148"/>
    </row>
    <row r="16" spans="1:16" ht="30">
      <c r="A16" s="1150"/>
      <c r="B16" s="966" t="s">
        <v>673</v>
      </c>
      <c r="C16" s="966" t="s">
        <v>674</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1640.3101785735316</v>
      </c>
      <c r="C17" s="970">
        <f>'SEAP template'!C87</f>
        <v>7759.1342666228684</v>
      </c>
      <c r="D17" s="968">
        <f>'SEAP template'!D87</f>
        <v>10390.356620950884</v>
      </c>
      <c r="E17" s="968">
        <f>'SEAP template'!E87</f>
        <v>0</v>
      </c>
      <c r="F17" s="968">
        <f>'SEAP template'!F87</f>
        <v>0</v>
      </c>
      <c r="G17" s="968">
        <f>'SEAP template'!G87</f>
        <v>0</v>
      </c>
      <c r="H17" s="968">
        <f>'SEAP template'!H87</f>
        <v>0</v>
      </c>
      <c r="I17" s="968">
        <f>'SEAP template'!I87</f>
        <v>0</v>
      </c>
      <c r="J17" s="968">
        <f>'SEAP template'!J87</f>
        <v>2196.5604845465182</v>
      </c>
      <c r="K17" s="968">
        <f>'SEAP template'!K87</f>
        <v>0</v>
      </c>
      <c r="L17" s="968">
        <f>'SEAP template'!L87</f>
        <v>0</v>
      </c>
      <c r="M17" s="968">
        <f>'SEAP template'!M87</f>
        <v>0</v>
      </c>
      <c r="N17" s="968">
        <f>'SEAP template'!N87</f>
        <v>0</v>
      </c>
      <c r="O17" s="968">
        <f>'SEAP template'!O87</f>
        <v>0</v>
      </c>
      <c r="P17" s="968">
        <f>'SEAP template'!Q87</f>
        <v>2098.8520374320788</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668</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1640.3101785735316</v>
      </c>
      <c r="C20" s="969">
        <f>SUM(C17:C19)</f>
        <v>7759.1342666228684</v>
      </c>
      <c r="D20" s="969">
        <f t="shared" ref="D20:H20" si="2">SUM(D17:D19)</f>
        <v>10390.356620950884</v>
      </c>
      <c r="E20" s="969">
        <f t="shared" si="2"/>
        <v>0</v>
      </c>
      <c r="F20" s="969">
        <f t="shared" si="2"/>
        <v>0</v>
      </c>
      <c r="G20" s="969">
        <f t="shared" si="2"/>
        <v>0</v>
      </c>
      <c r="H20" s="969">
        <f t="shared" si="2"/>
        <v>0</v>
      </c>
      <c r="I20" s="969">
        <f>SUM(I17:I19)</f>
        <v>0</v>
      </c>
      <c r="J20" s="969">
        <f>SUM(J17:J19)</f>
        <v>2196.5604845465182</v>
      </c>
      <c r="K20" s="969">
        <f t="shared" ref="K20:L20" si="3">SUM(K17:K19)</f>
        <v>0</v>
      </c>
      <c r="L20" s="969">
        <f t="shared" si="3"/>
        <v>0</v>
      </c>
      <c r="M20" s="969">
        <f>SUM(M17:M19)</f>
        <v>0</v>
      </c>
      <c r="N20" s="969">
        <f>SUM(N17:N19)</f>
        <v>0</v>
      </c>
      <c r="O20" s="969">
        <f>SUM(O17:O19)</f>
        <v>0</v>
      </c>
      <c r="P20" s="969">
        <f>SUM(P17:P19)</f>
        <v>2098.8520374320788</v>
      </c>
    </row>
    <row r="21" spans="1:16">
      <c r="B21" s="836"/>
    </row>
    <row r="22" spans="1:16">
      <c r="A22" s="455" t="s">
        <v>679</v>
      </c>
      <c r="B22" s="732" t="s">
        <v>677</v>
      </c>
      <c r="C22" s="732">
        <f ca="1">'EF ele_warmte'!B22</f>
        <v>0.22779220181341614</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664</v>
      </c>
    </row>
    <row r="2" spans="1:16" ht="15.75">
      <c r="A2" s="1150"/>
      <c r="B2" s="1148"/>
      <c r="C2" s="1148"/>
      <c r="D2" s="1151" t="s">
        <v>190</v>
      </c>
      <c r="E2" s="1151"/>
      <c r="F2" s="1151"/>
      <c r="G2" s="1151"/>
      <c r="H2" s="1151"/>
      <c r="I2" s="966" t="s">
        <v>672</v>
      </c>
      <c r="J2" s="966" t="s">
        <v>223</v>
      </c>
      <c r="K2" s="966" t="s">
        <v>671</v>
      </c>
      <c r="L2" s="966" t="s">
        <v>639</v>
      </c>
      <c r="M2" s="966" t="s">
        <v>234</v>
      </c>
      <c r="N2" s="966" t="s">
        <v>669</v>
      </c>
      <c r="O2" s="966" t="s">
        <v>120</v>
      </c>
      <c r="P2" s="1148"/>
    </row>
    <row r="3" spans="1:16" ht="30">
      <c r="A3" s="1150"/>
      <c r="B3" s="966" t="s">
        <v>675</v>
      </c>
      <c r="C3" s="966" t="s">
        <v>676</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798</v>
      </c>
      <c r="C4" s="982" t="s">
        <v>654</v>
      </c>
      <c r="D4" s="982" t="s">
        <v>654</v>
      </c>
      <c r="E4" s="982" t="s">
        <v>654</v>
      </c>
      <c r="F4" s="982" t="s">
        <v>654</v>
      </c>
      <c r="G4" s="982" t="s">
        <v>654</v>
      </c>
      <c r="H4" s="982" t="s">
        <v>654</v>
      </c>
      <c r="I4" s="982" t="s">
        <v>654</v>
      </c>
      <c r="J4" s="982" t="s">
        <v>654</v>
      </c>
      <c r="K4" s="982" t="s">
        <v>654</v>
      </c>
      <c r="L4" s="982" t="s">
        <v>654</v>
      </c>
      <c r="M4" s="982" t="s">
        <v>654</v>
      </c>
      <c r="N4" s="982" t="s">
        <v>654</v>
      </c>
      <c r="O4" s="982" t="s">
        <v>654</v>
      </c>
      <c r="P4" s="978" t="s">
        <v>680</v>
      </c>
    </row>
    <row r="5" spans="1:16" ht="135">
      <c r="A5" s="980" t="s">
        <v>239</v>
      </c>
      <c r="B5" s="977" t="s">
        <v>798</v>
      </c>
      <c r="C5" s="982" t="s">
        <v>654</v>
      </c>
      <c r="D5" s="982" t="s">
        <v>654</v>
      </c>
      <c r="E5" s="982" t="s">
        <v>654</v>
      </c>
      <c r="F5" s="982" t="s">
        <v>654</v>
      </c>
      <c r="G5" s="982" t="s">
        <v>654</v>
      </c>
      <c r="H5" s="982" t="s">
        <v>654</v>
      </c>
      <c r="I5" s="982" t="s">
        <v>654</v>
      </c>
      <c r="J5" s="982" t="s">
        <v>654</v>
      </c>
      <c r="K5" s="982" t="s">
        <v>654</v>
      </c>
      <c r="L5" s="982" t="s">
        <v>654</v>
      </c>
      <c r="M5" s="982" t="s">
        <v>654</v>
      </c>
      <c r="N5" s="982" t="s">
        <v>654</v>
      </c>
      <c r="O5" s="982" t="s">
        <v>654</v>
      </c>
      <c r="P5" s="978" t="s">
        <v>680</v>
      </c>
    </row>
    <row r="6" spans="1:16" ht="135">
      <c r="A6" s="980" t="s">
        <v>240</v>
      </c>
      <c r="B6" s="977" t="s">
        <v>798</v>
      </c>
      <c r="C6" s="982" t="s">
        <v>654</v>
      </c>
      <c r="D6" s="982" t="s">
        <v>654</v>
      </c>
      <c r="E6" s="982" t="s">
        <v>654</v>
      </c>
      <c r="F6" s="982" t="s">
        <v>654</v>
      </c>
      <c r="G6" s="982" t="s">
        <v>654</v>
      </c>
      <c r="H6" s="982" t="s">
        <v>654</v>
      </c>
      <c r="I6" s="982" t="s">
        <v>654</v>
      </c>
      <c r="J6" s="982" t="s">
        <v>654</v>
      </c>
      <c r="K6" s="982" t="s">
        <v>654</v>
      </c>
      <c r="L6" s="982" t="s">
        <v>654</v>
      </c>
      <c r="M6" s="982" t="s">
        <v>654</v>
      </c>
      <c r="N6" s="982" t="s">
        <v>654</v>
      </c>
      <c r="O6" s="982" t="s">
        <v>654</v>
      </c>
      <c r="P6" s="978" t="s">
        <v>680</v>
      </c>
    </row>
    <row r="7" spans="1:16" ht="135">
      <c r="A7" s="980" t="s">
        <v>639</v>
      </c>
      <c r="B7" s="982" t="s">
        <v>654</v>
      </c>
      <c r="C7" s="982" t="s">
        <v>654</v>
      </c>
      <c r="D7" s="982" t="s">
        <v>654</v>
      </c>
      <c r="E7" s="982" t="s">
        <v>654</v>
      </c>
      <c r="F7" s="982" t="s">
        <v>654</v>
      </c>
      <c r="G7" s="982" t="s">
        <v>654</v>
      </c>
      <c r="H7" s="982" t="s">
        <v>654</v>
      </c>
      <c r="I7" s="982" t="s">
        <v>654</v>
      </c>
      <c r="J7" s="982" t="s">
        <v>654</v>
      </c>
      <c r="K7" s="982" t="s">
        <v>654</v>
      </c>
      <c r="L7" s="982" t="s">
        <v>654</v>
      </c>
      <c r="M7" s="982" t="s">
        <v>654</v>
      </c>
      <c r="N7" s="982" t="s">
        <v>654</v>
      </c>
      <c r="O7" s="982" t="s">
        <v>654</v>
      </c>
      <c r="P7" s="978" t="s">
        <v>680</v>
      </c>
    </row>
    <row r="8" spans="1:16" ht="105">
      <c r="A8" s="979" t="s">
        <v>241</v>
      </c>
      <c r="B8" s="1023" t="s">
        <v>812</v>
      </c>
      <c r="C8" s="1023" t="s">
        <v>812</v>
      </c>
      <c r="D8" s="1023" t="s">
        <v>813</v>
      </c>
      <c r="E8" s="1023" t="s">
        <v>813</v>
      </c>
      <c r="F8" s="1023" t="s">
        <v>813</v>
      </c>
      <c r="G8" s="1023" t="s">
        <v>813</v>
      </c>
      <c r="H8" s="1023" t="s">
        <v>813</v>
      </c>
      <c r="I8" s="1023" t="s">
        <v>813</v>
      </c>
      <c r="J8" s="1023" t="s">
        <v>813</v>
      </c>
      <c r="K8" s="982" t="s">
        <v>654</v>
      </c>
      <c r="L8" s="982" t="s">
        <v>654</v>
      </c>
      <c r="M8" s="1023" t="s">
        <v>813</v>
      </c>
      <c r="N8" s="1023" t="s">
        <v>813</v>
      </c>
      <c r="O8" s="1023" t="s">
        <v>813</v>
      </c>
      <c r="P8" s="1027"/>
    </row>
    <row r="9" spans="1:16" ht="105">
      <c r="A9" s="981" t="s">
        <v>667</v>
      </c>
      <c r="B9" s="1023" t="s">
        <v>812</v>
      </c>
      <c r="C9" s="1023" t="s">
        <v>812</v>
      </c>
      <c r="D9" s="1023" t="s">
        <v>813</v>
      </c>
      <c r="E9" s="1023" t="s">
        <v>813</v>
      </c>
      <c r="F9" s="1023" t="s">
        <v>813</v>
      </c>
      <c r="G9" s="1023" t="s">
        <v>813</v>
      </c>
      <c r="H9" s="1023" t="s">
        <v>813</v>
      </c>
      <c r="I9" s="1023" t="s">
        <v>813</v>
      </c>
      <c r="J9" s="1023" t="s">
        <v>813</v>
      </c>
      <c r="K9" s="982" t="s">
        <v>654</v>
      </c>
      <c r="L9" s="982" t="s">
        <v>654</v>
      </c>
      <c r="M9" s="1023" t="s">
        <v>813</v>
      </c>
      <c r="N9" s="1023" t="s">
        <v>813</v>
      </c>
      <c r="O9" s="1023" t="s">
        <v>813</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678</v>
      </c>
      <c r="B12" s="732" t="s">
        <v>677</v>
      </c>
      <c r="C12" s="1028" t="s">
        <v>681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665</v>
      </c>
    </row>
    <row r="15" spans="1:16">
      <c r="A15" s="1150"/>
      <c r="B15" s="1148"/>
      <c r="C15" s="1148"/>
      <c r="D15" s="1152" t="s">
        <v>190</v>
      </c>
      <c r="E15" s="1152"/>
      <c r="F15" s="1152"/>
      <c r="G15" s="1152"/>
      <c r="H15" s="1152"/>
      <c r="I15" s="1148" t="s">
        <v>672</v>
      </c>
      <c r="J15" s="1148" t="s">
        <v>223</v>
      </c>
      <c r="K15" s="1148" t="s">
        <v>671</v>
      </c>
      <c r="L15" s="1148" t="s">
        <v>639</v>
      </c>
      <c r="M15" s="1148" t="s">
        <v>234</v>
      </c>
      <c r="N15" s="1148" t="s">
        <v>670</v>
      </c>
      <c r="O15" s="1148" t="s">
        <v>120</v>
      </c>
      <c r="P15" s="1148"/>
    </row>
    <row r="16" spans="1:16" ht="30">
      <c r="A16" s="1150"/>
      <c r="B16" s="966" t="s">
        <v>673</v>
      </c>
      <c r="C16" s="966" t="s">
        <v>674</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812</v>
      </c>
      <c r="C17" s="1023" t="s">
        <v>812</v>
      </c>
      <c r="D17" s="1023" t="s">
        <v>813</v>
      </c>
      <c r="E17" s="1023" t="s">
        <v>813</v>
      </c>
      <c r="F17" s="1023" t="s">
        <v>813</v>
      </c>
      <c r="G17" s="1023" t="s">
        <v>813</v>
      </c>
      <c r="H17" s="1023" t="s">
        <v>813</v>
      </c>
      <c r="I17" s="1023" t="s">
        <v>813</v>
      </c>
      <c r="J17" s="1023" t="s">
        <v>813</v>
      </c>
      <c r="K17" s="982" t="s">
        <v>654</v>
      </c>
      <c r="L17" s="982" t="s">
        <v>654</v>
      </c>
      <c r="M17" s="1023" t="s">
        <v>813</v>
      </c>
      <c r="N17" s="1023" t="s">
        <v>813</v>
      </c>
      <c r="O17" s="1023" t="s">
        <v>813</v>
      </c>
      <c r="P17" s="1029"/>
    </row>
    <row r="18" spans="1:16" ht="45">
      <c r="A18" s="975" t="s">
        <v>247</v>
      </c>
      <c r="B18" s="1030" t="s">
        <v>658</v>
      </c>
      <c r="C18" s="1030" t="s">
        <v>658</v>
      </c>
      <c r="D18" s="1030" t="s">
        <v>658</v>
      </c>
      <c r="E18" s="1030" t="s">
        <v>658</v>
      </c>
      <c r="F18" s="1030" t="s">
        <v>658</v>
      </c>
      <c r="G18" s="1030" t="s">
        <v>658</v>
      </c>
      <c r="H18" s="1030" t="s">
        <v>658</v>
      </c>
      <c r="I18" s="1030" t="s">
        <v>658</v>
      </c>
      <c r="J18" s="1030" t="s">
        <v>658</v>
      </c>
      <c r="K18" s="1030" t="s">
        <v>658</v>
      </c>
      <c r="L18" s="1030" t="s">
        <v>658</v>
      </c>
      <c r="M18" s="1030" t="s">
        <v>658</v>
      </c>
      <c r="N18" s="1030" t="s">
        <v>658</v>
      </c>
      <c r="O18" s="1030" t="s">
        <v>658</v>
      </c>
      <c r="P18" s="1030" t="s">
        <v>658</v>
      </c>
    </row>
    <row r="19" spans="1:16" ht="105">
      <c r="A19" s="973" t="s">
        <v>668</v>
      </c>
      <c r="B19" s="1023" t="s">
        <v>812</v>
      </c>
      <c r="C19" s="1023" t="s">
        <v>812</v>
      </c>
      <c r="D19" s="1023" t="s">
        <v>813</v>
      </c>
      <c r="E19" s="1023" t="s">
        <v>813</v>
      </c>
      <c r="F19" s="1023" t="s">
        <v>813</v>
      </c>
      <c r="G19" s="1023" t="s">
        <v>813</v>
      </c>
      <c r="H19" s="1023" t="s">
        <v>813</v>
      </c>
      <c r="I19" s="1023" t="s">
        <v>813</v>
      </c>
      <c r="J19" s="1023" t="s">
        <v>813</v>
      </c>
      <c r="K19" s="982" t="s">
        <v>654</v>
      </c>
      <c r="L19" s="982" t="s">
        <v>654</v>
      </c>
      <c r="M19" s="1023" t="s">
        <v>813</v>
      </c>
      <c r="N19" s="1023" t="s">
        <v>813</v>
      </c>
      <c r="O19" s="1023" t="s">
        <v>813</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679</v>
      </c>
      <c r="B22" s="732" t="s">
        <v>677</v>
      </c>
      <c r="C22" s="1028" t="s">
        <v>682</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539</v>
      </c>
      <c r="B6" s="75" t="s">
        <v>540</v>
      </c>
      <c r="C6" s="425" t="s">
        <v>779</v>
      </c>
    </row>
    <row r="7" spans="1:3">
      <c r="A7" s="124"/>
      <c r="B7" s="128"/>
      <c r="C7" s="122"/>
    </row>
    <row r="8" spans="1:3">
      <c r="A8" s="113" t="s">
        <v>542</v>
      </c>
      <c r="B8" s="75" t="s">
        <v>541</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552</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547</v>
      </c>
      <c r="B4" s="458"/>
      <c r="C4" s="458"/>
      <c r="D4" s="458"/>
      <c r="E4" s="458"/>
      <c r="F4" s="458"/>
      <c r="G4" s="490"/>
      <c r="H4" s="490"/>
      <c r="I4" s="458"/>
      <c r="J4" s="458"/>
      <c r="K4" s="458"/>
      <c r="L4" s="458"/>
      <c r="M4" s="458"/>
      <c r="N4" s="458"/>
      <c r="O4" s="458"/>
      <c r="P4" s="458"/>
    </row>
    <row r="5" spans="1:16" outlineLevel="1">
      <c r="A5" s="633" t="s">
        <v>548</v>
      </c>
      <c r="B5" s="458"/>
      <c r="C5" s="458"/>
      <c r="D5" s="458"/>
      <c r="E5" s="458"/>
      <c r="F5" s="458"/>
      <c r="G5" s="490"/>
      <c r="H5" s="490"/>
      <c r="I5" s="458"/>
      <c r="J5" s="458"/>
      <c r="K5" s="458"/>
      <c r="L5" s="458"/>
      <c r="M5" s="458"/>
      <c r="N5" s="458"/>
      <c r="O5" s="458"/>
      <c r="P5" s="458"/>
    </row>
    <row r="6" spans="1:16" outlineLevel="1">
      <c r="A6" s="633" t="s">
        <v>549</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550</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551</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537</v>
      </c>
      <c r="B13" s="443"/>
      <c r="C13" s="462"/>
      <c r="D13" s="462"/>
      <c r="E13" s="462"/>
      <c r="F13" s="462"/>
      <c r="G13" s="462"/>
      <c r="H13" s="462"/>
      <c r="I13" s="462"/>
      <c r="J13" s="462"/>
      <c r="K13" s="462"/>
      <c r="L13" s="462"/>
      <c r="M13" s="462"/>
      <c r="N13" s="462"/>
      <c r="O13" s="733" t="s">
        <v>568</v>
      </c>
      <c r="P13" s="733" t="s">
        <v>567</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545</v>
      </c>
      <c r="B17" s="492">
        <f ca="1">'EF ele_warmte'!B12</f>
        <v>0.18515593165311212</v>
      </c>
      <c r="C17" s="492">
        <f ca="1">'EF ele_warmte'!B22</f>
        <v>0.22779220181341614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587</v>
      </c>
      <c r="E24" s="444"/>
    </row>
    <row r="25" spans="1:16" s="443" customFormat="1" outlineLevel="1">
      <c r="A25" s="479" t="s">
        <v>417</v>
      </c>
      <c r="B25" s="306">
        <v>13.15681996793146</v>
      </c>
      <c r="C25" s="43"/>
      <c r="D25" s="300" t="s">
        <v>688</v>
      </c>
      <c r="E25" s="457"/>
    </row>
    <row r="26" spans="1:16" s="443" customFormat="1" outlineLevel="1">
      <c r="A26" s="737" t="s">
        <v>418</v>
      </c>
      <c r="B26" s="311">
        <f>1.34/3.6</f>
        <v>0.37222222222222223</v>
      </c>
      <c r="C26" s="43" t="s">
        <v>208</v>
      </c>
      <c r="D26" s="300" t="s">
        <v>689</v>
      </c>
      <c r="E26" s="457"/>
    </row>
    <row r="27" spans="1:16" s="443" customFormat="1" outlineLevel="1">
      <c r="A27" s="482" t="s">
        <v>559</v>
      </c>
      <c r="B27" s="739">
        <f>B24*B25*B26</f>
        <v>0</v>
      </c>
      <c r="C27" s="483" t="s">
        <v>560</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587</v>
      </c>
      <c r="E31" s="444"/>
    </row>
    <row r="32" spans="1:16" s="443" customFormat="1" outlineLevel="1">
      <c r="A32" s="479" t="s">
        <v>414</v>
      </c>
      <c r="B32" s="48">
        <v>37.963784638354454</v>
      </c>
      <c r="C32" s="486" t="s">
        <v>252</v>
      </c>
      <c r="D32" s="481" t="s">
        <v>688</v>
      </c>
      <c r="E32" s="444"/>
    </row>
    <row r="33" spans="1:5" s="443" customFormat="1" outlineLevel="1">
      <c r="A33" s="479" t="s">
        <v>415</v>
      </c>
      <c r="B33" s="48">
        <v>1887.1743212997605</v>
      </c>
      <c r="C33" s="486" t="s">
        <v>254</v>
      </c>
      <c r="D33" s="481" t="s">
        <v>688</v>
      </c>
      <c r="E33" s="444"/>
    </row>
    <row r="34" spans="1:5" s="443" customFormat="1" outlineLevel="1">
      <c r="A34" s="737" t="s">
        <v>363</v>
      </c>
      <c r="B34" s="48">
        <v>3.75</v>
      </c>
      <c r="C34" s="486"/>
      <c r="D34" s="481" t="s">
        <v>689</v>
      </c>
      <c r="E34" s="444"/>
    </row>
    <row r="35" spans="1:5" s="443" customFormat="1" outlineLevel="1">
      <c r="A35" s="482" t="s">
        <v>559</v>
      </c>
      <c r="B35" s="738">
        <f>B31*B32*B33/1000-B31*B32*B33/1000/B34</f>
        <v>0</v>
      </c>
      <c r="C35" s="489" t="s">
        <v>560</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2022-10-04T14:02:08Z</dcterms:modified>
</cp:coreProperties>
</file>