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AF604AB-0091-49BC-B0F4-2C39EDAC939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C5" i="48"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10" i="14"/>
  <c r="N16" i="14" s="1"/>
  <c r="G20" i="15"/>
  <c r="H40" i="14" s="1"/>
  <c r="H46" i="14" s="1"/>
  <c r="H20" i="15"/>
  <c r="I40" i="14" s="1"/>
  <c r="I46" i="14" s="1"/>
  <c r="I10" i="14"/>
  <c r="I16" i="14" s="1"/>
  <c r="B74" i="14"/>
  <c r="B6" i="59" s="1"/>
  <c r="F8" i="16"/>
  <c r="J9" i="16"/>
  <c r="B73" i="14"/>
  <c r="B5" i="59" s="1"/>
  <c r="F6" i="15"/>
  <c r="F8" i="15"/>
  <c r="N10" i="16"/>
  <c r="B8" i="15"/>
  <c r="J8" i="15"/>
  <c r="I20" i="15"/>
  <c r="J40" i="14"/>
  <c r="J46" i="14" s="1"/>
  <c r="B9" i="16"/>
  <c r="B10" i="15"/>
  <c r="E9" i="16"/>
  <c r="B6" i="15"/>
  <c r="J10" i="15"/>
  <c r="D5" i="16"/>
  <c r="F10" i="16"/>
  <c r="B15" i="16"/>
  <c r="J6" i="15"/>
  <c r="F10" i="15"/>
  <c r="B12" i="15"/>
  <c r="J12" i="15"/>
  <c r="B7" i="16"/>
  <c r="E10" i="16"/>
  <c r="N14" i="16"/>
  <c r="N11" i="16"/>
  <c r="N6" i="15"/>
  <c r="N10" i="15"/>
  <c r="B8" i="16"/>
  <c r="B10" i="16"/>
  <c r="E11" i="16"/>
  <c r="B14" i="16"/>
  <c r="E15" i="16"/>
  <c r="J7" i="16"/>
  <c r="F7" i="16"/>
  <c r="N15" i="16"/>
  <c r="C34" i="16"/>
  <c r="E12" i="16" s="1"/>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Q16" i="14" s="1"/>
  <c r="Q27" i="14" s="1"/>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H88" i="14"/>
  <c r="H18" i="59" s="1"/>
  <c r="F88" i="14"/>
  <c r="F18" i="59" s="1"/>
  <c r="L20" i="18"/>
  <c r="G77" i="14"/>
  <c r="O90" i="14"/>
  <c r="D11" i="14"/>
  <c r="C4" i="48"/>
  <c r="N46" i="14"/>
  <c r="G51" i="22"/>
  <c r="G50" i="22" s="1"/>
  <c r="G54" i="22"/>
  <c r="G10" i="48" s="1"/>
  <c r="M51" i="22"/>
  <c r="M50" i="22" s="1"/>
  <c r="M54" i="22" s="1"/>
  <c r="N19" i="14" s="1"/>
  <c r="M10" i="48"/>
  <c r="I5" i="48"/>
  <c r="I23" i="48" s="1"/>
  <c r="J27" i="14"/>
  <c r="M24" i="48"/>
  <c r="M32" i="48"/>
  <c r="K15" i="48"/>
  <c r="H78" i="14"/>
  <c r="H9" i="59"/>
  <c r="H10" i="59" s="1"/>
  <c r="N78" i="14"/>
  <c r="N9" i="59"/>
  <c r="G78" i="14"/>
  <c r="G9" i="59"/>
  <c r="G10" i="59"/>
  <c r="H90" i="14"/>
  <c r="O78" i="14"/>
  <c r="O9" i="59"/>
  <c r="O10" i="59" s="1"/>
  <c r="P22" i="48"/>
  <c r="L26" i="48"/>
  <c r="L22" i="16"/>
  <c r="M43" i="14" s="1"/>
  <c r="D10" i="14"/>
  <c r="J61" i="14"/>
  <c r="J63" i="14" s="1"/>
  <c r="L16" i="14"/>
  <c r="L27" i="14" s="1"/>
  <c r="P8" i="48"/>
  <c r="P26" i="48"/>
  <c r="D18" i="16"/>
  <c r="G31" i="20"/>
  <c r="H48" i="14"/>
  <c r="G12" i="22"/>
  <c r="K24" i="14"/>
  <c r="K26" i="14" s="1"/>
  <c r="E8" i="17"/>
  <c r="O18" i="16"/>
  <c r="O8" i="48" s="1"/>
  <c r="O26" i="48" s="1"/>
  <c r="N5" i="13"/>
  <c r="N8" i="13"/>
  <c r="H13" i="48"/>
  <c r="H31" i="48"/>
  <c r="H12" i="22"/>
  <c r="E8" i="13"/>
  <c r="E12" i="13" s="1"/>
  <c r="F41" i="14" s="1"/>
  <c r="N12" i="17"/>
  <c r="O54" i="14" s="1"/>
  <c r="O56" i="14" s="1"/>
  <c r="E24" i="14"/>
  <c r="E26" i="14"/>
  <c r="B9" i="48"/>
  <c r="E48" i="18"/>
  <c r="E8" i="18" s="1"/>
  <c r="F76" i="14" s="1"/>
  <c r="F7" i="48"/>
  <c r="F25" i="48"/>
  <c r="D48" i="18"/>
  <c r="M29" i="48"/>
  <c r="F12" i="17"/>
  <c r="G54" i="14" s="1"/>
  <c r="G56" i="14" s="1"/>
  <c r="C49" i="18"/>
  <c r="C48" i="18"/>
  <c r="E49" i="18"/>
  <c r="E17" i="18" s="1"/>
  <c r="G49" i="18"/>
  <c r="D7" i="48"/>
  <c r="D25" i="48" s="1"/>
  <c r="H48" i="18"/>
  <c r="G48" i="18"/>
  <c r="D49" i="18"/>
  <c r="J17" i="18" s="1"/>
  <c r="L28" i="48"/>
  <c r="H49" i="18"/>
  <c r="I49" i="18"/>
  <c r="H17" i="18"/>
  <c r="M87" i="14" s="1"/>
  <c r="F49" i="18"/>
  <c r="F48" i="18"/>
  <c r="I8" i="18" s="1"/>
  <c r="B48" i="18"/>
  <c r="C8" i="18" s="1"/>
  <c r="L31" i="48"/>
  <c r="L24" i="48"/>
  <c r="L22" i="48"/>
  <c r="M23" i="48"/>
  <c r="M22" i="48"/>
  <c r="I18" i="14"/>
  <c r="F20" i="14"/>
  <c r="F22" i="14"/>
  <c r="L30" i="48"/>
  <c r="B20" i="18"/>
  <c r="L29" i="48"/>
  <c r="M31" i="20"/>
  <c r="N48" i="14"/>
  <c r="N18" i="14"/>
  <c r="M13" i="48"/>
  <c r="M31" i="48"/>
  <c r="H31" i="20"/>
  <c r="I48" i="14"/>
  <c r="G13" i="48"/>
  <c r="G31" i="48"/>
  <c r="H18" i="14"/>
  <c r="M5" i="22"/>
  <c r="M14" i="22" s="1"/>
  <c r="H5" i="22"/>
  <c r="H14" i="22" s="1"/>
  <c r="P20" i="15"/>
  <c r="Q40" i="14"/>
  <c r="Q46" i="14" s="1"/>
  <c r="Q61" i="14" s="1"/>
  <c r="Q10" i="14"/>
  <c r="P5" i="48"/>
  <c r="P23" i="48" s="1"/>
  <c r="F13" i="16"/>
  <c r="E13" i="16"/>
  <c r="N13" i="16"/>
  <c r="J13" i="16"/>
  <c r="N12" i="16"/>
  <c r="J12" i="16"/>
  <c r="F12" i="16"/>
  <c r="Q11" i="48"/>
  <c r="O5" i="48"/>
  <c r="O23" i="48" s="1"/>
  <c r="R9" i="14"/>
  <c r="O29" i="48"/>
  <c r="H23" i="48"/>
  <c r="L27" i="48"/>
  <c r="M30" i="48"/>
  <c r="M26" i="48"/>
  <c r="M25" i="48"/>
  <c r="J5" i="13"/>
  <c r="J8" i="13" s="1"/>
  <c r="G14" i="22"/>
  <c r="G18" i="22" s="1"/>
  <c r="H50" i="14" s="1"/>
  <c r="G9" i="48"/>
  <c r="I33" i="48"/>
  <c r="P15" i="48"/>
  <c r="P33" i="48"/>
  <c r="P13" i="14"/>
  <c r="E12" i="17"/>
  <c r="F54" i="14" s="1"/>
  <c r="F56" i="14" s="1"/>
  <c r="D20" i="15"/>
  <c r="D8" i="48"/>
  <c r="D26" i="48" s="1"/>
  <c r="C20" i="14"/>
  <c r="C22" i="14"/>
  <c r="J8" i="18"/>
  <c r="J76" i="14" s="1"/>
  <c r="J8" i="59" s="1"/>
  <c r="I17" i="18"/>
  <c r="E18" i="22"/>
  <c r="F50" i="14"/>
  <c r="F52" i="14" s="1"/>
  <c r="E9" i="48"/>
  <c r="D5" i="48"/>
  <c r="I76" i="14"/>
  <c r="I8" i="59" s="1"/>
  <c r="G58" i="22"/>
  <c r="H49" i="14"/>
  <c r="H52" i="14" s="1"/>
  <c r="R18" i="14"/>
  <c r="Q13" i="48"/>
  <c r="N20" i="14"/>
  <c r="M10" i="14"/>
  <c r="M16" i="14" s="1"/>
  <c r="E4" i="48"/>
  <c r="E22" i="48" s="1"/>
  <c r="F11" i="14"/>
  <c r="L20" i="15"/>
  <c r="E27" i="48"/>
  <c r="L23" i="48"/>
  <c r="E40" i="14"/>
  <c r="N22" i="14"/>
  <c r="N27" i="14" s="1"/>
  <c r="J87" i="14"/>
  <c r="H20" i="14"/>
  <c r="G28" i="48"/>
  <c r="M40" i="14"/>
  <c r="M46" i="14" s="1"/>
  <c r="E56" i="14"/>
  <c r="D76" i="14" l="1"/>
  <c r="O8" i="18"/>
  <c r="J17" i="59"/>
  <c r="J4" i="48"/>
  <c r="K11" i="14"/>
  <c r="O11" i="14"/>
  <c r="N4" i="48"/>
  <c r="N12" i="13"/>
  <c r="O41" i="14" s="1"/>
  <c r="D18" i="59"/>
  <c r="C88" i="14"/>
  <c r="C18" i="59" s="1"/>
  <c r="Q88" i="14"/>
  <c r="P18" i="59" s="1"/>
  <c r="C7" i="48"/>
  <c r="R11" i="14"/>
  <c r="H61" i="14"/>
  <c r="H18" i="22"/>
  <c r="I50" i="14" s="1"/>
  <c r="I52" i="14" s="1"/>
  <c r="I61" i="14" s="1"/>
  <c r="I63" i="14" s="1"/>
  <c r="I20" i="14"/>
  <c r="I22" i="14" s="1"/>
  <c r="I27" i="14" s="1"/>
  <c r="H9" i="48"/>
  <c r="M17" i="59"/>
  <c r="D22" i="16"/>
  <c r="E43" i="14" s="1"/>
  <c r="E46" i="14" s="1"/>
  <c r="E61" i="14" s="1"/>
  <c r="E13" i="14"/>
  <c r="E16" i="14" s="1"/>
  <c r="G11" i="14"/>
  <c r="F4" i="48"/>
  <c r="F12" i="13"/>
  <c r="G41" i="14" s="1"/>
  <c r="D23" i="48"/>
  <c r="D15" i="48"/>
  <c r="G15" i="48"/>
  <c r="G27" i="48"/>
  <c r="G33" i="48" s="1"/>
  <c r="Q63" i="14"/>
  <c r="M9" i="48"/>
  <c r="M18" i="22"/>
  <c r="N50" i="14" s="1"/>
  <c r="D24" i="14"/>
  <c r="D26" i="14" s="1"/>
  <c r="F87" i="14"/>
  <c r="F8" i="59"/>
  <c r="B88" i="14"/>
  <c r="B18" i="59" s="1"/>
  <c r="D9" i="48"/>
  <c r="D27" i="48" s="1"/>
  <c r="D18" i="22"/>
  <c r="E50" i="14" s="1"/>
  <c r="E52" i="14" s="1"/>
  <c r="E20" i="14"/>
  <c r="J12" i="13"/>
  <c r="K41" i="14" s="1"/>
  <c r="I87" i="14"/>
  <c r="Q9" i="48"/>
  <c r="M28" i="48"/>
  <c r="Q10" i="48"/>
  <c r="O20" i="15"/>
  <c r="P40" i="14" s="1"/>
  <c r="P10" i="14"/>
  <c r="P16" i="14" s="1"/>
  <c r="P27" i="14" s="1"/>
  <c r="L63" i="14"/>
  <c r="C8" i="48"/>
  <c r="D13" i="14"/>
  <c r="D16" i="14" s="1"/>
  <c r="F24" i="14"/>
  <c r="F26" i="14" s="1"/>
  <c r="E7" i="48"/>
  <c r="E25" i="48" s="1"/>
  <c r="O4" i="48"/>
  <c r="N8" i="16"/>
  <c r="E8" i="16"/>
  <c r="J8" i="16"/>
  <c r="B7" i="48"/>
  <c r="C24" i="14"/>
  <c r="B10" i="18"/>
  <c r="M58" i="22"/>
  <c r="N49" i="14" s="1"/>
  <c r="N52" i="14" s="1"/>
  <c r="N61" i="14" s="1"/>
  <c r="N63" i="14" s="1"/>
  <c r="I15" i="48"/>
  <c r="O22" i="16"/>
  <c r="P43" i="14" s="1"/>
  <c r="H19" i="14"/>
  <c r="B5" i="16"/>
  <c r="B18" i="16" s="1"/>
  <c r="H20" i="59"/>
  <c r="C29" i="15"/>
  <c r="B9" i="15"/>
  <c r="B5" i="15" s="1"/>
  <c r="B16" i="15" s="1"/>
  <c r="N11" i="15"/>
  <c r="F11" i="15"/>
  <c r="J14" i="16"/>
  <c r="E14" i="16"/>
  <c r="F14" i="16"/>
  <c r="C54" i="18"/>
  <c r="B9" i="18"/>
  <c r="E76" i="14"/>
  <c r="N7" i="48"/>
  <c r="N25" i="48" s="1"/>
  <c r="O24" i="14"/>
  <c r="O26" i="14" s="1"/>
  <c r="K8" i="59"/>
  <c r="K10" i="59" s="1"/>
  <c r="K78" i="14"/>
  <c r="L18" i="59"/>
  <c r="L20" i="59" s="1"/>
  <c r="L90" i="14"/>
  <c r="N89" i="14"/>
  <c r="N19" i="59" s="1"/>
  <c r="N20" i="59" s="1"/>
  <c r="K20" i="18"/>
  <c r="K90" i="14"/>
  <c r="K20" i="59"/>
  <c r="F20" i="18"/>
  <c r="N10" i="59"/>
  <c r="J7" i="15"/>
  <c r="E7" i="15"/>
  <c r="N12" i="15"/>
  <c r="F12" i="15"/>
  <c r="E12" i="15"/>
  <c r="F9" i="16"/>
  <c r="F5" i="16" s="1"/>
  <c r="F18" i="16" s="1"/>
  <c r="N9" i="16"/>
  <c r="J12" i="17"/>
  <c r="K54" i="14" s="1"/>
  <c r="K56" i="14" s="1"/>
  <c r="J7" i="48"/>
  <c r="J25" i="48" s="1"/>
  <c r="N8" i="15"/>
  <c r="E8" i="15"/>
  <c r="N7" i="16"/>
  <c r="E7" i="16"/>
  <c r="E5" i="16" s="1"/>
  <c r="E18" i="16" s="1"/>
  <c r="L6" i="17"/>
  <c r="L5" i="17" s="1"/>
  <c r="L8" i="17" s="1"/>
  <c r="J49" i="18"/>
  <c r="D17" i="18" s="1"/>
  <c r="B49" i="18"/>
  <c r="C17" i="18" s="1"/>
  <c r="B33" i="13"/>
  <c r="B54" i="18"/>
  <c r="G13" i="14" l="1"/>
  <c r="F8" i="48"/>
  <c r="F26" i="48" s="1"/>
  <c r="F22" i="16"/>
  <c r="G43" i="14" s="1"/>
  <c r="D58" i="18"/>
  <c r="G58" i="18"/>
  <c r="I58" i="18"/>
  <c r="H19" i="18" s="1"/>
  <c r="B58" i="18"/>
  <c r="C19" i="18" s="1"/>
  <c r="E58" i="18"/>
  <c r="E19" i="18" s="1"/>
  <c r="H58" i="18"/>
  <c r="J58" i="18"/>
  <c r="D19" i="18" s="1"/>
  <c r="E89" i="14" s="1"/>
  <c r="E19" i="59" s="1"/>
  <c r="C58" i="18"/>
  <c r="F58" i="18"/>
  <c r="M24" i="14"/>
  <c r="M26" i="14" s="1"/>
  <c r="M27" i="14" s="1"/>
  <c r="L12" i="17"/>
  <c r="M54" i="14" s="1"/>
  <c r="M56" i="14" s="1"/>
  <c r="M61" i="14" s="1"/>
  <c r="M63" i="14" s="1"/>
  <c r="L7" i="48"/>
  <c r="D57" i="18"/>
  <c r="H57" i="18"/>
  <c r="J9" i="18" s="1"/>
  <c r="E57" i="18"/>
  <c r="E9" i="18" s="1"/>
  <c r="I57" i="18"/>
  <c r="H9" i="18" s="1"/>
  <c r="F57" i="18"/>
  <c r="J57" i="18"/>
  <c r="D9" i="18" s="1"/>
  <c r="B57" i="18"/>
  <c r="C9" i="18" s="1"/>
  <c r="C57" i="18"/>
  <c r="G57" i="18"/>
  <c r="I9" i="18" s="1"/>
  <c r="J9" i="15"/>
  <c r="N9" i="15"/>
  <c r="N5" i="15" s="1"/>
  <c r="N16" i="15" s="1"/>
  <c r="F9" i="15"/>
  <c r="F5" i="15" s="1"/>
  <c r="F16" i="15" s="1"/>
  <c r="E9" i="15"/>
  <c r="H22" i="14"/>
  <c r="H27" i="14" s="1"/>
  <c r="R19" i="14"/>
  <c r="R22" i="14" s="1"/>
  <c r="C26" i="14"/>
  <c r="R24" i="14"/>
  <c r="R26" i="14" s="1"/>
  <c r="H63" i="14"/>
  <c r="C15" i="48"/>
  <c r="J22" i="48"/>
  <c r="E22" i="16"/>
  <c r="F43" i="14" s="1"/>
  <c r="F13" i="14"/>
  <c r="E8" i="48"/>
  <c r="E26" i="48" s="1"/>
  <c r="E5" i="15"/>
  <c r="E16" i="15" s="1"/>
  <c r="N90" i="14"/>
  <c r="O15" i="48"/>
  <c r="O22" i="48"/>
  <c r="O33" i="48" s="1"/>
  <c r="D27" i="14"/>
  <c r="B20" i="6" s="1"/>
  <c r="B22" i="6" s="1"/>
  <c r="P46" i="14"/>
  <c r="P61" i="14" s="1"/>
  <c r="P63" i="14" s="1"/>
  <c r="F17" i="59"/>
  <c r="N22" i="48"/>
  <c r="C20" i="18"/>
  <c r="O17" i="18"/>
  <c r="D87" i="14"/>
  <c r="N5" i="16"/>
  <c r="N18" i="16" s="1"/>
  <c r="J5" i="15"/>
  <c r="J16" i="15" s="1"/>
  <c r="E8" i="59"/>
  <c r="J5" i="16"/>
  <c r="J18" i="16" s="1"/>
  <c r="M15" i="48"/>
  <c r="M27" i="48"/>
  <c r="M33" i="48" s="1"/>
  <c r="F22" i="48"/>
  <c r="Q4" i="48"/>
  <c r="H27" i="48"/>
  <c r="H33" i="48" s="1"/>
  <c r="H15" i="48"/>
  <c r="E87" i="14"/>
  <c r="B5" i="48"/>
  <c r="C10" i="14"/>
  <c r="B8" i="48"/>
  <c r="C13" i="14"/>
  <c r="I17" i="59"/>
  <c r="B87" i="14"/>
  <c r="E22" i="14"/>
  <c r="E27" i="14" s="1"/>
  <c r="E63" i="14" s="1"/>
  <c r="R20" i="14"/>
  <c r="D33" i="48"/>
  <c r="D8" i="59"/>
  <c r="C76" i="14"/>
  <c r="B76" i="14"/>
  <c r="Q76" i="14"/>
  <c r="N5" i="48" l="1"/>
  <c r="N20" i="15"/>
  <c r="O40" i="14" s="1"/>
  <c r="O10" i="14"/>
  <c r="Q8" i="48"/>
  <c r="J20" i="15"/>
  <c r="K40" i="14" s="1"/>
  <c r="K10" i="14"/>
  <c r="J5" i="48"/>
  <c r="D77" i="14"/>
  <c r="O9" i="18"/>
  <c r="O10" i="18" s="1"/>
  <c r="C10" i="18"/>
  <c r="F77" i="14"/>
  <c r="E10" i="18"/>
  <c r="L15" i="48"/>
  <c r="L25" i="48"/>
  <c r="L33" i="48" s="1"/>
  <c r="P8" i="59"/>
  <c r="C16" i="14"/>
  <c r="C27" i="14" s="1"/>
  <c r="B3" i="6" s="1"/>
  <c r="K13" i="14"/>
  <c r="R13" i="14" s="1"/>
  <c r="J8" i="48"/>
  <c r="J26" i="48" s="1"/>
  <c r="J22" i="16"/>
  <c r="K43" i="14" s="1"/>
  <c r="N8" i="48"/>
  <c r="N26" i="48" s="1"/>
  <c r="O13" i="14"/>
  <c r="N22" i="16"/>
  <c r="O43" i="14" s="1"/>
  <c r="E77" i="14"/>
  <c r="D10" i="18"/>
  <c r="J77" i="14"/>
  <c r="J10" i="18"/>
  <c r="M89" i="14"/>
  <c r="H20" i="18"/>
  <c r="E5" i="48"/>
  <c r="F10" i="14"/>
  <c r="F16" i="14" s="1"/>
  <c r="F27" i="14" s="1"/>
  <c r="E20" i="15"/>
  <c r="F40" i="14" s="1"/>
  <c r="F46" i="14" s="1"/>
  <c r="F61" i="14" s="1"/>
  <c r="D89" i="14"/>
  <c r="B8" i="59"/>
  <c r="D20" i="18"/>
  <c r="Q87" i="14"/>
  <c r="C87" i="14"/>
  <c r="D17" i="59"/>
  <c r="C18" i="15"/>
  <c r="C20" i="15" s="1"/>
  <c r="D40" i="14" s="1"/>
  <c r="C29" i="20"/>
  <c r="C16" i="22"/>
  <c r="C10" i="17"/>
  <c r="C12" i="17" s="1"/>
  <c r="D54" i="14" s="1"/>
  <c r="D56" i="14" s="1"/>
  <c r="C17" i="49"/>
  <c r="C17" i="19"/>
  <c r="C19" i="19" s="1"/>
  <c r="D39" i="14" s="1"/>
  <c r="C20" i="16"/>
  <c r="C22" i="16" s="1"/>
  <c r="D43" i="14" s="1"/>
  <c r="C56" i="22"/>
  <c r="C58" i="22" s="1"/>
  <c r="D49" i="14" s="1"/>
  <c r="D52" i="14" s="1"/>
  <c r="C22" i="59"/>
  <c r="C10" i="13"/>
  <c r="Q7" i="48"/>
  <c r="I77" i="14"/>
  <c r="I10" i="18"/>
  <c r="J19" i="18"/>
  <c r="I19" i="18"/>
  <c r="C8" i="59"/>
  <c r="B17" i="59"/>
  <c r="B15" i="48"/>
  <c r="E17" i="59"/>
  <c r="E20" i="59" s="1"/>
  <c r="E90" i="14"/>
  <c r="G10" i="14"/>
  <c r="G16" i="14" s="1"/>
  <c r="G27" i="14" s="1"/>
  <c r="F20" i="15"/>
  <c r="G40" i="14" s="1"/>
  <c r="G46" i="14" s="1"/>
  <c r="G61" i="14" s="1"/>
  <c r="G63" i="14" s="1"/>
  <c r="F5" i="48"/>
  <c r="H10" i="18"/>
  <c r="M77" i="14"/>
  <c r="F89" i="14"/>
  <c r="E20" i="18"/>
  <c r="F19" i="59" l="1"/>
  <c r="F20" i="59" s="1"/>
  <c r="F90" i="14"/>
  <c r="D19" i="59"/>
  <c r="Q89" i="14"/>
  <c r="P19" i="59" s="1"/>
  <c r="J23" i="48"/>
  <c r="J33" i="48" s="1"/>
  <c r="J15" i="48"/>
  <c r="M9" i="59"/>
  <c r="M10" i="59" s="1"/>
  <c r="M78" i="14"/>
  <c r="Q5" i="48"/>
  <c r="Q15" i="48" s="1"/>
  <c r="J89" i="14"/>
  <c r="J20" i="18"/>
  <c r="C12" i="13"/>
  <c r="D41" i="14" s="1"/>
  <c r="C17" i="48"/>
  <c r="D46" i="14"/>
  <c r="D61" i="14" s="1"/>
  <c r="D63" i="14" s="1"/>
  <c r="C17" i="59"/>
  <c r="F63" i="14"/>
  <c r="D9" i="59"/>
  <c r="D10" i="59" s="1"/>
  <c r="Q77" i="14"/>
  <c r="D78" i="14"/>
  <c r="C77" i="14"/>
  <c r="K16" i="14"/>
  <c r="K27" i="14" s="1"/>
  <c r="O16" i="14"/>
  <c r="O27" i="14" s="1"/>
  <c r="J9" i="59"/>
  <c r="J10" i="59" s="1"/>
  <c r="J78" i="14"/>
  <c r="P17" i="59"/>
  <c r="M19" i="59"/>
  <c r="M20" i="59" s="1"/>
  <c r="M90" i="14"/>
  <c r="E9" i="59"/>
  <c r="E10" i="59" s="1"/>
  <c r="E78" i="14"/>
  <c r="R10" i="14"/>
  <c r="R16" i="14" s="1"/>
  <c r="R27" i="14" s="1"/>
  <c r="F9" i="59"/>
  <c r="F10" i="59" s="1"/>
  <c r="F78" i="14"/>
  <c r="K46" i="14"/>
  <c r="K61" i="14" s="1"/>
  <c r="K63" i="14" s="1"/>
  <c r="O46" i="14"/>
  <c r="O61" i="14" s="1"/>
  <c r="I89" i="14"/>
  <c r="I20" i="18"/>
  <c r="D20" i="59"/>
  <c r="F23" i="48"/>
  <c r="F33" i="48" s="1"/>
  <c r="F15" i="48"/>
  <c r="I9" i="59"/>
  <c r="I10" i="59" s="1"/>
  <c r="I78" i="14"/>
  <c r="B77" i="14"/>
  <c r="D90" i="14"/>
  <c r="O19" i="18"/>
  <c r="O20" i="18" s="1"/>
  <c r="E23" i="48"/>
  <c r="E33" i="48" s="1"/>
  <c r="E15" i="48"/>
  <c r="N23" i="48"/>
  <c r="N33" i="48" s="1"/>
  <c r="N15" i="48"/>
  <c r="J19" i="59" l="1"/>
  <c r="J20" i="59" s="1"/>
  <c r="J90" i="14"/>
  <c r="P9" i="59"/>
  <c r="P10" i="59" s="1"/>
  <c r="Q78" i="14"/>
  <c r="B9" i="6" s="1"/>
  <c r="I19" i="59"/>
  <c r="I20" i="59" s="1"/>
  <c r="B89" i="14"/>
  <c r="I90" i="14"/>
  <c r="P20" i="59"/>
  <c r="C9" i="59"/>
  <c r="C10" i="59" s="1"/>
  <c r="C78" i="14"/>
  <c r="C30" i="48"/>
  <c r="C23" i="48"/>
  <c r="C27" i="48"/>
  <c r="C31" i="48"/>
  <c r="C24" i="48"/>
  <c r="C32" i="48"/>
  <c r="C29" i="48"/>
  <c r="C28" i="48"/>
  <c r="C22" i="48"/>
  <c r="C33" i="48" s="1"/>
  <c r="C25" i="48"/>
  <c r="C26" i="48"/>
  <c r="B9" i="59"/>
  <c r="B10" i="59" s="1"/>
  <c r="B78" i="14"/>
  <c r="B4" i="6" s="1"/>
  <c r="B12" i="6" s="1"/>
  <c r="O63" i="14"/>
  <c r="Q90" i="14"/>
  <c r="B17" i="6" s="1"/>
  <c r="C89" i="14"/>
  <c r="C19" i="59" l="1"/>
  <c r="C20" i="59" s="1"/>
  <c r="C90" i="14"/>
  <c r="B19" i="59"/>
  <c r="B20" i="59" s="1"/>
  <c r="B90" i="14"/>
  <c r="C55" i="14"/>
  <c r="R55" i="14" s="1"/>
  <c r="B10" i="9"/>
  <c r="B12" i="9" s="1"/>
  <c r="C12" i="59"/>
  <c r="B10" i="17"/>
  <c r="B12" i="17" s="1"/>
  <c r="C54" i="14" s="1"/>
  <c r="B17" i="19"/>
  <c r="B19" i="19" s="1"/>
  <c r="C39" i="14" s="1"/>
  <c r="B16" i="22"/>
  <c r="B18" i="22" s="1"/>
  <c r="C50" i="14" s="1"/>
  <c r="R50" i="14" s="1"/>
  <c r="B29" i="20"/>
  <c r="B31" i="20" s="1"/>
  <c r="C48" i="14" s="1"/>
  <c r="B17" i="49"/>
  <c r="B19" i="49" s="1"/>
  <c r="C42" i="14" s="1"/>
  <c r="R42" i="14" s="1"/>
  <c r="B56" i="22"/>
  <c r="B58" i="22" s="1"/>
  <c r="C49" i="14" s="1"/>
  <c r="R49" i="14" s="1"/>
  <c r="B10" i="13"/>
  <c r="B18" i="15"/>
  <c r="B20" i="15" s="1"/>
  <c r="B20" i="16"/>
  <c r="B22" i="16" s="1"/>
  <c r="C43" i="14" s="1"/>
  <c r="R43" i="14" s="1"/>
  <c r="R54" i="14" l="1"/>
  <c r="R56" i="14" s="1"/>
  <c r="C56" i="14"/>
  <c r="C40" i="14"/>
  <c r="R40" i="14" s="1"/>
  <c r="R48" i="14"/>
  <c r="R52" i="14" s="1"/>
  <c r="C52" i="14"/>
  <c r="B17" i="48"/>
  <c r="B12" i="13"/>
  <c r="C41" i="14" s="1"/>
  <c r="R41" i="14" s="1"/>
  <c r="R39" i="14"/>
  <c r="R46" i="14" s="1"/>
  <c r="R61" i="14" l="1"/>
  <c r="B22" i="48"/>
  <c r="B28" i="48"/>
  <c r="Q28" i="48" s="1"/>
  <c r="B29" i="48"/>
  <c r="Q29" i="48" s="1"/>
  <c r="B31" i="48"/>
  <c r="Q31" i="48" s="1"/>
  <c r="B32" i="48"/>
  <c r="Q32" i="48" s="1"/>
  <c r="B24" i="48"/>
  <c r="Q24" i="48" s="1"/>
  <c r="B30" i="48"/>
  <c r="Q30" i="48" s="1"/>
  <c r="B27" i="48"/>
  <c r="Q27" i="48" s="1"/>
  <c r="B25" i="48"/>
  <c r="Q25"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<sst xmlns="http://schemas.openxmlformats.org/spreadsheetml/2006/main" count="2340" uniqueCount="830">
  <si>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</si>
  <si>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</si>
  <si>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</si>
  <si>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</si>
  <si>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</si>
  <si>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</si>
  <si>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</si>
  <si>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</si>
  <si>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</si>
  <si>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</si>
  <si>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</si>
  <si>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</si>
  <si>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</si>
  <si>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</si>
  <si>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</si>
  <si>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</si>
  <si>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</si>
  <si>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</si>
  <si>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</si>
  <si>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</si>
  <si>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</si>
  <si>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</si>
  <si>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</si>
  <si>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</si>
  <si>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</si>
  <si>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</si>
  <si>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</si>
  <si>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</si>
  <si>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</si>
  <si>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</si>
  <si>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</si>
  <si>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</si>
  <si>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</si>
  <si>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</si>
  <si>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</si>
  <si>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</si>
  <si>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</si>
  <si>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</si>
  <si>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</si>
  <si>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</si>
  <si>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</si>
  <si>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</si>
  <si>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</si>
  <si>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</si>
  <si>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</si>
  <si>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</si>
  <si>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</si>
  <si>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</si>
  <si>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</si>
  <si>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</si>
  <si>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</si>
  <si>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</si>
  <si>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</si>
  <si>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</si>
  <si>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</si>
  <si>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</si>
  <si>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</si>
  <si>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</si>
  <si>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</si>
  <si>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</si>
  <si>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</si>
  <si>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</si>
  <si>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</si>
  <si>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</si>
  <si>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</si>
  <si>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</si>
  <si>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</si>
  <si>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</si>
  <si>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</si>
  <si>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</si>
  <si>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</si>
  <si>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</si>
  <si>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</si>
  <si>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</si>
  <si>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</si>
  <si>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</si>
  <si>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</si>
  <si>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</si>
  <si>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</si>
  <si>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</si>
  <si>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</si>
  <si>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</si>
  <si>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</si>
  <si>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</si>
  <si>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</si>
  <si>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</si>
  <si>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</si>
  <si>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</si>
  <si>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</si>
  <si>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</si>
  <si>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</si>
  <si>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</si>
  <si>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</si>
  <si>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</si>
  <si>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</si>
  <si>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</si>
  <si>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</si>
  <si>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</si>
  <si>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</si>
  <si>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</si>
  <si>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</si>
  <si>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</si>
  <si>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</si>
  <si>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</si>
  <si>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</si>
  <si>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</si>
  <si>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</si>
  <si>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</si>
  <si>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</si>
  <si>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</si>
  <si>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</si>
  <si>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</si>
  <si>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</si>
  <si>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</si>
  <si>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</si>
  <si>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</si>
  <si>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</si>
  <si>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</si>
  <si>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</si>
  <si>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</si>
  <si>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</si>
  <si>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</si>
  <si>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</si>
  <si>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</si>
  <si>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</si>
  <si>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</si>
  <si>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</si>
  <si>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</si>
  <si>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</si>
  <si>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</si>
  <si>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</si>
  <si>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</si>
  <si>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</si>
  <si>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</si>
  <si>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</si>
  <si>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</si>
  <si>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</si>
  <si>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</si>
  <si>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</si>
  <si>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</si>
  <si>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</si>
  <si>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</si>
  <si>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</si>
  <si>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</si>
  <si>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</si>
  <si>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</si>
  <si>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</si>
  <si>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</si>
  <si>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</si>
  <si>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</si>
  <si>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</si>
  <si>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</si>
  <si>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</si>
  <si>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</si>
  <si>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</si>
  <si>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</si>
  <si>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</si>
  <si>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</si>
  <si>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</si>
  <si>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</si>
  <si>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</si>
  <si>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</si>
  <si>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</si>
  <si>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</si>
  <si>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</si>
  <si>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</si>
  <si>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</si>
  <si>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</si>
  <si>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</si>
  <si>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</si>
  <si>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</si>
  <si>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</si>
  <si>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</si>
  <si>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</si>
  <si>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</si>
  <si>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</si>
  <si>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</si>
  <si>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</si>
  <si>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</si>
  <si>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</si>
  <si>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</si>
  <si>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</si>
  <si>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</si>
  <si>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</si>
  <si>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</si>
  <si>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</si>
  <si>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</si>
  <si>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</si>
  <si>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</si>
  <si>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</si>
  <si>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</si>
  <si>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</si>
  <si>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</si>
  <si>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</si>
  <si>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</si>
  <si>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</si>
  <si>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</si>
  <si>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</si>
  <si>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</si>
  <si>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</si>
  <si>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</si>
  <si>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</si>
  <si>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</si>
  <si>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</si>
  <si>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</si>
  <si>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</si>
  <si>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</si>
  <si>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</si>
  <si>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</si>
  <si>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</si>
  <si>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</si>
  <si>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</si>
  <si>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</si>
  <si>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</si>
  <si>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</si>
  <si>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</si>
  <si>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</si>
  <si>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</si>
  <si>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</si>
  <si>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</si>
  <si>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</si>
  <si>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</si>
  <si>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</si>
  <si>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</si>
  <si>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</si>
  <si>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</si>
  <si>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</si>
  <si>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</si>
  <si>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</si>
  <si>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</si>
  <si>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</si>
  <si>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</si>
  <si>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</si>
  <si>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</si>
  <si>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</si>
  <si>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</si>
  <si>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</si>
  <si>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</si>
  <si>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</si>
  <si>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</si>
  <si>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</si>
  <si>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</si>
  <si>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</si>
  <si>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</si>
  <si>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</si>
  <si>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</si>
  <si>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</si>
  <si>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</si>
  <si>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</si>
  <si>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</si>
  <si>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</si>
  <si>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</si>
  <si>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</si>
  <si>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</si>
  <si>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</si>
  <si>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</si>
  <si>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</si>
  <si>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</si>
  <si>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</si>
  <si>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</si>
  <si>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</si>
  <si>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</si>
  <si>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</si>
  <si>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</si>
  <si>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</si>
  <si>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</si>
  <si>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</si>
  <si>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</si>
  <si>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</si>
  <si>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</si>
  <si>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</si>
  <si>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</si>
  <si>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</si>
  <si>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</si>
  <si>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</si>
  <si>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</si>
  <si>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</si>
  <si>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</si>
  <si>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</si>
  <si>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</si>
  <si>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</si>
  <si>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</si>
  <si>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</si>
  <si>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</si>
  <si>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</si>
  <si>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</si>
  <si>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</si>
  <si>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</si>
  <si>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</si>
  <si>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</si>
  <si>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</si>
  <si>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</si>
  <si>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</si>
  <si>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</si>
  <si>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</si>
  <si>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</si>
  <si>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</si>
  <si>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</si>
  <si>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</si>
  <si>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</si>
  <si>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</si>
  <si>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</si>
  <si>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</si>
  <si>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</si>
  <si>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</si>
  <si>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</si>
  <si>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</si>
  <si>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</si>
  <si>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</si>
  <si>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</si>
  <si>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</si>
  <si>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</si>
  <si>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</si>
  <si>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</si>
  <si>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</si>
  <si>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</si>
  <si>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</si>
  <si>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</si>
  <si>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</si>
  <si>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</si>
  <si>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</si>
  <si>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</si>
  <si>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</si>
  <si>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</si>
  <si>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</si>
  <si>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</si>
  <si>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</si>
  <si>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</si>
  <si>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</si>
  <si>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</si>
  <si>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</si>
  <si>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</si>
  <si>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</si>
  <si>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</si>
  <si>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</si>
  <si>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</si>
  <si>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</si>
  <si>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</si>
  <si>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</si>
  <si>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</si>
  <si>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</si>
  <si>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</si>
  <si>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</si>
  <si>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</si>
  <si>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</si>
  <si>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</si>
  <si>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</si>
  <si>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</si>
  <si>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</si>
  <si>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</si>
  <si>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</si>
  <si>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</si>
  <si>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</si>
  <si>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</si>
  <si>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</si>
  <si>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</si>
  <si>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</si>
  <si>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</si>
  <si>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</si>
  <si>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</si>
  <si>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</si>
  <si>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</si>
  <si>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</si>
  <si>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</si>
  <si>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</si>
  <si>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</si>
  <si>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</si>
  <si>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</si>
  <si>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</si>
  <si>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</si>
  <si>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</si>
  <si>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</si>
  <si>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</si>
  <si>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</si>
  <si>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</si>
  <si>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</si>
  <si>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</si>
  <si>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</si>
  <si>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</si>
  <si>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</si>
  <si>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</si>
  <si>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</si>
  <si>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</si>
  <si>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</si>
  <si>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</si>
  <si>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</si>
  <si>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</si>
  <si>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</si>
  <si>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</si>
  <si>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</si>
  <si>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</si>
  <si>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</si>
  <si>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</si>
  <si>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</si>
  <si>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</si>
  <si>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</si>
  <si>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</si>
  <si>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</si>
  <si>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</si>
  <si>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</si>
  <si>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</si>
  <si>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</si>
  <si>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</si>
  <si>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</si>
  <si>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</si>
  <si>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</si>
  <si>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</si>
  <si>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</si>
  <si>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</si>
  <si>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</si>
  <si>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</si>
  <si>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</si>
  <si>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</si>
  <si>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</si>
  <si>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</si>
  <si>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</si>
  <si>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</si>
  <si>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</si>
  <si>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</si>
  <si>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</si>
  <si>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</si>
  <si>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</si>
  <si>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</si>
  <si>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</si>
  <si>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</si>
  <si>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</si>
  <si>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</si>
  <si>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</si>
  <si>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</si>
  <si>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</si>
  <si>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</si>
  <si>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</si>
  <si>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</si>
  <si>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</si>
  <si>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</si>
  <si>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</si>
  <si>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</si>
  <si>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</si>
  <si>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</si>
  <si>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</si>
  <si>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</si>
  <si>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</si>
  <si>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</si>
  <si>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</si>
  <si>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</si>
  <si>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</si>
  <si>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</si>
  <si>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</si>
  <si>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</si>
  <si>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</si>
  <si>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</si>
  <si>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</si>
  <si>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</si>
  <si>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</si>
  <si>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</si>
  <si>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</si>
  <si>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</si>
  <si>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</si>
  <si>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</si>
  <si>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</si>
  <si>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</si>
  <si>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</si>
  <si>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</si>
  <si>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</si>
  <si>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</si>
  <si>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</si>
  <si>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</si>
  <si>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</si>
  <si>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</si>
  <si>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</si>
  <si>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</si>
  <si>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</si>
  <si>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</si>
  <si>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</si>
  <si>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</si>
  <si>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</si>
  <si>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</si>
  <si>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</si>
  <si>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</si>
  <si>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</si>
  <si>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</si>
  <si>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</si>
  <si>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</si>
  <si>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</si>
  <si>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</si>
  <si>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</si>
  <si>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</si>
  <si>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</si>
  <si>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</si>
  <si>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</si>
  <si>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</si>
  <si>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</si>
  <si>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</si>
  <si>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</si>
  <si>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</si>
  <si>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</si>
  <si>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</si>
  <si>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</si>
  <si>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</si>
  <si>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</si>
  <si>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</si>
  <si>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</si>
  <si>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</si>
  <si>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</si>
  <si>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</si>
  <si>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</si>
  <si>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</si>
  <si>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</si>
  <si>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</si>
  <si>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</si>
  <si>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</si>
  <si>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</si>
  <si>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</si>
  <si>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</si>
  <si>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</si>
  <si>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</si>
  <si>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</si>
  <si>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</si>
  <si>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</si>
  <si>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</si>
  <si>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</si>
  <si>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</si>
  <si>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</si>
  <si>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</si>
  <si>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</si>
  <si>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</si>
  <si>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</si>
  <si>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</si>
  <si>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</si>
  <si>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</si>
  <si>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</si>
  <si>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</si>
  <si>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</si>
  <si>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</si>
  <si>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</si>
  <si>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</si>
  <si>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</si>
  <si>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</si>
  <si>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</si>
  <si>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</si>
  <si>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</si>
  <si>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</si>
  <si>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</si>
  <si>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</si>
  <si>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</si>
  <si>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</si>
  <si>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</si>
  <si>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</si>
  <si>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</si>
  <si>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</si>
  <si>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</si>
  <si>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</si>
  <si>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</si>
  <si>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</si>
  <si>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</si>
  <si>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</si>
  <si>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</si>
  <si>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</si>
  <si>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</si>
  <si>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</si>
  <si>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</si>
  <si>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</si>
  <si>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</si>
  <si>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</si>
  <si>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</si>
  <si>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</si>
  <si>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</si>
  <si>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</si>
  <si>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</si>
  <si>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</si>
  <si>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</si>
  <si>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</si>
  <si>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</si>
  <si>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</si>
  <si>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</si>
  <si>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</si>
  <si>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</si>
  <si>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</si>
  <si>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</si>
  <si>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</si>
  <si>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</si>
  <si>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</si>
  <si>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</si>
  <si>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</si>
  <si>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</si>
  <si>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</si>
  <si>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</si>
  <si>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</si>
  <si>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</si>
  <si>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</si>
  <si>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</si>
  <si>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</si>
  <si>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</si>
  <si>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</si>
  <si>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</si>
  <si>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</si>
  <si>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</si>
  <si>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</si>
  <si>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</si>
  <si>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</si>
  <si>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</si>
  <si>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</si>
  <si>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</si>
  <si>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</si>
  <si>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</si>
  <si>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</si>
  <si>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</si>
  <si>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</si>
  <si>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</si>
  <si>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</si>
  <si>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</si>
  <si>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</si>
  <si>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</si>
  <si>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</si>
  <si>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</si>
  <si>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</si>
  <si>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</si>
  <si>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</si>
  <si>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</si>
  <si>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</si>
  <si>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</si>
  <si>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</si>
  <si>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</si>
  <si>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</si>
  <si>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</si>
  <si>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</si>
  <si>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</si>
  <si>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</si>
  <si>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</si>
  <si>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</si>
  <si>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</si>
  <si>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</si>
  <si>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</si>
  <si>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</si>
  <si>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</si>
  <si>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</si>
  <si>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</si>
  <si>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</si>
  <si>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</si>
  <si>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</si>
  <si>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</si>
  <si>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</si>
  <si>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</si>
  <si>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</si>
  <si>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</si>
  <si>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</si>
  <si>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</si>
  <si>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</si>
  <si>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</si>
  <si>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</si>
  <si>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</si>
  <si>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</si>
  <si>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</si>
  <si>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</si>
  <si>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</si>
  <si>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</si>
  <si>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</si>
  <si>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</si>
  <si>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</si>
  <si>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</si>
  <si>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</si>
  <si>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</si>
  <si>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</si>
  <si>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</si>
  <si>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</si>
  <si>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</si>
  <si>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</si>
  <si>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</si>
  <si>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</si>
  <si>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</si>
  <si>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</si>
  <si>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</si>
  <si>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</si>
  <si>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</si>
  <si>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</si>
  <si>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</si>
  <si>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</si>
  <si>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</si>
  <si>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</si>
  <si>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</si>
  <si>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</si>
  <si>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</si>
  <si>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</si>
  <si>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</si>
  <si>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</si>
  <si>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</si>
  <si>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</si>
  <si>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</si>
  <si>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</si>
  <si>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</si>
  <si>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</si>
  <si>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</si>
  <si>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</si>
  <si>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</si>
  <si>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</si>
  <si>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</si>
  <si>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</si>
  <si>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</si>
  <si>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</si>
  <si>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</si>
  <si>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</si>
  <si>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</si>
  <si>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</si>
  <si>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</si>
  <si>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</si>
  <si>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</si>
  <si>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</si>
  <si>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</si>
  <si>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</si>
  <si>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</si>
  <si>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</si>
  <si>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</si>
  <si>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</si>
  <si>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</si>
  <si>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</si>
  <si>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</si>
  <si>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</si>
  <si>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</si>
  <si>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</si>
  <si>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</si>
  <si>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</si>
  <si>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</si>
  <si>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</si>
  <si>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</si>
  <si>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</si>
  <si>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</si>
  <si>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</si>
  <si>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</si>
  <si>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</si>
  <si>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</si>
  <si>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</si>
  <si>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</si>
  <si>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</si>
  <si>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</si>
  <si>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</si>
  <si>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</si>
  <si>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</si>
  <si>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</si>
  <si>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</si>
  <si>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</si>
  <si>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</si>
  <si>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</si>
  <si>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</si>
  <si>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</si>
  <si>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</si>
  <si>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</si>
  <si>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</si>
  <si>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</si>
  <si>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</si>
  <si>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</si>
  <si>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</si>
  <si>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</si>
  <si>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</si>
  <si>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</si>
  <si>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</si>
  <si>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</si>
  <si>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</si>
  <si>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</si>
  <si>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</si>
  <si>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</si>
  <si>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</si>
  <si>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</si>
  <si>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</si>
  <si>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</si>
  <si>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</si>
  <si>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</si>
  <si>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</si>
  <si>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</si>
  <si>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</si>
  <si>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</si>
  <si>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</si>
  <si>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</si>
  <si>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</si>
  <si>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</si>
  <si>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</si>
  <si>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</si>
  <si>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</si>
  <si>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</si>
  <si>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</si>
  <si>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</si>
  <si>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</si>
  <si>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</si>
  <si>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</si>
  <si>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</si>
  <si>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</si>
  <si>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</si>
  <si>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</si>
  <si>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</si>
  <si>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</si>
  <si>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</si>
  <si>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</si>
  <si>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</si>
  <si>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</si>
  <si>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</si>
  <si>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</si>
  <si>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</si>
  <si>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</si>
  <si>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</si>
  <si>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</si>
  <si>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</si>
  <si>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</si>
  <si>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</si>
  <si>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</si>
  <si>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</si>
  <si>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</si>
  <si>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</si>
  <si>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</si>
  <si>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</si>
  <si>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</si>
  <si>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</si>
  <si>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</si>
  <si>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</si>
  <si>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</si>
  <si>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</si>
  <si>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</si>
  <si>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</si>
  <si>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</si>
  <si>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</si>
  <si>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</si>
  <si>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</si>
  <si>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</si>
  <si>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</si>
  <si>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</si>
  <si>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</si>
  <si>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</si>
  <si>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</si>
  <si>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</si>
  <si>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43018</t>
  </si>
  <si>
    <t>ZELZATE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</si>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</sst>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BB41E04-BCF0-47D0-B408-E06E6D3FE4A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95397.968305574657</c:v>
                </c:pt>
                <c:pt idx="1">
                  <c:v>35757.320670524736</c:v>
                </c:pt>
                <c:pt idx="2">
                  <c:v>795.16834987385005</c:v>
                </c:pt>
                <c:pt idx="3">
                  <c:v>1283.2843651733306</c:v>
                </c:pt>
                <c:pt idx="4">
                  <c:v>216197.14947028027</c:v>
                </c:pt>
                <c:pt idx="5">
                  <c:v>112577.08744034114</c:v>
                </c:pt>
                <c:pt idx="6">
                  <c:v>517.66971700059912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95397.968305574657</c:v>
                </c:pt>
                <c:pt idx="1">
                  <c:v>35757.320670524736</c:v>
                </c:pt>
                <c:pt idx="2">
                  <c:v>795.16834987385005</c:v>
                </c:pt>
                <c:pt idx="3">
                  <c:v>1283.2843651733306</c:v>
                </c:pt>
                <c:pt idx="4">
                  <c:v>216197.14947028027</c:v>
                </c:pt>
                <c:pt idx="5">
                  <c:v>112577.08744034114</c:v>
                </c:pt>
                <c:pt idx="6">
                  <c:v>517.66971700059912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16049.792374586646</c:v>
                </c:pt>
                <c:pt idx="1">
                  <c:v>5267.7096347641473</c:v>
                </c:pt>
                <c:pt idx="2">
                  <c:v>29.29251685165983</c:v>
                </c:pt>
                <c:pt idx="3">
                  <c:v>283.94837284024135</c:v>
                </c:pt>
                <c:pt idx="4">
                  <c:v>37555.137537705166</c:v>
                </c:pt>
                <c:pt idx="5">
                  <c:v>26675.50229501144</c:v>
                </c:pt>
                <c:pt idx="6">
                  <c:v>122.04828149990844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16049.792374586646</c:v>
                </c:pt>
                <c:pt idx="1">
                  <c:v>5267.7096347641473</c:v>
                </c:pt>
                <c:pt idx="2">
                  <c:v>29.29251685165983</c:v>
                </c:pt>
                <c:pt idx="3">
                  <c:v>283.94837284024135</c:v>
                </c:pt>
                <c:pt idx="4">
                  <c:v>37555.137537705166</c:v>
                </c:pt>
                <c:pt idx="5">
                  <c:v>26675.50229501144</c:v>
                </c:pt>
                <c:pt idx="6">
                  <c:v>122.04828149990844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43018</v>
      </c>
      <c r="B6" s="380"/>
      <c r="C6" s="381"/>
    </row>
    <row r="7" spans="1:7" s="378" customFormat="1" ht="15.75" customHeight="1">
      <c r="A7" s="382" t="str">
        <f>txtMunicipality</f>
        <v>ZELZATE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3.68381322726275E-2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3.68381322726275E-2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5497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468.50000000000011</v>
      </c>
      <c r="C14" s="323"/>
      <c r="D14" s="323"/>
      <c r="E14" s="323"/>
      <c r="F14" s="323"/>
    </row>
    <row r="15" spans="1:6">
      <c r="A15" s="1266" t="s">
        <v>177</v>
      </c>
      <c r="B15" s="1267">
        <v>1</v>
      </c>
      <c r="C15" s="323"/>
      <c r="D15" s="323"/>
      <c r="E15" s="323"/>
      <c r="F15" s="323"/>
    </row>
    <row r="16" spans="1:6">
      <c r="A16" s="1266" t="s">
        <v>6</v>
      </c>
      <c r="B16" s="1267">
        <v>66</v>
      </c>
      <c r="C16" s="323"/>
      <c r="D16" s="323"/>
      <c r="E16" s="323"/>
      <c r="F16" s="323"/>
    </row>
    <row r="17" spans="1:6">
      <c r="A17" s="1266" t="s">
        <v>7</v>
      </c>
      <c r="B17" s="1267">
        <v>6</v>
      </c>
      <c r="C17" s="323"/>
      <c r="D17" s="323"/>
      <c r="E17" s="323"/>
      <c r="F17" s="323"/>
    </row>
    <row r="18" spans="1:6">
      <c r="A18" s="1266" t="s">
        <v>8</v>
      </c>
      <c r="B18" s="1267">
        <v>63</v>
      </c>
      <c r="C18" s="323"/>
      <c r="D18" s="323"/>
      <c r="E18" s="323"/>
      <c r="F18" s="323"/>
    </row>
    <row r="19" spans="1:6">
      <c r="A19" s="1266" t="s">
        <v>9</v>
      </c>
      <c r="B19" s="1267">
        <v>133</v>
      </c>
      <c r="C19" s="323"/>
      <c r="D19" s="323"/>
      <c r="E19" s="323"/>
      <c r="F19" s="323"/>
    </row>
    <row r="20" spans="1:6">
      <c r="A20" s="1266" t="s">
        <v>10</v>
      </c>
      <c r="B20" s="1267">
        <v>87</v>
      </c>
      <c r="C20" s="323"/>
      <c r="D20" s="323"/>
      <c r="E20" s="323"/>
      <c r="F20" s="323"/>
    </row>
    <row r="21" spans="1:6">
      <c r="A21" s="1266" t="s">
        <v>11</v>
      </c>
      <c r="B21" s="1267">
        <v>0</v>
      </c>
      <c r="C21" s="323"/>
      <c r="D21" s="323"/>
      <c r="E21" s="323"/>
      <c r="F21" s="323"/>
    </row>
    <row r="22" spans="1:6">
      <c r="A22" s="1266" t="s">
        <v>12</v>
      </c>
      <c r="B22" s="1267">
        <v>506</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30106</v>
      </c>
      <c r="C28" s="323"/>
      <c r="D28" s="323"/>
      <c r="E28" s="323"/>
      <c r="F28" s="323"/>
    </row>
    <row r="29" spans="1:6">
      <c r="A29" s="1268" t="s">
        <v>628</v>
      </c>
      <c r="B29" s="1269">
        <v>4</v>
      </c>
      <c r="C29" s="323"/>
      <c r="D29" s="323"/>
      <c r="E29" s="323"/>
      <c r="F29" s="323"/>
    </row>
    <row r="30" spans="1:6">
      <c r="A30" s="1261" t="s">
        <v>629</v>
      </c>
      <c r="B30" s="1270">
        <v>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93306.458212551399</v>
      </c>
    </row>
    <row r="36" spans="1:6">
      <c r="A36" s="1266" t="s">
        <v>24</v>
      </c>
      <c r="B36" s="1266" t="s">
        <v>26</v>
      </c>
      <c r="C36" s="1267">
        <v>0</v>
      </c>
      <c r="D36" s="1267">
        <v>0</v>
      </c>
      <c r="E36" s="1267">
        <v>4</v>
      </c>
      <c r="F36" s="1267">
        <v>46582.759439399801</v>
      </c>
    </row>
    <row r="37" spans="1:6">
      <c r="A37" s="1266" t="s">
        <v>24</v>
      </c>
      <c r="B37" s="1266" t="s">
        <v>27</v>
      </c>
      <c r="C37" s="1267">
        <v>0</v>
      </c>
      <c r="D37" s="1267">
        <v>0</v>
      </c>
      <c r="E37" s="1267">
        <v>0</v>
      </c>
      <c r="F37" s="1267">
        <v>0</v>
      </c>
    </row>
    <row r="38" spans="1:6">
      <c r="A38" s="1266" t="s">
        <v>24</v>
      </c>
      <c r="B38" s="1266" t="s">
        <v>28</v>
      </c>
      <c r="C38" s="1267">
        <v>2</v>
      </c>
      <c r="D38" s="1267">
        <v>44909.881472334397</v>
      </c>
      <c r="E38" s="1267">
        <v>0</v>
      </c>
      <c r="F38" s="1267">
        <v>0</v>
      </c>
    </row>
    <row r="39" spans="1:6">
      <c r="A39" s="1266" t="s">
        <v>29</v>
      </c>
      <c r="B39" s="1266" t="s">
        <v>30</v>
      </c>
      <c r="C39" s="1267">
        <v>3975</v>
      </c>
      <c r="D39" s="1267">
        <v>51561397.107704498</v>
      </c>
      <c r="E39" s="1267">
        <v>5646</v>
      </c>
      <c r="F39" s="1267">
        <v>17087883.218577899</v>
      </c>
    </row>
    <row r="40" spans="1:6">
      <c r="A40" s="1266" t="s">
        <v>29</v>
      </c>
      <c r="B40" s="1266" t="s">
        <v>28</v>
      </c>
      <c r="C40" s="1267">
        <v>0</v>
      </c>
      <c r="D40" s="1267">
        <v>0</v>
      </c>
      <c r="E40" s="1267">
        <v>0</v>
      </c>
      <c r="F40" s="1267">
        <v>0</v>
      </c>
    </row>
    <row r="41" spans="1:6">
      <c r="A41" s="1266" t="s">
        <v>31</v>
      </c>
      <c r="B41" s="1266" t="s">
        <v>32</v>
      </c>
      <c r="C41" s="1267">
        <v>51</v>
      </c>
      <c r="D41" s="1267">
        <v>1027490.46802478</v>
      </c>
      <c r="E41" s="1267">
        <v>106</v>
      </c>
      <c r="F41" s="1267">
        <v>859925.03361017804</v>
      </c>
    </row>
    <row r="42" spans="1:6">
      <c r="A42" s="1266" t="s">
        <v>31</v>
      </c>
      <c r="B42" s="1266" t="s">
        <v>33</v>
      </c>
      <c r="C42" s="1267">
        <v>0</v>
      </c>
      <c r="D42" s="1267">
        <v>0</v>
      </c>
      <c r="E42" s="1267">
        <v>3</v>
      </c>
      <c r="F42" s="1267">
        <v>37468855.5897929</v>
      </c>
    </row>
    <row r="43" spans="1:6">
      <c r="A43" s="1266" t="s">
        <v>31</v>
      </c>
      <c r="B43" s="1266" t="s">
        <v>34</v>
      </c>
      <c r="C43" s="1267">
        <v>0</v>
      </c>
      <c r="D43" s="1267">
        <v>0</v>
      </c>
      <c r="E43" s="1267">
        <v>0</v>
      </c>
      <c r="F43" s="1267">
        <v>0</v>
      </c>
    </row>
    <row r="44" spans="1:6">
      <c r="A44" s="1266" t="s">
        <v>31</v>
      </c>
      <c r="B44" s="1266" t="s">
        <v>35</v>
      </c>
      <c r="C44" s="1267">
        <v>6</v>
      </c>
      <c r="D44" s="1267">
        <v>84867.194381278896</v>
      </c>
      <c r="E44" s="1267">
        <v>16</v>
      </c>
      <c r="F44" s="1267">
        <v>173947.68476816299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7</v>
      </c>
      <c r="F47" s="1267">
        <v>86130.600944178907</v>
      </c>
    </row>
    <row r="48" spans="1:6">
      <c r="A48" s="1266" t="s">
        <v>31</v>
      </c>
      <c r="B48" s="1266" t="s">
        <v>28</v>
      </c>
      <c r="C48" s="1267">
        <v>3</v>
      </c>
      <c r="D48" s="1267">
        <v>183545283.27331188</v>
      </c>
      <c r="E48" s="1267">
        <v>2</v>
      </c>
      <c r="F48" s="1267">
        <v>8632.2502000914992</v>
      </c>
    </row>
    <row r="49" spans="1:6">
      <c r="A49" s="1266" t="s">
        <v>31</v>
      </c>
      <c r="B49" s="1266" t="s">
        <v>39</v>
      </c>
      <c r="C49" s="1267">
        <v>0</v>
      </c>
      <c r="D49" s="1267">
        <v>0</v>
      </c>
      <c r="E49" s="1267">
        <v>0</v>
      </c>
      <c r="F49" s="1267">
        <v>0</v>
      </c>
    </row>
    <row r="50" spans="1:6">
      <c r="A50" s="1266" t="s">
        <v>31</v>
      </c>
      <c r="B50" s="1266" t="s">
        <v>40</v>
      </c>
      <c r="C50" s="1267">
        <v>5</v>
      </c>
      <c r="D50" s="1267">
        <v>433389.72154778597</v>
      </c>
      <c r="E50" s="1267">
        <v>9</v>
      </c>
      <c r="F50" s="1267">
        <v>610689.42198850599</v>
      </c>
    </row>
    <row r="51" spans="1:6">
      <c r="A51" s="1266" t="s">
        <v>41</v>
      </c>
      <c r="B51" s="1266" t="s">
        <v>42</v>
      </c>
      <c r="C51" s="1267">
        <v>3</v>
      </c>
      <c r="D51" s="1267">
        <v>45804.772109837497</v>
      </c>
      <c r="E51" s="1267">
        <v>26</v>
      </c>
      <c r="F51" s="1267">
        <v>263372.109880223</v>
      </c>
    </row>
    <row r="52" spans="1:6">
      <c r="A52" s="1266" t="s">
        <v>41</v>
      </c>
      <c r="B52" s="1266" t="s">
        <v>28</v>
      </c>
      <c r="C52" s="1267">
        <v>0</v>
      </c>
      <c r="D52" s="1267">
        <v>0</v>
      </c>
      <c r="E52" s="1267">
        <v>0</v>
      </c>
      <c r="F52" s="1267">
        <v>0</v>
      </c>
    </row>
    <row r="53" spans="1:6">
      <c r="A53" s="1266" t="s">
        <v>43</v>
      </c>
      <c r="B53" s="1266" t="s">
        <v>44</v>
      </c>
      <c r="C53" s="1267">
        <v>80</v>
      </c>
      <c r="D53" s="1267">
        <v>2648474.1824706499</v>
      </c>
      <c r="E53" s="1267">
        <v>134</v>
      </c>
      <c r="F53" s="1267">
        <v>844384.584104012</v>
      </c>
    </row>
    <row r="54" spans="1:6">
      <c r="A54" s="1266" t="s">
        <v>45</v>
      </c>
      <c r="B54" s="1266" t="s">
        <v>46</v>
      </c>
      <c r="C54" s="1267">
        <v>0</v>
      </c>
      <c r="D54" s="1267">
        <v>0</v>
      </c>
      <c r="E54" s="1267">
        <v>1</v>
      </c>
      <c r="F54" s="1267">
        <v>795168.34987385001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3131206.4121016501</v>
      </c>
      <c r="E57" s="1267">
        <v>94</v>
      </c>
      <c r="F57" s="1267">
        <v>1687045.2345469</v>
      </c>
    </row>
    <row r="58" spans="1:6">
      <c r="A58" s="1266" t="s">
        <v>48</v>
      </c>
      <c r="B58" s="1266" t="s">
        <v>50</v>
      </c>
      <c r="C58" s="1267">
        <v>43</v>
      </c>
      <c r="D58" s="1267">
        <v>2018556.0831534001</v>
      </c>
      <c r="E58" s="1267">
        <v>86</v>
      </c>
      <c r="F58" s="1267">
        <v>549910.73031292204</v>
      </c>
    </row>
    <row r="59" spans="1:6">
      <c r="A59" s="1266" t="s">
        <v>48</v>
      </c>
      <c r="B59" s="1266" t="s">
        <v>51</v>
      </c>
      <c r="C59" s="1267">
        <v>67</v>
      </c>
      <c r="D59" s="1267">
        <v>2741369.33495912</v>
      </c>
      <c r="E59" s="1267">
        <v>132</v>
      </c>
      <c r="F59" s="1267">
        <v>3675781.2969528199</v>
      </c>
    </row>
    <row r="60" spans="1:6">
      <c r="A60" s="1266" t="s">
        <v>48</v>
      </c>
      <c r="B60" s="1266" t="s">
        <v>52</v>
      </c>
      <c r="C60" s="1267">
        <v>72</v>
      </c>
      <c r="D60" s="1267">
        <v>10776324.2779478</v>
      </c>
      <c r="E60" s="1267">
        <v>84</v>
      </c>
      <c r="F60" s="1267">
        <v>3132894.8463553898</v>
      </c>
    </row>
    <row r="61" spans="1:6">
      <c r="A61" s="1266" t="s">
        <v>48</v>
      </c>
      <c r="B61" s="1266" t="s">
        <v>53</v>
      </c>
      <c r="C61" s="1267">
        <v>145</v>
      </c>
      <c r="D61" s="1267">
        <v>4321895.6486046398</v>
      </c>
      <c r="E61" s="1267">
        <v>314</v>
      </c>
      <c r="F61" s="1267">
        <v>2756046.3472591499</v>
      </c>
    </row>
    <row r="62" spans="1:6">
      <c r="A62" s="1266" t="s">
        <v>48</v>
      </c>
      <c r="B62" s="1266" t="s">
        <v>54</v>
      </c>
      <c r="C62" s="1267">
        <v>0</v>
      </c>
      <c r="D62" s="1267">
        <v>0</v>
      </c>
      <c r="E62" s="1267">
        <v>6</v>
      </c>
      <c r="F62" s="1267">
        <v>90716.338774581003</v>
      </c>
    </row>
    <row r="63" spans="1:6">
      <c r="A63" s="1266" t="s">
        <v>48</v>
      </c>
      <c r="B63" s="1266" t="s">
        <v>28</v>
      </c>
      <c r="C63" s="1267">
        <v>2</v>
      </c>
      <c r="D63" s="1267">
        <v>33915.554982528498</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19813.269451198299</v>
      </c>
    </row>
    <row r="66" spans="1:6">
      <c r="A66" s="1266" t="s">
        <v>55</v>
      </c>
      <c r="B66" s="1266" t="s">
        <v>57</v>
      </c>
      <c r="C66" s="1267">
        <v>0</v>
      </c>
      <c r="D66" s="1267">
        <v>0</v>
      </c>
      <c r="E66" s="1267">
        <v>14</v>
      </c>
      <c r="F66" s="1267">
        <v>2949717.65615104</v>
      </c>
    </row>
    <row r="67" spans="1:6">
      <c r="A67" s="1268" t="s">
        <v>55</v>
      </c>
      <c r="B67" s="1268" t="s">
        <v>58</v>
      </c>
      <c r="C67" s="1267">
        <v>0</v>
      </c>
      <c r="D67" s="1267">
        <v>0</v>
      </c>
      <c r="E67" s="1267">
        <v>0</v>
      </c>
      <c r="F67" s="1267">
        <v>0</v>
      </c>
    </row>
    <row r="68" spans="1:6">
      <c r="A68" s="1261" t="s">
        <v>55</v>
      </c>
      <c r="B68" s="1261" t="s">
        <v>59</v>
      </c>
      <c r="C68" s="1270">
        <v>10</v>
      </c>
      <c r="D68" s="1270">
        <v>220646.44738039401</v>
      </c>
      <c r="E68" s="1270">
        <v>15</v>
      </c>
      <c r="F68" s="1270">
        <v>158599.034770634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48169460</v>
      </c>
      <c r="E73" s="441"/>
      <c r="F73" s="323"/>
    </row>
    <row r="74" spans="1:6">
      <c r="A74" s="1266" t="s">
        <v>63</v>
      </c>
      <c r="B74" s="1266" t="s">
        <v>589</v>
      </c>
      <c r="C74" s="1280" t="s">
        <v>591</v>
      </c>
      <c r="D74" s="1281">
        <v>7191155.2691286709</v>
      </c>
      <c r="E74" s="441"/>
      <c r="F74" s="323"/>
    </row>
    <row r="75" spans="1:6">
      <c r="A75" s="1266" t="s">
        <v>64</v>
      </c>
      <c r="B75" s="1266" t="s">
        <v>588</v>
      </c>
      <c r="C75" s="1280" t="s">
        <v>592</v>
      </c>
      <c r="D75" s="1281">
        <v>9234586</v>
      </c>
      <c r="E75" s="441"/>
      <c r="F75" s="323"/>
    </row>
    <row r="76" spans="1:6">
      <c r="A76" s="1266" t="s">
        <v>64</v>
      </c>
      <c r="B76" s="1266" t="s">
        <v>589</v>
      </c>
      <c r="C76" s="1280" t="s">
        <v>593</v>
      </c>
      <c r="D76" s="1281">
        <v>86719.269128670989</v>
      </c>
      <c r="E76" s="441"/>
      <c r="F76" s="323"/>
    </row>
    <row r="77" spans="1:6">
      <c r="A77" s="1266" t="s">
        <v>65</v>
      </c>
      <c r="B77" s="1266" t="s">
        <v>588</v>
      </c>
      <c r="C77" s="1280" t="s">
        <v>594</v>
      </c>
      <c r="D77" s="1281">
        <v>46180351</v>
      </c>
      <c r="E77" s="441"/>
      <c r="F77" s="323"/>
    </row>
    <row r="78" spans="1:6">
      <c r="A78" s="1261" t="s">
        <v>65</v>
      </c>
      <c r="B78" s="1261" t="s">
        <v>589</v>
      </c>
      <c r="C78" s="1261" t="s">
        <v>595</v>
      </c>
      <c r="D78" s="1282">
        <v>8709351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144753.46174265802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47319.295188783515</v>
      </c>
      <c r="C90" s="323"/>
      <c r="D90" s="323"/>
      <c r="E90" s="323"/>
      <c r="F90" s="323"/>
    </row>
    <row r="91" spans="1:6">
      <c r="A91" s="1266" t="s">
        <v>67</v>
      </c>
      <c r="B91" s="1267">
        <v>2954.2472055778212</v>
      </c>
      <c r="C91" s="323"/>
      <c r="D91" s="323"/>
      <c r="E91" s="323"/>
      <c r="F91" s="323"/>
    </row>
    <row r="92" spans="1:6">
      <c r="A92" s="1261" t="s">
        <v>68</v>
      </c>
      <c r="B92" s="1262">
        <v>11010.66745636584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1564</v>
      </c>
      <c r="C97" s="323"/>
      <c r="D97" s="323"/>
      <c r="E97" s="323"/>
      <c r="F97" s="323"/>
    </row>
    <row r="98" spans="1:6">
      <c r="A98" s="1266" t="s">
        <v>71</v>
      </c>
      <c r="B98" s="1267">
        <v>1</v>
      </c>
      <c r="C98" s="323"/>
      <c r="D98" s="323"/>
      <c r="E98" s="323"/>
      <c r="F98" s="323"/>
    </row>
    <row r="99" spans="1:6">
      <c r="A99" s="1266" t="s">
        <v>72</v>
      </c>
      <c r="B99" s="1267">
        <v>32</v>
      </c>
      <c r="C99" s="323"/>
      <c r="D99" s="323"/>
      <c r="E99" s="323"/>
      <c r="F99" s="323"/>
    </row>
    <row r="100" spans="1:6">
      <c r="A100" s="1266" t="s">
        <v>73</v>
      </c>
      <c r="B100" s="1267">
        <v>384</v>
      </c>
      <c r="C100" s="323"/>
      <c r="D100" s="323"/>
      <c r="E100" s="323"/>
      <c r="F100" s="323"/>
    </row>
    <row r="101" spans="1:6">
      <c r="A101" s="1266" t="s">
        <v>74</v>
      </c>
      <c r="B101" s="1267">
        <v>26</v>
      </c>
      <c r="C101" s="323"/>
      <c r="D101" s="323"/>
      <c r="E101" s="323"/>
      <c r="F101" s="323"/>
    </row>
    <row r="102" spans="1:6">
      <c r="A102" s="1266" t="s">
        <v>75</v>
      </c>
      <c r="B102" s="1267">
        <v>104</v>
      </c>
      <c r="C102" s="323"/>
      <c r="D102" s="323"/>
      <c r="E102" s="323"/>
      <c r="F102" s="323"/>
    </row>
    <row r="103" spans="1:6">
      <c r="A103" s="1266" t="s">
        <v>76</v>
      </c>
      <c r="B103" s="1267">
        <v>207</v>
      </c>
      <c r="C103" s="323"/>
      <c r="D103" s="323"/>
      <c r="E103" s="323"/>
      <c r="F103" s="323"/>
    </row>
    <row r="104" spans="1:6">
      <c r="A104" s="1266" t="s">
        <v>77</v>
      </c>
      <c r="B104" s="1267">
        <v>2809</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v>
      </c>
      <c r="C123" s="1267">
        <v>11</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83</v>
      </c>
      <c r="C129" s="323"/>
      <c r="D129" s="323"/>
      <c r="E129" s="323"/>
      <c r="F129" s="323"/>
    </row>
    <row r="130" spans="1:6">
      <c r="A130" s="1266" t="s">
        <v>282</v>
      </c>
      <c r="B130" s="1267">
        <v>3</v>
      </c>
      <c r="C130" s="323"/>
      <c r="D130" s="323"/>
      <c r="E130" s="323"/>
      <c r="F130" s="323"/>
    </row>
    <row r="131" spans="1:6">
      <c r="A131" s="1266" t="s">
        <v>283</v>
      </c>
      <c r="B131" s="1267">
        <v>0</v>
      </c>
      <c r="C131" s="323"/>
      <c r="D131" s="323"/>
      <c r="E131" s="323"/>
      <c r="F131" s="323"/>
    </row>
    <row r="132" spans="1:6">
      <c r="A132" s="1261" t="s">
        <v>284</v>
      </c>
      <c r="B132" s="1262">
        <v>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73542.968173305781</v>
      </c>
      <c r="C3" s="43" t="s">
        <v>163</v>
      </c>
      <c r="D3" s="43"/>
      <c r="E3" s="153"/>
      <c r="F3" s="43"/>
      <c r="G3" s="43"/>
      <c r="H3" s="43"/>
      <c r="I3" s="43"/>
      <c r="J3" s="43"/>
      <c r="K3" s="96"/>
    </row>
    <row r="4" spans="1:11">
      <c r="A4" s="348" t="s">
        <v>164</v>
      </c>
      <c r="B4" s="49">
        <f>IF(ISERROR('SEAP template'!B78+'SEAP template'!C78),0,'SEAP template'!B78+'SEAP template'!C78)</f>
        <v>61284.209850727173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3.68381322726275E-2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795.16834987385005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795.16834987385005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3.68381322726275E-2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29.29251685165983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17087.883218577899</v>
      </c>
      <c r="C5" s="17">
        <f>IF(ISERROR('Eigen informatie GS &amp; warmtenet'!B59),0,'Eigen informatie GS &amp; warmtenet'!B59)</f>
        <v>0</v>
      </c>
      <c r="D5" s="30">
        <f>(SUM(HH_hh_gas_kWh,HH_rest_gas_kWh)/1000)*0.903</f>
        <v>46559.941588257163</v>
      </c>
      <c r="E5" s="17">
        <f>B32*B41</f>
        <v>1623.4299220341104</v>
      </c>
      <c r="F5" s="17">
        <f>B36*B45</f>
        <v>20566.484298656502</v>
      </c>
      <c r="G5" s="18"/>
      <c r="H5" s="17"/>
      <c r="I5" s="17"/>
      <c r="J5" s="17">
        <f>B35*B44+C35*C44</f>
        <v>131.63735063663293</v>
      </c>
      <c r="K5" s="17"/>
      <c r="L5" s="17"/>
      <c r="M5" s="17"/>
      <c r="N5" s="17">
        <f>B34*B43+C34*C43</f>
        <v>6235.1828526737281</v>
      </c>
      <c r="O5" s="17">
        <f>B52*B53*B54</f>
        <v>186.49207262238099</v>
      </c>
      <c r="P5" s="17">
        <f>B60*B61*B62/1000-B60*B61*B62/1000/B63</f>
        <v>52.669796538425103</v>
      </c>
    </row>
    <row r="6" spans="1:16">
      <c r="A6" s="16" t="s">
        <v>556</v>
      </c>
      <c r="B6" s="734">
        <f>kWh_PV_kleiner_dan_10kW</f>
        <v>2954.2472055778212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20042.130424155719</v>
      </c>
      <c r="C8" s="21">
        <f>C5</f>
        <v>0</v>
      </c>
      <c r="D8" s="21">
        <f>D5</f>
        <v>46559.941588257163</v>
      </c>
      <c r="E8" s="21">
        <f>E5</f>
        <v>1623.4299220341104</v>
      </c>
      <c r="F8" s="21">
        <f>F5</f>
        <v>20566.484298656502</v>
      </c>
      <c r="G8" s="21"/>
      <c r="H8" s="21"/>
      <c r="I8" s="21"/>
      <c r="J8" s="21">
        <f>J5</f>
        <v>131.63735063663293</v>
      </c>
      <c r="K8" s="21"/>
      <c r="L8" s="21">
        <f>L5</f>
        <v>0</v>
      </c>
      <c r="M8" s="21">
        <f>M5</f>
        <v>0</v>
      </c>
      <c r="N8" s="21">
        <f>N5</f>
        <v>6235.1828526737281</v>
      </c>
      <c r="O8" s="21">
        <f>O5</f>
        <v>186.49207262238099</v>
      </c>
      <c r="P8" s="21">
        <f>P5</f>
        <v>52.669796538425103</v>
      </c>
    </row>
    <row r="9" spans="1:16">
      <c r="B9" s="19"/>
      <c r="C9" s="19"/>
      <c r="D9" s="253"/>
      <c r="E9" s="19"/>
      <c r="F9" s="19"/>
      <c r="G9" s="19"/>
      <c r="H9" s="19"/>
      <c r="I9" s="19"/>
      <c r="J9" s="19"/>
      <c r="K9" s="19"/>
      <c r="L9" s="19"/>
      <c r="M9" s="19"/>
      <c r="N9" s="19"/>
      <c r="O9" s="19"/>
      <c r="P9" s="19"/>
    </row>
    <row r="10" spans="1:16">
      <c r="A10" s="24" t="s">
        <v>207</v>
      </c>
      <c r="B10" s="25">
        <f ca="1">'EF ele_warmte'!B12</f>
        <v>3.68381322726275E-2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738.31465159030029</v>
      </c>
      <c r="C12" s="23">
        <f ca="1">C10*C8</f>
        <v>0</v>
      </c>
      <c r="D12" s="23">
        <f>D8*D10</f>
        <v>9405.1082008279482</v>
      </c>
      <c r="E12" s="23">
        <f>E10*E8</f>
        <v>368.51859230174307</v>
      </c>
      <c r="F12" s="23">
        <f>F10*F8</f>
        <v>5491.2513077412859</v>
      </c>
      <c r="G12" s="23"/>
      <c r="H12" s="23"/>
      <c r="I12" s="23"/>
      <c r="J12" s="23">
        <f>J10*J8</f>
        <v>46.599622125368057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5497</v>
      </c>
      <c r="C26" s="36"/>
      <c r="D26" s="224"/>
    </row>
    <row r="27" spans="1:5" s="15" customFormat="1">
      <c r="A27" s="226" t="s">
        <v>770</v>
      </c>
      <c r="B27" s="37">
        <f>SUM(HH_hh_gas_aantal,HH_rest_gas_aantal)</f>
        <v>3975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3776.25</v>
      </c>
      <c r="C31" s="34" t="s">
        <v>104</v>
      </c>
      <c r="D31" s="170"/>
    </row>
    <row r="32" spans="1:5">
      <c r="A32" s="167" t="s">
        <v>72</v>
      </c>
      <c r="B32" s="33">
        <f>IF((B21*($B$26-($B$27-0.05*$B$27)-$B$60))&lt;0,0,(B21*($B$26-($B$27-0.05*$B$27)-$B$60)))</f>
        <v>28.027103361050031</v>
      </c>
      <c r="C32" s="34" t="s">
        <v>104</v>
      </c>
      <c r="D32" s="170"/>
    </row>
    <row r="33" spans="1:6">
      <c r="A33" s="167" t="s">
        <v>73</v>
      </c>
      <c r="B33" s="33">
        <f>IF((B22*($B$26-($B$27-0.05*$B$27)-$B$60))&lt;0,0,B22*($B$26-($B$27-0.05*$B$27)-$B$60))</f>
        <v>455.10465029599328</v>
      </c>
      <c r="C33" s="34" t="s">
        <v>104</v>
      </c>
      <c r="D33" s="170"/>
    </row>
    <row r="34" spans="1:6">
      <c r="A34" s="167" t="s">
        <v>74</v>
      </c>
      <c r="B34" s="33">
        <f>IF((B24*($B$26-($B$27-0.05*$B$27)-$B$60))&lt;0,0,B24*($B$26-($B$27-0.05*$B$27)-$B$60))</f>
        <v>198.99754058168099</v>
      </c>
      <c r="C34" s="33">
        <f>B26*C24</f>
        <v>923.4946794413612</v>
      </c>
      <c r="D34" s="229"/>
    </row>
    <row r="35" spans="1:6">
      <c r="A35" s="167" t="s">
        <v>76</v>
      </c>
      <c r="B35" s="33">
        <f>IF((B19*($B$26-($B$27-0.05*$B$27)-$B$60))&lt;0,0,B19*($B$26-($B$27-0.05*$B$27)-$B$60))</f>
        <v>12.183315012605126</v>
      </c>
      <c r="C35" s="33">
        <f>B35/2</f>
        <v>6.0916575063025631</v>
      </c>
      <c r="D35" s="229"/>
    </row>
    <row r="36" spans="1:6">
      <c r="A36" s="167" t="s">
        <v>77</v>
      </c>
      <c r="B36" s="33">
        <f>IF((B18*($B$26-($B$27-0.05*$B$27)-$B$60))&lt;0,0,B18*($B$26-($B$27-0.05*$B$27)-$B$60))</f>
        <v>1021.4373907486698</v>
      </c>
      <c r="C36" s="34" t="s">
        <v>104</v>
      </c>
      <c r="D36" s="170"/>
    </row>
    <row r="37" spans="1:6">
      <c r="A37" s="167" t="s">
        <v>78</v>
      </c>
      <c r="B37" s="33">
        <f>B60</f>
        <v>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11892.394794201762</v>
      </c>
      <c r="C5" s="17">
        <f>IF(ISERROR('Eigen informatie GS &amp; warmtenet'!B60),0,'Eigen informatie GS &amp; warmtenet'!B60)</f>
        <v>0</v>
      </c>
      <c r="D5" s="30">
        <f>SUM(D6:D12)</f>
        <v>20790.010382509474</v>
      </c>
      <c r="E5" s="17">
        <f>SUM(E6:E12)</f>
        <v>21.350804617319298</v>
      </c>
      <c r="F5" s="17">
        <f>SUM(F6:F12)</f>
        <v>2341.5014661978767</v>
      </c>
      <c r="G5" s="18"/>
      <c r="H5" s="17"/>
      <c r="I5" s="17"/>
      <c r="J5" s="17">
        <f>SUM(J6:J12)</f>
        <v>1.8081658635899351E-2</v>
      </c>
      <c r="K5" s="17"/>
      <c r="L5" s="17"/>
      <c r="M5" s="17"/>
      <c r="N5" s="17">
        <f>SUM(N6:N12)</f>
        <v>697.35335904214151</v>
      </c>
      <c r="O5" s="17">
        <f>B38*B39*B40</f>
        <v>14.691782297523464</v>
      </c>
      <c r="P5" s="17">
        <f>B46*B47*B48/1000-B46*B47*B48/1000/B49</f>
        <v>0</v>
      </c>
      <c r="R5" s="32"/>
    </row>
    <row r="6" spans="1:18">
      <c r="A6" s="32" t="s">
        <v>53</v>
      </c>
      <c r="B6" s="37">
        <f>B26</f>
        <v>2756.04634725915</v>
      </c>
      <c r="C6" s="33"/>
      <c r="D6" s="37">
        <f>IF(ISERROR(TER_kantoor_gas_kWh/1000),0,TER_kantoor_gas_kWh/1000)*0.903</f>
        <v>3902.6717706899899</v>
      </c>
      <c r="E6" s="33">
        <f>$C$26*'E Balans VL '!I12/100/3.6*1000000</f>
        <v>0</v>
      </c>
      <c r="F6" s="33">
        <f>$C$26*('E Balans VL '!L12+'E Balans VL '!N12)/100/3.6*1000000</f>
        <v>315.09741627340043</v>
      </c>
      <c r="G6" s="34"/>
      <c r="H6" s="33"/>
      <c r="I6" s="33"/>
      <c r="J6" s="33">
        <f>$C$26*('E Balans VL '!D12+'E Balans VL '!E12)/100/3.6*1000000</f>
        <v>0</v>
      </c>
      <c r="K6" s="33"/>
      <c r="L6" s="33"/>
      <c r="M6" s="33"/>
      <c r="N6" s="33">
        <f>$C$26*'E Balans VL '!Y12/100/3.6*1000000</f>
        <v>3.1216387034514153</v>
      </c>
      <c r="O6" s="33"/>
      <c r="P6" s="33"/>
      <c r="R6" s="32"/>
    </row>
    <row r="7" spans="1:18">
      <c r="A7" s="32" t="s">
        <v>52</v>
      </c>
      <c r="B7" s="37">
        <f t="shared" ref="B7:B12" si="0">B27</f>
        <v>3132.8948463553897</v>
      </c>
      <c r="C7" s="33"/>
      <c r="D7" s="37">
        <f>IF(ISERROR(TER_horeca_gas_kWh/1000),0,TER_horeca_gas_kWh/1000)*0.903</f>
        <v>9731.020822986864</v>
      </c>
      <c r="E7" s="33">
        <f>$C$27*'E Balans VL '!I9/100/3.6*1000000</f>
        <v>0</v>
      </c>
      <c r="F7" s="33">
        <f>$C$27*('E Balans VL '!L9+'E Balans VL '!N9)/100/3.6*1000000</f>
        <v>329.34022905441492</v>
      </c>
      <c r="G7" s="34"/>
      <c r="H7" s="33"/>
      <c r="I7" s="33"/>
      <c r="J7" s="33">
        <f>$C$27*('E Balans VL '!D9+'E Balans VL '!E9)/100/3.6*1000000</f>
        <v>0</v>
      </c>
      <c r="K7" s="33"/>
      <c r="L7" s="33"/>
      <c r="M7" s="33"/>
      <c r="N7" s="33">
        <f>$C$27*'E Balans VL '!Y9/100/3.6*1000000</f>
        <v>35.290503434843956</v>
      </c>
      <c r="O7" s="33"/>
      <c r="P7" s="33"/>
      <c r="R7" s="32"/>
    </row>
    <row r="8" spans="1:18">
      <c r="A8" s="6" t="s">
        <v>51</v>
      </c>
      <c r="B8" s="37">
        <f t="shared" si="0"/>
        <v>3675.78129695282</v>
      </c>
      <c r="C8" s="33"/>
      <c r="D8" s="37">
        <f>IF(ISERROR(TER_handel_gas_kWh/1000),0,TER_handel_gas_kWh/1000)*0.903</f>
        <v>2475.4565094680852</v>
      </c>
      <c r="E8" s="33">
        <f>$C$28*'E Balans VL '!I13/100/3.6*1000000</f>
        <v>0.7923338741464182</v>
      </c>
      <c r="F8" s="33">
        <f>$C$28*('E Balans VL '!L13+'E Balans VL '!N13)/100/3.6*1000000</f>
        <v>516.92968399257188</v>
      </c>
      <c r="G8" s="34"/>
      <c r="H8" s="33"/>
      <c r="I8" s="33"/>
      <c r="J8" s="33">
        <f>$C$28*('E Balans VL '!D13+'E Balans VL '!E13)/100/3.6*1000000</f>
        <v>0</v>
      </c>
      <c r="K8" s="33"/>
      <c r="L8" s="33"/>
      <c r="M8" s="33"/>
      <c r="N8" s="33">
        <f>$C$28*'E Balans VL '!Y13/100/3.6*1000000</f>
        <v>3.526981141444105</v>
      </c>
      <c r="O8" s="33"/>
      <c r="P8" s="33"/>
      <c r="R8" s="32"/>
    </row>
    <row r="9" spans="1:18">
      <c r="A9" s="32" t="s">
        <v>50</v>
      </c>
      <c r="B9" s="37">
        <f t="shared" si="0"/>
        <v>549.91073031292206</v>
      </c>
      <c r="C9" s="33"/>
      <c r="D9" s="37">
        <f>IF(ISERROR(TER_gezond_gas_kWh/1000),0,TER_gezond_gas_kWh/1000)*0.903</f>
        <v>1822.7561430875203</v>
      </c>
      <c r="E9" s="33">
        <f>$C$29*'E Balans VL '!I10/100/3.6*1000000</f>
        <v>0</v>
      </c>
      <c r="F9" s="33">
        <f>$C$29*('E Balans VL '!L10+'E Balans VL '!N10)/100/3.6*1000000</f>
        <v>14.97421834854331</v>
      </c>
      <c r="G9" s="34"/>
      <c r="H9" s="33"/>
      <c r="I9" s="33"/>
      <c r="J9" s="33">
        <f>$C$29*('E Balans VL '!D10+'E Balans VL '!E10)/100/3.6*1000000</f>
        <v>0</v>
      </c>
      <c r="K9" s="33"/>
      <c r="L9" s="33"/>
      <c r="M9" s="33"/>
      <c r="N9" s="33">
        <f>$C$29*'E Balans VL '!Y10/100/3.6*1000000</f>
        <v>3.4864448077924624</v>
      </c>
      <c r="O9" s="33"/>
      <c r="P9" s="33"/>
      <c r="R9" s="32"/>
    </row>
    <row r="10" spans="1:18">
      <c r="A10" s="32" t="s">
        <v>49</v>
      </c>
      <c r="B10" s="37">
        <f t="shared" si="0"/>
        <v>1687.0452345469</v>
      </c>
      <c r="C10" s="33"/>
      <c r="D10" s="37">
        <f>IF(ISERROR(TER_ander_gas_kWh/1000),0,TER_ander_gas_kWh/1000)*0.903</f>
        <v>2827.4793901277903</v>
      </c>
      <c r="E10" s="33">
        <f>$C$30*'E Balans VL '!I14/100/3.6*1000000</f>
        <v>20.558470743172879</v>
      </c>
      <c r="F10" s="33">
        <f>$C$30*('E Balans VL '!L14+'E Balans VL '!N14)/100/3.6*1000000</f>
        <v>1161.368832429582</v>
      </c>
      <c r="G10" s="34"/>
      <c r="H10" s="33"/>
      <c r="I10" s="33"/>
      <c r="J10" s="33">
        <f>$C$30*('E Balans VL '!D14+'E Balans VL '!E14)/100/3.6*1000000</f>
        <v>1.8081658635899351E-2</v>
      </c>
      <c r="K10" s="33"/>
      <c r="L10" s="33"/>
      <c r="M10" s="33"/>
      <c r="N10" s="33">
        <f>$C$30*'E Balans VL '!Y14/100/3.6*1000000</f>
        <v>651.70231740976669</v>
      </c>
      <c r="O10" s="33"/>
      <c r="P10" s="33"/>
      <c r="R10" s="32"/>
    </row>
    <row r="11" spans="1:18">
      <c r="A11" s="32" t="s">
        <v>54</v>
      </c>
      <c r="B11" s="37">
        <f t="shared" si="0"/>
        <v>90.716338774581004</v>
      </c>
      <c r="C11" s="33"/>
      <c r="D11" s="37">
        <f>IF(ISERROR(TER_onderwijs_gas_kWh/1000),0,TER_onderwijs_gas_kWh/1000)*0.903</f>
        <v>0</v>
      </c>
      <c r="E11" s="33">
        <f>$C$31*'E Balans VL '!I11/100/3.6*1000000</f>
        <v>0</v>
      </c>
      <c r="F11" s="33">
        <f>$C$31*('E Balans VL '!L11+'E Balans VL '!N11)/100/3.6*1000000</f>
        <v>3.7910860993642288</v>
      </c>
      <c r="G11" s="34"/>
      <c r="H11" s="33"/>
      <c r="I11" s="33"/>
      <c r="J11" s="33">
        <f>$C$31*('E Balans VL '!D11+'E Balans VL '!E11)/100/3.6*1000000</f>
        <v>0</v>
      </c>
      <c r="K11" s="33"/>
      <c r="L11" s="33"/>
      <c r="M11" s="33"/>
      <c r="N11" s="33">
        <f>$C$31*'E Balans VL '!Y11/100/3.6*1000000</f>
        <v>0.2254735448429</v>
      </c>
      <c r="O11" s="33"/>
      <c r="P11" s="33"/>
      <c r="R11" s="32"/>
    </row>
    <row r="12" spans="1:18">
      <c r="A12" s="32" t="s">
        <v>249</v>
      </c>
      <c r="B12" s="37">
        <f t="shared" si="0"/>
        <v>0</v>
      </c>
      <c r="C12" s="33"/>
      <c r="D12" s="37">
        <f>IF(ISERROR(TER_rest_gas_kWh/1000),0,TER_rest_gas_kWh/1000)*0.903</f>
        <v>30.625746149223236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11892.394794201762</v>
      </c>
      <c r="C16" s="21">
        <f t="shared" ca="1" si="1"/>
        <v>0</v>
      </c>
      <c r="D16" s="21">
        <f t="shared" ca="1" si="1"/>
        <v>20790.010382509474</v>
      </c>
      <c r="E16" s="21">
        <f t="shared" ca="1" si="1"/>
        <v>21.350804617319298</v>
      </c>
      <c r="F16" s="21">
        <f t="shared" ca="1" si="1"/>
        <v>2341.5014661978767</v>
      </c>
      <c r="G16" s="21">
        <f t="shared" si="1"/>
        <v>0</v>
      </c>
      <c r="H16" s="21">
        <f t="shared" si="1"/>
        <v>0</v>
      </c>
      <c r="I16" s="21">
        <f t="shared" si="1"/>
        <v>0</v>
      </c>
      <c r="J16" s="21">
        <f t="shared" si="1"/>
        <v>1.8081658635899351E-2</v>
      </c>
      <c r="K16" s="21">
        <f t="shared" si="1"/>
        <v>0</v>
      </c>
      <c r="L16" s="21">
        <f t="shared" ca="1" si="1"/>
        <v>0</v>
      </c>
      <c r="M16" s="21">
        <f t="shared" si="1"/>
        <v>0</v>
      </c>
      <c r="N16" s="21">
        <f t="shared" ca="1" si="1"/>
        <v>697.35335904214151</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3.68381322726275E-2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438.0936124671112</v>
      </c>
      <c r="C20" s="23">
        <f t="shared" ref="C20:P20" ca="1" si="2">C16*C18</f>
        <v>0</v>
      </c>
      <c r="D20" s="23">
        <f t="shared" ca="1" si="2"/>
        <v>4199.5820972669144</v>
      </c>
      <c r="E20" s="23">
        <f t="shared" ca="1" si="2"/>
        <v>4.8466326481314805</v>
      </c>
      <c r="F20" s="23">
        <f t="shared" ca="1" si="2"/>
        <v>625.18089147483306</v>
      </c>
      <c r="G20" s="23">
        <f t="shared" si="2"/>
        <v>0</v>
      </c>
      <c r="H20" s="23">
        <f t="shared" si="2"/>
        <v>0</v>
      </c>
      <c r="I20" s="23">
        <f t="shared" si="2"/>
        <v>0</v>
      </c>
      <c r="J20" s="23">
        <f t="shared" si="2"/>
        <v>6.4009071571083697E-3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2756.04634725915</v>
      </c>
      <c r="C26" s="39">
        <f>IF(ISERROR(B26*3.6/1000000/'E Balans VL '!Z12*100),0,B26*3.6/1000000/'E Balans VL '!Z12*100)</f>
        <v>8.4720999682836085E-2</v>
      </c>
      <c r="D26" s="232" t="s">
        <v>768</v>
      </c>
      <c r="F26" s="6"/>
    </row>
    <row r="27" spans="1:18" ht="30">
      <c r="A27" s="227" t="s">
        <v>52</v>
      </c>
      <c r="B27" s="33">
        <f>IF(ISERROR(TER_horeca_ele_kWh/1000),0,TER_horeca_ele_kWh/1000)</f>
        <v>3132.8948463553897</v>
      </c>
      <c r="C27" s="39">
        <f>IF(ISERROR(B27*3.6/1000000/'E Balans VL '!Z9*100),0,B27*3.6/1000000/'E Balans VL '!Z9*100)</f>
        <v>0.25438619750915553</v>
      </c>
      <c r="D27" s="232" t="s">
        <v>768</v>
      </c>
      <c r="F27" s="6"/>
    </row>
    <row r="28" spans="1:18" ht="30">
      <c r="A28" s="167" t="s">
        <v>51</v>
      </c>
      <c r="B28" s="33">
        <f>IF(ISERROR(TER_handel_ele_kWh/1000),0,TER_handel_ele_kWh/1000)</f>
        <v>3675.78129695282</v>
      </c>
      <c r="C28" s="39">
        <f>IF(ISERROR(B28*3.6/1000000/'E Balans VL '!Z13*100),0,B28*3.6/1000000/'E Balans VL '!Z13*100)</f>
        <v>0.12086449732713735</v>
      </c>
      <c r="D28" s="232" t="s">
        <v>768</v>
      </c>
      <c r="F28" s="6"/>
    </row>
    <row r="29" spans="1:18" ht="30">
      <c r="A29" s="227" t="s">
        <v>50</v>
      </c>
      <c r="B29" s="33">
        <f>IF(ISERROR(TER_gezond_ele_kWh/1000),0,TER_gezond_ele_kWh/1000)</f>
        <v>549.91073031292206</v>
      </c>
      <c r="C29" s="39">
        <f>IF(ISERROR(B29*3.6/1000000/'E Balans VL '!Z10*100),0,B29*3.6/1000000/'E Balans VL '!Z10*100)</f>
        <v>5.3654661953080239E-2</v>
      </c>
      <c r="D29" s="232" t="s">
        <v>768</v>
      </c>
      <c r="F29" s="6"/>
    </row>
    <row r="30" spans="1:18" ht="30">
      <c r="A30" s="227" t="s">
        <v>49</v>
      </c>
      <c r="B30" s="33">
        <f>IF(ISERROR(TER_ander_ele_kWh/1000),0,TER_ander_ele_kWh/1000)</f>
        <v>1687.0452345469</v>
      </c>
      <c r="C30" s="39">
        <f>IF(ISERROR(B30*3.6/1000000/'E Balans VL '!Z14*100),0,B30*3.6/1000000/'E Balans VL '!Z14*100)</f>
        <v>7.4054574618017802E-2</v>
      </c>
      <c r="D30" s="232" t="s">
        <v>768</v>
      </c>
      <c r="F30" s="6"/>
    </row>
    <row r="31" spans="1:18" ht="30">
      <c r="A31" s="227" t="s">
        <v>54</v>
      </c>
      <c r="B31" s="33">
        <f>IF(ISERROR(TER_onderwijs_ele_kWh/1000),0,TER_onderwijs_ele_kWh/1000)</f>
        <v>90.716338774581004</v>
      </c>
      <c r="C31" s="39">
        <f>IF(ISERROR(B31*3.6/1000000/'E Balans VL '!Z11*100),0,B31*3.6/1000000/'E Balans VL '!Z11*100)</f>
        <v>3.1077937567076951E-2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39208.180581304012</v>
      </c>
      <c r="C5" s="17">
        <f>IF(ISERROR('Eigen informatie GS &amp; warmtenet'!B61),0,'Eigen informatie GS &amp; warmtenet'!B61)</f>
        <v>0</v>
      </c>
      <c r="D5" s="30">
        <f>SUM(D6:D15)</f>
        <v>167137.20068351095</v>
      </c>
      <c r="E5" s="17">
        <f>SUM(E6:E15)</f>
        <v>6469.0099076306697</v>
      </c>
      <c r="F5" s="17">
        <f>SUM(F6:F15)</f>
        <v>3297.3808052856361</v>
      </c>
      <c r="G5" s="18"/>
      <c r="H5" s="17"/>
      <c r="I5" s="17"/>
      <c r="J5" s="17">
        <f>SUM(J6:J15)</f>
        <v>0.56760782310797586</v>
      </c>
      <c r="K5" s="17"/>
      <c r="L5" s="17"/>
      <c r="M5" s="17"/>
      <c r="N5" s="17">
        <f>SUM(N6:N15)</f>
        <v>84.809884725875776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173.94768476816299</v>
      </c>
      <c r="C8" s="33"/>
      <c r="D8" s="37">
        <f>IF( ISERROR(IND_metaal_Gas_kWH/1000),0,IND_metaal_Gas_kWH/1000)*0.903</f>
        <v>76.635076526294839</v>
      </c>
      <c r="E8" s="33">
        <f>C30*'E Balans VL '!I18/100/3.6*1000000</f>
        <v>0.50650790653027877</v>
      </c>
      <c r="F8" s="33">
        <f>C30*'E Balans VL '!L18/100/3.6*1000000+C30*'E Balans VL '!N18/100/3.6*1000000</f>
        <v>6.6851672392359163</v>
      </c>
      <c r="G8" s="34"/>
      <c r="H8" s="33"/>
      <c r="I8" s="33"/>
      <c r="J8" s="40">
        <f>C30*'E Balans VL '!D18/100/3.6*1000000+C30*'E Balans VL '!E18/100/3.6*1000000</f>
        <v>4.7002628533119906E-16</v>
      </c>
      <c r="K8" s="33"/>
      <c r="L8" s="33"/>
      <c r="M8" s="33"/>
      <c r="N8" s="33">
        <f>C30*'E Balans VL '!Y18/100/3.6*1000000</f>
        <v>2.5800555088933459</v>
      </c>
      <c r="O8" s="33"/>
      <c r="P8" s="33"/>
      <c r="R8" s="32"/>
    </row>
    <row r="9" spans="1:18">
      <c r="A9" s="6" t="s">
        <v>32</v>
      </c>
      <c r="B9" s="37">
        <f t="shared" si="0"/>
        <v>859.92503361017805</v>
      </c>
      <c r="C9" s="33"/>
      <c r="D9" s="37">
        <f>IF( ISERROR(IND_andere_gas_kWh/1000),0,IND_andere_gas_kWh/1000)*0.903</f>
        <v>927.82389262637639</v>
      </c>
      <c r="E9" s="33">
        <f>C31*'E Balans VL '!I19/100/3.6*1000000</f>
        <v>4.3608114124367443</v>
      </c>
      <c r="F9" s="33">
        <f>C31*'E Balans VL '!L19/100/3.6*1000000+C31*'E Balans VL '!N19/100/3.6*1000000</f>
        <v>650.80650565275721</v>
      </c>
      <c r="G9" s="34"/>
      <c r="H9" s="33"/>
      <c r="I9" s="33"/>
      <c r="J9" s="40">
        <f>C31*'E Balans VL '!D19/100/3.6*1000000+C31*'E Balans VL '!E19/100/3.6*1000000</f>
        <v>0</v>
      </c>
      <c r="K9" s="33"/>
      <c r="L9" s="33"/>
      <c r="M9" s="33"/>
      <c r="N9" s="33">
        <f>C31*'E Balans VL '!Y19/100/3.6*1000000</f>
        <v>31.654865226026327</v>
      </c>
      <c r="O9" s="33"/>
      <c r="P9" s="33"/>
      <c r="R9" s="32"/>
    </row>
    <row r="10" spans="1:18">
      <c r="A10" s="6" t="s">
        <v>40</v>
      </c>
      <c r="B10" s="37">
        <f t="shared" si="0"/>
        <v>610.68942198850596</v>
      </c>
      <c r="C10" s="33"/>
      <c r="D10" s="37">
        <f>IF( ISERROR(IND_voed_gas_kWh/1000),0,IND_voed_gas_kWh/1000)*0.903</f>
        <v>391.35091855765074</v>
      </c>
      <c r="E10" s="33">
        <f>C32*'E Balans VL '!I20/100/3.6*1000000</f>
        <v>0.71414322313811229</v>
      </c>
      <c r="F10" s="33">
        <f>C32*'E Balans VL '!L20/100/3.6*1000000+C32*'E Balans VL '!N20/100/3.6*1000000</f>
        <v>28.51656731929717</v>
      </c>
      <c r="G10" s="34"/>
      <c r="H10" s="33"/>
      <c r="I10" s="33"/>
      <c r="J10" s="40">
        <f>C32*'E Balans VL '!D20/100/3.6*1000000+C32*'E Balans VL '!E20/100/3.6*1000000</f>
        <v>0</v>
      </c>
      <c r="K10" s="33"/>
      <c r="L10" s="33"/>
      <c r="M10" s="33"/>
      <c r="N10" s="33">
        <f>C32*'E Balans VL '!Y20/100/3.6*1000000</f>
        <v>35.023029512133448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86.130600944178909</v>
      </c>
      <c r="C13" s="33"/>
      <c r="D13" s="37">
        <f>IF( ISERROR(IND_papier_gas_kWh/1000),0,IND_papier_gas_kWh/1000)*0.903</f>
        <v>0</v>
      </c>
      <c r="E13" s="33">
        <f>C35*'E Balans VL '!I23/100/3.6*1000000</f>
        <v>0</v>
      </c>
      <c r="F13" s="33">
        <f>C35*'E Balans VL '!L23/100/3.6*1000000+C35*'E Balans VL '!N23/100/3.6*1000000</f>
        <v>10.290077950580919</v>
      </c>
      <c r="G13" s="34"/>
      <c r="H13" s="33"/>
      <c r="I13" s="33"/>
      <c r="J13" s="40">
        <f>C35*'E Balans VL '!D23/100/3.6*1000000+C35*'E Balans VL '!E23/100/3.6*1000000</f>
        <v>0.51978426919166409</v>
      </c>
      <c r="K13" s="33"/>
      <c r="L13" s="33"/>
      <c r="M13" s="33"/>
      <c r="N13" s="33">
        <f>C35*'E Balans VL '!Y23/100/3.6*1000000</f>
        <v>-6.9220570059787132</v>
      </c>
      <c r="O13" s="33"/>
      <c r="P13" s="33"/>
      <c r="R13" s="32"/>
    </row>
    <row r="14" spans="1:18">
      <c r="A14" s="6" t="s">
        <v>33</v>
      </c>
      <c r="B14" s="37">
        <f t="shared" si="0"/>
        <v>37468.855589792896</v>
      </c>
      <c r="C14" s="33"/>
      <c r="D14" s="37">
        <f>IF( ISERROR(IND_chemie_gas_kWh/1000),0,IND_chemie_gas_kWh/1000)*0.903</f>
        <v>0</v>
      </c>
      <c r="E14" s="33">
        <f>C36*'E Balans VL '!I24/100/3.6*1000000</f>
        <v>6462.978852295214</v>
      </c>
      <c r="F14" s="33">
        <f>C36*'E Balans VL '!L24/100/3.6*1000000+C36*'E Balans VL '!N24/100/3.6*1000000</f>
        <v>2599.3980619821232</v>
      </c>
      <c r="G14" s="34"/>
      <c r="H14" s="33"/>
      <c r="I14" s="33"/>
      <c r="J14" s="40">
        <f>C36*'E Balans VL '!D24/100/3.6*1000000+C36*'E Balans VL '!E24/100/3.6*1000000</f>
        <v>0</v>
      </c>
      <c r="K14" s="33"/>
      <c r="L14" s="33"/>
      <c r="M14" s="33"/>
      <c r="N14" s="33">
        <f>C36*'E Balans VL '!Y24/100/3.6*1000000</f>
        <v>22.177629247956379</v>
      </c>
      <c r="O14" s="33"/>
      <c r="P14" s="33"/>
      <c r="R14" s="32"/>
    </row>
    <row r="15" spans="1:18">
      <c r="A15" s="6" t="s">
        <v>259</v>
      </c>
      <c r="B15" s="37">
        <f t="shared" si="0"/>
        <v>8.6322502000914998</v>
      </c>
      <c r="C15" s="33"/>
      <c r="D15" s="37">
        <f>IF( ISERROR(IND_rest_gas_kWh/1000),0,IND_rest_gas_kWh/1000)*0.903</f>
        <v>165741.39079580063</v>
      </c>
      <c r="E15" s="33">
        <f>C37*'E Balans VL '!I15/100/3.6*1000000</f>
        <v>0.44959279335012059</v>
      </c>
      <c r="F15" s="33">
        <f>C37*'E Balans VL '!L15/100/3.6*1000000+C37*'E Balans VL '!N15/100/3.6*1000000</f>
        <v>1.6844251416419791</v>
      </c>
      <c r="G15" s="34"/>
      <c r="H15" s="33"/>
      <c r="I15" s="33"/>
      <c r="J15" s="40">
        <f>C37*'E Balans VL '!D15/100/3.6*1000000+C37*'E Balans VL '!E15/100/3.6*1000000</f>
        <v>4.7823553916311323E-2</v>
      </c>
      <c r="K15" s="33"/>
      <c r="L15" s="33"/>
      <c r="M15" s="33"/>
      <c r="N15" s="33">
        <f>C37*'E Balans VL '!Y15/100/3.6*1000000</f>
        <v>0.2963622368449994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39208.180581304012</v>
      </c>
      <c r="C18" s="21">
        <f>C5+C16</f>
        <v>0</v>
      </c>
      <c r="D18" s="21">
        <f>MAX((D5+D16),0)</f>
        <v>167137.20068351095</v>
      </c>
      <c r="E18" s="21">
        <f>MAX((E5+E16),0)</f>
        <v>6469.0099076306697</v>
      </c>
      <c r="F18" s="21">
        <f>MAX((F5+F16),0)</f>
        <v>3297.3808052856361</v>
      </c>
      <c r="G18" s="21"/>
      <c r="H18" s="21"/>
      <c r="I18" s="21"/>
      <c r="J18" s="21">
        <f>MAX((J5+J16),0)</f>
        <v>0.56760782310797586</v>
      </c>
      <c r="K18" s="21"/>
      <c r="L18" s="21">
        <f>MAX((L5+L16),0)</f>
        <v>0</v>
      </c>
      <c r="M18" s="21"/>
      <c r="N18" s="21">
        <f>MAX((N5+N16),0)</f>
        <v>84.809884725875776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3.68381322726275E-2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1444.356142423142</v>
      </c>
      <c r="C22" s="23">
        <f ca="1">C18*C20</f>
        <v>0</v>
      </c>
      <c r="D22" s="23">
        <f>D18*D20</f>
        <v>33761.714538069216</v>
      </c>
      <c r="E22" s="23">
        <f>E18*E20</f>
        <v>1468.4652490321621</v>
      </c>
      <c r="F22" s="23">
        <f>F18*F20</f>
        <v>880.40067501126487</v>
      </c>
      <c r="G22" s="23"/>
      <c r="H22" s="23"/>
      <c r="I22" s="23"/>
      <c r="J22" s="23">
        <f>J18*J20</f>
        <v>0.20093316938022343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173.94768476816299</v>
      </c>
      <c r="C30" s="39">
        <f>IF(ISERROR(B30*3.6/1000000/'E Balans VL '!Z18*100),0,B30*3.6/1000000/'E Balans VL '!Z18*100)</f>
        <v>1.2192826771998299E-2</v>
      </c>
      <c r="D30" s="232" t="s">
        <v>768</v>
      </c>
    </row>
    <row r="31" spans="1:18" ht="30">
      <c r="A31" s="6" t="s">
        <v>32</v>
      </c>
      <c r="B31" s="37">
        <f>IF( ISERROR(IND_ander_ele_kWh/1000),0,IND_ander_ele_kWh/1000)</f>
        <v>859.92503361017805</v>
      </c>
      <c r="C31" s="39">
        <f>IF(ISERROR(B31*3.6/1000000/'E Balans VL '!Z19*100),0,B31*3.6/1000000/'E Balans VL '!Z19*100)</f>
        <v>4.0289824528638184E-2</v>
      </c>
      <c r="D31" s="232" t="s">
        <v>768</v>
      </c>
    </row>
    <row r="32" spans="1:18" ht="30">
      <c r="A32" s="167" t="s">
        <v>40</v>
      </c>
      <c r="B32" s="37">
        <f>IF( ISERROR(IND_voed_ele_kWh/1000),0,IND_voed_ele_kWh/1000)</f>
        <v>610.68942198850596</v>
      </c>
      <c r="C32" s="39">
        <f>IF(ISERROR(B32*3.6/1000000/'E Balans VL '!Z20*100),0,B32*3.6/1000000/'E Balans VL '!Z20*100)</f>
        <v>2.0157736115863249E-2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86.130600944178909</v>
      </c>
      <c r="C35" s="39">
        <f>IF(ISERROR(B35*3.6/1000000/'E Balans VL '!Z22*100),0,B35*3.6/1000000/'E Balans VL '!Z22*100)</f>
        <v>3.614256698718301E-2</v>
      </c>
      <c r="D35" s="232" t="s">
        <v>768</v>
      </c>
    </row>
    <row r="36" spans="1:5" ht="30">
      <c r="A36" s="167" t="s">
        <v>33</v>
      </c>
      <c r="B36" s="37">
        <f>IF( ISERROR(IND_chemie_ele_kWh/1000),0,IND_chemie_ele_kWh/1000)</f>
        <v>37468.855589792896</v>
      </c>
      <c r="C36" s="39">
        <f>IF(ISERROR(B36*3.6/1000000/'E Balans VL '!Z24*100),0,B36*3.6/1000000/'E Balans VL '!Z24*100)</f>
        <v>1.2063805986735927</v>
      </c>
      <c r="D36" s="232" t="s">
        <v>768</v>
      </c>
    </row>
    <row r="37" spans="1:5" ht="30">
      <c r="A37" s="167" t="s">
        <v>259</v>
      </c>
      <c r="B37" s="37">
        <f>IF( ISERROR(IND_rest_ele_kWh/1000),0,IND_rest_ele_kWh/1000)</f>
        <v>8.6322502000914998</v>
      </c>
      <c r="C37" s="39">
        <f>IF(ISERROR(B37*3.6/1000000/'E Balans VL '!Z15*100),0,B37*3.6/1000000/'E Balans VL '!Z15*100)</f>
        <v>7.9467396130196601E-5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263.37210988022298</v>
      </c>
      <c r="C5" s="17">
        <f>'Eigen informatie GS &amp; warmtenet'!B62</f>
        <v>0</v>
      </c>
      <c r="D5" s="30">
        <f>IF(ISERROR(SUM(LB_lb_gas_kWh,LB_rest_gas_kWh)/1000),0,SUM(LB_lb_gas_kWh,LB_rest_gas_kWh)/1000)*0.903</f>
        <v>41.361709215183261</v>
      </c>
      <c r="E5" s="17">
        <f>B17*'E Balans VL '!I25/3.6*1000000/100</f>
        <v>8.8813109811832689</v>
      </c>
      <c r="F5" s="17">
        <f>B17*('E Balans VL '!L25/3.6*1000000+'E Balans VL '!N25/3.6*1000000)/100</f>
        <v>912.50340067688796</v>
      </c>
      <c r="G5" s="18"/>
      <c r="H5" s="17"/>
      <c r="I5" s="17"/>
      <c r="J5" s="17">
        <f>('E Balans VL '!D25+'E Balans VL '!E25)/3.6*1000000*landbouw!B17/100</f>
        <v>57.165834419853041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263.37210988022298</v>
      </c>
      <c r="C8" s="21">
        <f>C5+C6</f>
        <v>0</v>
      </c>
      <c r="D8" s="21">
        <f>MAX((D5+D6),0)</f>
        <v>41.361709215183261</v>
      </c>
      <c r="E8" s="21">
        <f>MAX((E5+E6),0)</f>
        <v>8.8813109811832689</v>
      </c>
      <c r="F8" s="21">
        <f>MAX((F5+F6),0)</f>
        <v>912.50340067688796</v>
      </c>
      <c r="G8" s="21"/>
      <c r="H8" s="21"/>
      <c r="I8" s="21"/>
      <c r="J8" s="21">
        <f>MAX((J5+J6),0)</f>
        <v>57.165834419853041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3.68381322726275E-2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9.7021366206886377</v>
      </c>
      <c r="C12" s="23">
        <f ca="1">C8*C10</f>
        <v>0</v>
      </c>
      <c r="D12" s="23">
        <f>D8*D10</f>
        <v>8.3550652614670184</v>
      </c>
      <c r="E12" s="23">
        <f>E8*E10</f>
        <v>2.0160575927286022</v>
      </c>
      <c r="F12" s="23">
        <f>F8*F10</f>
        <v>243.63840798072911</v>
      </c>
      <c r="G12" s="23"/>
      <c r="H12" s="23"/>
      <c r="I12" s="23"/>
      <c r="J12" s="23">
        <f>J8*J10</f>
        <v>20.236705384627975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3.7622577596383641E-2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22.056037020197227</v>
      </c>
      <c r="C26" s="242">
        <f>B26*'GWP N2O_CH4'!B5</f>
        <v>463.17677742414179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6.3944202251525075</v>
      </c>
      <c r="C27" s="242">
        <f>B27*'GWP N2O_CH4'!B5</f>
        <v>134.28282472820266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0.35706850417574382</v>
      </c>
      <c r="C28" s="242">
        <f>B28*'GWP N2O_CH4'!B4</f>
        <v>110.69123629448059</v>
      </c>
      <c r="D28" s="50"/>
    </row>
    <row r="29" spans="1:4">
      <c r="A29" s="41" t="s">
        <v>266</v>
      </c>
      <c r="B29" s="242">
        <f>B34*'ha_N2O bodem landbouw'!B4</f>
        <v>3.1730066770386691</v>
      </c>
      <c r="C29" s="242">
        <f>B29*'GWP N2O_CH4'!B4</f>
        <v>983.63206988198738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6.9566961036131628E-4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1.7504773295113423E-3</v>
      </c>
      <c r="C5" s="428" t="s">
        <v>204</v>
      </c>
      <c r="D5" s="413">
        <f>SUM(D6:D11)</f>
        <v>1.5063691180329311E-3</v>
      </c>
      <c r="E5" s="413">
        <f>SUM(E6:E11)</f>
        <v>5.5332118186367588E-4</v>
      </c>
      <c r="F5" s="426" t="s">
        <v>204</v>
      </c>
      <c r="G5" s="413">
        <f>SUM(G6:G11)</f>
        <v>0.28948643843753896</v>
      </c>
      <c r="H5" s="413">
        <f>SUM(H6:H11)</f>
        <v>7.3271302866216026E-2</v>
      </c>
      <c r="I5" s="428" t="s">
        <v>204</v>
      </c>
      <c r="J5" s="428" t="s">
        <v>204</v>
      </c>
      <c r="K5" s="428" t="s">
        <v>204</v>
      </c>
      <c r="L5" s="428" t="s">
        <v>204</v>
      </c>
      <c r="M5" s="413">
        <f>SUM(M6:M11)</f>
        <v>3.8709605852065149E-2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7.1220641168781899E-4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6.5654690068681846E-4</v>
      </c>
      <c r="E6" s="839">
        <f>vkm_GW_PW*SUMIFS(TableVerdeelsleutelVkm[LPG],TableVerdeelsleutelVkm[Voertuigtype],"Lichte voertuigen")*SUMIFS(TableECFTransport[EnergieConsumptieFactor (PJ per km)],TableECFTransport[Index],CONCATENATE($A6,"_LPG_LPG"))</f>
        <v>2.2072417330115717E-4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6.2469090013414857E-2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3.1234679482074649E-2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9.6803880162105622E-3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2.9886956009792107E-6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6.6105201228636445E-2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4.7643987645989016E-7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7.399783702371379E-3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1.8018268236606825E-4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2.1551687100265714E-4</v>
      </c>
      <c r="E8" s="416">
        <f>vkm_NGW_PW*SUMIFS(TableVerdeelsleutelVkm[LPG],TableVerdeelsleutelVkm[Voertuigtype],"Lichte voertuigen")*SUMIFS(TableECFTransport[EnergieConsumptieFactor (PJ per km)],TableECFTransport[Index],CONCATENATE($A8,"_LPG_LPG"))</f>
        <v>6.9194045296049181E-5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1.7926010093576434E-2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1.0058901866097911E-2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2.8721614659778082E-3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3.6041148948296172E-8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1.0262538433825415E-3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6.9349205919084167E-9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1.1487831060136484E-4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8.5144383009422048E-4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6.3430534634345537E-4</v>
      </c>
      <c r="E10" s="416">
        <f>vkm_SW_PW*SUMIFS(TableVerdeelsleutelVkm[LPG],TableVerdeelsleutelVkm[Voertuigtype],"Lichte voertuigen")*SUMIFS(TableECFTransport[EnergieConsumptieFactor (PJ per km)],TableECFTransport[Index],CONCATENATE($A10,"_LPG_LPG"))</f>
        <v>2.6340296326646956E-4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6.6644772737629324E-2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3.1976644226364238E-2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1.0211653542653017E-2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3.6196686133072208E-6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7.5315110520899356E-2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5.9391688217968997E-7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8.4307408142510129E-3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486.24370264203952</v>
      </c>
      <c r="C14" s="21"/>
      <c r="D14" s="21">
        <f t="shared" ref="D14:M14" si="0">((D5)*10^9/3600)+D12</f>
        <v>418.43586612025865</v>
      </c>
      <c r="E14" s="21">
        <f t="shared" si="0"/>
        <v>153.70032829546551</v>
      </c>
      <c r="F14" s="21"/>
      <c r="G14" s="21">
        <f t="shared" si="0"/>
        <v>80412.899565983054</v>
      </c>
      <c r="H14" s="21">
        <f t="shared" si="0"/>
        <v>20353.139685060007</v>
      </c>
      <c r="I14" s="21"/>
      <c r="J14" s="21"/>
      <c r="K14" s="21"/>
      <c r="L14" s="21"/>
      <c r="M14" s="21">
        <f t="shared" si="0"/>
        <v>10752.668292240318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3.68381322726275E-2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17.912309834659606</v>
      </c>
      <c r="C18" s="23"/>
      <c r="D18" s="23">
        <f t="shared" ref="D18:M18" si="1">D14*D16</f>
        <v>84.524044956292258</v>
      </c>
      <c r="E18" s="23">
        <f t="shared" si="1"/>
        <v>34.88997452307067</v>
      </c>
      <c r="F18" s="23"/>
      <c r="G18" s="23">
        <f t="shared" si="1"/>
        <v>21470.244184117477</v>
      </c>
      <c r="H18" s="23">
        <f t="shared" si="1"/>
        <v>5067.9317815799413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3.9937057718962829E-5</v>
      </c>
      <c r="C50" s="312">
        <f t="shared" ref="C50:P50" si="2">SUM(C51:C52)</f>
        <v>0</v>
      </c>
      <c r="D50" s="312">
        <f t="shared" si="2"/>
        <v>0</v>
      </c>
      <c r="E50" s="312">
        <f t="shared" si="2"/>
        <v>0</v>
      </c>
      <c r="F50" s="312">
        <f t="shared" si="2"/>
        <v>0</v>
      </c>
      <c r="G50" s="312">
        <f t="shared" si="2"/>
        <v>1.6400846696061411E-3</v>
      </c>
      <c r="H50" s="312">
        <f t="shared" si="2"/>
        <v>0</v>
      </c>
      <c r="I50" s="312">
        <f t="shared" si="2"/>
        <v>0</v>
      </c>
      <c r="J50" s="312">
        <f t="shared" si="2"/>
        <v>0</v>
      </c>
      <c r="K50" s="312">
        <f t="shared" si="2"/>
        <v>0</v>
      </c>
      <c r="L50" s="312">
        <f t="shared" si="2"/>
        <v>0</v>
      </c>
      <c r="M50" s="312">
        <f t="shared" si="2"/>
        <v>1.8358925387705318E-4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3.9937057718962829E-5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1.6400846696061411E-3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1.8358925387705318E-4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11.093627144156342</v>
      </c>
      <c r="C54" s="21">
        <f t="shared" ref="C54:P54" si="3">(C50)*10^9/3600</f>
        <v>0</v>
      </c>
      <c r="D54" s="21">
        <f t="shared" si="3"/>
        <v>0</v>
      </c>
      <c r="E54" s="21">
        <f t="shared" si="3"/>
        <v>0</v>
      </c>
      <c r="F54" s="21">
        <f t="shared" si="3"/>
        <v>0</v>
      </c>
      <c r="G54" s="21">
        <f t="shared" si="3"/>
        <v>455.57907489059471</v>
      </c>
      <c r="H54" s="21">
        <f t="shared" si="3"/>
        <v>0</v>
      </c>
      <c r="I54" s="21">
        <f t="shared" si="3"/>
        <v>0</v>
      </c>
      <c r="J54" s="21">
        <f t="shared" si="3"/>
        <v>0</v>
      </c>
      <c r="K54" s="21">
        <f t="shared" si="3"/>
        <v>0</v>
      </c>
      <c r="L54" s="21">
        <f t="shared" si="3"/>
        <v>0</v>
      </c>
      <c r="M54" s="21">
        <f t="shared" si="3"/>
        <v>50.997014965848109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3.68381322726275E-2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0.40866850411964217</v>
      </c>
      <c r="C58" s="23">
        <f t="shared" ref="C58:P58" ca="1" si="4">C54*C56</f>
        <v>0</v>
      </c>
      <c r="D58" s="23">
        <f t="shared" si="4"/>
        <v>0</v>
      </c>
      <c r="E58" s="23">
        <f t="shared" si="4"/>
        <v>0</v>
      </c>
      <c r="F58" s="23">
        <f t="shared" si="4"/>
        <v>0</v>
      </c>
      <c r="G58" s="23">
        <f t="shared" si="4"/>
        <v>121.6396129957888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47319.295188783515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13964.914661943661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61284.209850727173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12687.563144075611</v>
      </c>
      <c r="D10" s="637">
        <f ca="1">tertiair!C16</f>
        <v>0</v>
      </c>
      <c r="E10" s="637">
        <f ca="1">tertiair!D16</f>
        <v>20790.010382509474</v>
      </c>
      <c r="F10" s="637">
        <f ca="1">tertiair!E16</f>
        <v>21.350804617319298</v>
      </c>
      <c r="G10" s="637">
        <f ca="1">tertiair!F16</f>
        <v>2341.5014661978767</v>
      </c>
      <c r="H10" s="637">
        <f>tertiair!G16</f>
        <v>0</v>
      </c>
      <c r="I10" s="637">
        <f>tertiair!H16</f>
        <v>0</v>
      </c>
      <c r="J10" s="637">
        <f>tertiair!I16</f>
        <v>0</v>
      </c>
      <c r="K10" s="637">
        <f>tertiair!J16</f>
        <v>1.8081658635899351E-2</v>
      </c>
      <c r="L10" s="637">
        <f>tertiair!K16</f>
        <v>0</v>
      </c>
      <c r="M10" s="637">
        <f ca="1">tertiair!L16</f>
        <v>0</v>
      </c>
      <c r="N10" s="637">
        <f>tertiair!M16</f>
        <v>0</v>
      </c>
      <c r="O10" s="637">
        <f ca="1">tertiair!N16</f>
        <v>697.35335904214151</v>
      </c>
      <c r="P10" s="637">
        <f>tertiair!O16</f>
        <v>14.691782297523464</v>
      </c>
      <c r="Q10" s="638">
        <f>tertiair!P16</f>
        <v>0</v>
      </c>
      <c r="R10" s="640">
        <f ca="1">SUM(C10:Q10)</f>
        <v>36552.489020398585</v>
      </c>
      <c r="S10" s="67"/>
    </row>
    <row r="11" spans="1:19" s="439" customFormat="1">
      <c r="A11" s="757" t="s">
        <v>214</v>
      </c>
      <c r="B11" s="762"/>
      <c r="C11" s="637">
        <f>huishoudens!B8</f>
        <v>20042.130424155719</v>
      </c>
      <c r="D11" s="637">
        <f>huishoudens!C8</f>
        <v>0</v>
      </c>
      <c r="E11" s="637">
        <f>huishoudens!D8</f>
        <v>46559.941588257163</v>
      </c>
      <c r="F11" s="637">
        <f>huishoudens!E8</f>
        <v>1623.4299220341104</v>
      </c>
      <c r="G11" s="637">
        <f>huishoudens!F8</f>
        <v>20566.484298656502</v>
      </c>
      <c r="H11" s="637">
        <f>huishoudens!G8</f>
        <v>0</v>
      </c>
      <c r="I11" s="637">
        <f>huishoudens!H8</f>
        <v>0</v>
      </c>
      <c r="J11" s="637">
        <f>huishoudens!I8</f>
        <v>0</v>
      </c>
      <c r="K11" s="637">
        <f>huishoudens!J8</f>
        <v>131.63735063663293</v>
      </c>
      <c r="L11" s="637">
        <f>huishoudens!K8</f>
        <v>0</v>
      </c>
      <c r="M11" s="637">
        <f>huishoudens!L8</f>
        <v>0</v>
      </c>
      <c r="N11" s="637">
        <f>huishoudens!M8</f>
        <v>0</v>
      </c>
      <c r="O11" s="637">
        <f>huishoudens!N8</f>
        <v>6235.1828526737281</v>
      </c>
      <c r="P11" s="637">
        <f>huishoudens!O8</f>
        <v>186.49207262238099</v>
      </c>
      <c r="Q11" s="638">
        <f>huishoudens!P8</f>
        <v>52.669796538425103</v>
      </c>
      <c r="R11" s="640">
        <f>SUM(C11:Q11)</f>
        <v>95397.968305574657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39208.180581304012</v>
      </c>
      <c r="D13" s="637">
        <f>industrie!C18</f>
        <v>0</v>
      </c>
      <c r="E13" s="637">
        <f>industrie!D18</f>
        <v>167137.20068351095</v>
      </c>
      <c r="F13" s="637">
        <f>industrie!E18</f>
        <v>6469.0099076306697</v>
      </c>
      <c r="G13" s="637">
        <f>industrie!F18</f>
        <v>3297.3808052856361</v>
      </c>
      <c r="H13" s="637">
        <f>industrie!G18</f>
        <v>0</v>
      </c>
      <c r="I13" s="637">
        <f>industrie!H18</f>
        <v>0</v>
      </c>
      <c r="J13" s="637">
        <f>industrie!I18</f>
        <v>0</v>
      </c>
      <c r="K13" s="637">
        <f>industrie!J18</f>
        <v>0.56760782310797586</v>
      </c>
      <c r="L13" s="637">
        <f>industrie!K18</f>
        <v>0</v>
      </c>
      <c r="M13" s="637">
        <f>industrie!L18</f>
        <v>0</v>
      </c>
      <c r="N13" s="637">
        <f>industrie!M18</f>
        <v>0</v>
      </c>
      <c r="O13" s="637">
        <f>industrie!N18</f>
        <v>84.809884725875776</v>
      </c>
      <c r="P13" s="637">
        <f>industrie!O18</f>
        <v>0</v>
      </c>
      <c r="Q13" s="638">
        <f>industrie!P18</f>
        <v>0</v>
      </c>
      <c r="R13" s="640">
        <f>SUM(C13:Q13)</f>
        <v>216197.14947028027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71937.874149535346</v>
      </c>
      <c r="D16" s="673">
        <f t="shared" ref="D16:R16" ca="1" si="0">SUM(D9:D15)</f>
        <v>0</v>
      </c>
      <c r="E16" s="673">
        <f t="shared" ca="1" si="0"/>
        <v>234487.15265427757</v>
      </c>
      <c r="F16" s="673">
        <f t="shared" ca="1" si="0"/>
        <v>8113.7906342820988</v>
      </c>
      <c r="G16" s="673">
        <f t="shared" ca="1" si="0"/>
        <v>26205.366570140013</v>
      </c>
      <c r="H16" s="673">
        <f t="shared" si="0"/>
        <v>0</v>
      </c>
      <c r="I16" s="673">
        <f t="shared" si="0"/>
        <v>0</v>
      </c>
      <c r="J16" s="673">
        <f t="shared" si="0"/>
        <v>0</v>
      </c>
      <c r="K16" s="673">
        <f t="shared" si="0"/>
        <v>132.22304011837682</v>
      </c>
      <c r="L16" s="673">
        <f t="shared" si="0"/>
        <v>0</v>
      </c>
      <c r="M16" s="673">
        <f t="shared" ca="1" si="0"/>
        <v>0</v>
      </c>
      <c r="N16" s="673">
        <f t="shared" si="0"/>
        <v>0</v>
      </c>
      <c r="O16" s="673">
        <f t="shared" ca="1" si="0"/>
        <v>7017.3460964417454</v>
      </c>
      <c r="P16" s="673">
        <f t="shared" si="0"/>
        <v>201.18385491990446</v>
      </c>
      <c r="Q16" s="673">
        <f t="shared" si="0"/>
        <v>52.669796538425103</v>
      </c>
      <c r="R16" s="673">
        <f t="shared" ca="1" si="0"/>
        <v>348147.60679625353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11.093627144156342</v>
      </c>
      <c r="D19" s="637">
        <f>transport!C54</f>
        <v>0</v>
      </c>
      <c r="E19" s="637">
        <f>transport!D54</f>
        <v>0</v>
      </c>
      <c r="F19" s="637">
        <f>transport!E54</f>
        <v>0</v>
      </c>
      <c r="G19" s="637">
        <f>transport!F54</f>
        <v>0</v>
      </c>
      <c r="H19" s="637">
        <f>transport!G54</f>
        <v>455.57907489059471</v>
      </c>
      <c r="I19" s="637">
        <f>transport!H54</f>
        <v>0</v>
      </c>
      <c r="J19" s="637">
        <f>transport!I54</f>
        <v>0</v>
      </c>
      <c r="K19" s="637">
        <f>transport!J54</f>
        <v>0</v>
      </c>
      <c r="L19" s="637">
        <f>transport!K54</f>
        <v>0</v>
      </c>
      <c r="M19" s="637">
        <f>transport!L54</f>
        <v>0</v>
      </c>
      <c r="N19" s="637">
        <f>transport!M54</f>
        <v>50.997014965848109</v>
      </c>
      <c r="O19" s="637">
        <f>transport!N54</f>
        <v>0</v>
      </c>
      <c r="P19" s="637">
        <f>transport!O54</f>
        <v>0</v>
      </c>
      <c r="Q19" s="638">
        <f>transport!P54</f>
        <v>0</v>
      </c>
      <c r="R19" s="640">
        <f>SUM(C19:Q19)</f>
        <v>517.66971700059912</v>
      </c>
      <c r="S19" s="67"/>
    </row>
    <row r="20" spans="1:19" s="439" customFormat="1">
      <c r="A20" s="757" t="s">
        <v>294</v>
      </c>
      <c r="B20" s="762"/>
      <c r="C20" s="637">
        <f>transport!B14</f>
        <v>486.24370264203952</v>
      </c>
      <c r="D20" s="637">
        <f>transport!C14</f>
        <v>0</v>
      </c>
      <c r="E20" s="637">
        <f>transport!D14</f>
        <v>418.43586612025865</v>
      </c>
      <c r="F20" s="637">
        <f>transport!E14</f>
        <v>153.70032829546551</v>
      </c>
      <c r="G20" s="637">
        <f>transport!F14</f>
        <v>0</v>
      </c>
      <c r="H20" s="637">
        <f>transport!G14</f>
        <v>80412.899565983054</v>
      </c>
      <c r="I20" s="637">
        <f>transport!H14</f>
        <v>20353.139685060007</v>
      </c>
      <c r="J20" s="637">
        <f>transport!I14</f>
        <v>0</v>
      </c>
      <c r="K20" s="637">
        <f>transport!J14</f>
        <v>0</v>
      </c>
      <c r="L20" s="637">
        <f>transport!K14</f>
        <v>0</v>
      </c>
      <c r="M20" s="637">
        <f>transport!L14</f>
        <v>0</v>
      </c>
      <c r="N20" s="637">
        <f>transport!M14</f>
        <v>10752.668292240318</v>
      </c>
      <c r="O20" s="637">
        <f>transport!N14</f>
        <v>0</v>
      </c>
      <c r="P20" s="637">
        <f>transport!O14</f>
        <v>0</v>
      </c>
      <c r="Q20" s="638">
        <f>transport!P14</f>
        <v>0</v>
      </c>
      <c r="R20" s="640">
        <f>SUM(C20:Q20)</f>
        <v>112577.08744034114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497.33732978619588</v>
      </c>
      <c r="D22" s="760">
        <f t="shared" ref="D22:R22" si="1">SUM(D18:D21)</f>
        <v>0</v>
      </c>
      <c r="E22" s="760">
        <f t="shared" si="1"/>
        <v>418.43586612025865</v>
      </c>
      <c r="F22" s="760">
        <f t="shared" si="1"/>
        <v>153.70032829546551</v>
      </c>
      <c r="G22" s="760">
        <f t="shared" si="1"/>
        <v>0</v>
      </c>
      <c r="H22" s="760">
        <f t="shared" si="1"/>
        <v>80868.478640873655</v>
      </c>
      <c r="I22" s="760">
        <f t="shared" si="1"/>
        <v>20353.139685060007</v>
      </c>
      <c r="J22" s="760">
        <f t="shared" si="1"/>
        <v>0</v>
      </c>
      <c r="K22" s="760">
        <f t="shared" si="1"/>
        <v>0</v>
      </c>
      <c r="L22" s="760">
        <f t="shared" si="1"/>
        <v>0</v>
      </c>
      <c r="M22" s="760">
        <f t="shared" si="1"/>
        <v>0</v>
      </c>
      <c r="N22" s="760">
        <f t="shared" si="1"/>
        <v>10803.665307206165</v>
      </c>
      <c r="O22" s="760">
        <f t="shared" si="1"/>
        <v>0</v>
      </c>
      <c r="P22" s="760">
        <f t="shared" si="1"/>
        <v>0</v>
      </c>
      <c r="Q22" s="760">
        <f t="shared" si="1"/>
        <v>0</v>
      </c>
      <c r="R22" s="760">
        <f t="shared" si="1"/>
        <v>113094.75715734174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263.37210988022298</v>
      </c>
      <c r="D24" s="637">
        <f>+landbouw!C8</f>
        <v>0</v>
      </c>
      <c r="E24" s="637">
        <f>+landbouw!D8</f>
        <v>41.361709215183261</v>
      </c>
      <c r="F24" s="637">
        <f>+landbouw!E8</f>
        <v>8.8813109811832689</v>
      </c>
      <c r="G24" s="637">
        <f>+landbouw!F8</f>
        <v>912.50340067688796</v>
      </c>
      <c r="H24" s="637">
        <f>+landbouw!G8</f>
        <v>0</v>
      </c>
      <c r="I24" s="637">
        <f>+landbouw!H8</f>
        <v>0</v>
      </c>
      <c r="J24" s="637">
        <f>+landbouw!I8</f>
        <v>0</v>
      </c>
      <c r="K24" s="637">
        <f>+landbouw!J8</f>
        <v>57.165834419853041</v>
      </c>
      <c r="L24" s="637">
        <f>+landbouw!K8</f>
        <v>0</v>
      </c>
      <c r="M24" s="637">
        <f>+landbouw!L8</f>
        <v>0</v>
      </c>
      <c r="N24" s="637">
        <f>+landbouw!M8</f>
        <v>0</v>
      </c>
      <c r="O24" s="637">
        <f>+landbouw!N8</f>
        <v>0</v>
      </c>
      <c r="P24" s="637">
        <f>+landbouw!O8</f>
        <v>0</v>
      </c>
      <c r="Q24" s="638">
        <f>+landbouw!P8</f>
        <v>0</v>
      </c>
      <c r="R24" s="640">
        <f>SUM(C24:Q24)</f>
        <v>1283.2843651733306</v>
      </c>
      <c r="S24" s="67"/>
    </row>
    <row r="25" spans="1:19" s="439" customFormat="1" ht="15" thickBot="1">
      <c r="A25" s="779" t="s">
        <v>634</v>
      </c>
      <c r="B25" s="890"/>
      <c r="C25" s="891">
        <f>IF(Onbekend_ele_kWh="---",0,Onbekend_ele_kWh)/1000+IF(REST_rest_ele_kWh="---",0,REST_rest_ele_kWh)/1000</f>
        <v>844.38458410401199</v>
      </c>
      <c r="D25" s="891"/>
      <c r="E25" s="891">
        <f>IF(onbekend_gas_kWh="---",0,onbekend_gas_kWh)/1000+IF(REST_rest_gas_kWh="---",0,REST_rest_gas_kWh)/1000</f>
        <v>2648.4741824706498</v>
      </c>
      <c r="F25" s="891"/>
      <c r="G25" s="891"/>
      <c r="H25" s="891"/>
      <c r="I25" s="891"/>
      <c r="J25" s="891"/>
      <c r="K25" s="891"/>
      <c r="L25" s="891"/>
      <c r="M25" s="891"/>
      <c r="N25" s="891"/>
      <c r="O25" s="891"/>
      <c r="P25" s="891"/>
      <c r="Q25" s="892"/>
      <c r="R25" s="640">
        <f>SUM(C25:Q25)</f>
        <v>3492.8587665746618</v>
      </c>
      <c r="S25" s="67"/>
    </row>
    <row r="26" spans="1:19" s="439" customFormat="1" ht="15.75" thickBot="1">
      <c r="A26" s="645" t="s">
        <v>635</v>
      </c>
      <c r="B26" s="765"/>
      <c r="C26" s="760">
        <f>SUM(C24:C25)</f>
        <v>1107.756693984235</v>
      </c>
      <c r="D26" s="760">
        <f t="shared" ref="D26:R26" si="2">SUM(D24:D25)</f>
        <v>0</v>
      </c>
      <c r="E26" s="760">
        <f t="shared" si="2"/>
        <v>2689.8358916858328</v>
      </c>
      <c r="F26" s="760">
        <f t="shared" si="2"/>
        <v>8.8813109811832689</v>
      </c>
      <c r="G26" s="760">
        <f t="shared" si="2"/>
        <v>912.50340067688796</v>
      </c>
      <c r="H26" s="760">
        <f t="shared" si="2"/>
        <v>0</v>
      </c>
      <c r="I26" s="760">
        <f t="shared" si="2"/>
        <v>0</v>
      </c>
      <c r="J26" s="760">
        <f t="shared" si="2"/>
        <v>0</v>
      </c>
      <c r="K26" s="760">
        <f t="shared" si="2"/>
        <v>57.165834419853041</v>
      </c>
      <c r="L26" s="760">
        <f t="shared" si="2"/>
        <v>0</v>
      </c>
      <c r="M26" s="760">
        <f t="shared" si="2"/>
        <v>0</v>
      </c>
      <c r="N26" s="760">
        <f t="shared" si="2"/>
        <v>0</v>
      </c>
      <c r="O26" s="760">
        <f t="shared" si="2"/>
        <v>0</v>
      </c>
      <c r="P26" s="760">
        <f t="shared" si="2"/>
        <v>0</v>
      </c>
      <c r="Q26" s="760">
        <f t="shared" si="2"/>
        <v>0</v>
      </c>
      <c r="R26" s="760">
        <f t="shared" si="2"/>
        <v>4776.1431317479928</v>
      </c>
      <c r="S26" s="67"/>
    </row>
    <row r="27" spans="1:19" s="439" customFormat="1" ht="17.25" thickTop="1" thickBot="1">
      <c r="A27" s="646" t="s">
        <v>109</v>
      </c>
      <c r="B27" s="752"/>
      <c r="C27" s="647">
        <f ca="1">C22+C16+C26</f>
        <v>73542.968173305781</v>
      </c>
      <c r="D27" s="647">
        <f t="shared" ref="D27:R27" ca="1" si="3">D22+D16+D26</f>
        <v>0</v>
      </c>
      <c r="E27" s="647">
        <f t="shared" ca="1" si="3"/>
        <v>237595.42441208367</v>
      </c>
      <c r="F27" s="647">
        <f t="shared" ca="1" si="3"/>
        <v>8276.3722735587471</v>
      </c>
      <c r="G27" s="647">
        <f t="shared" ca="1" si="3"/>
        <v>27117.869970816901</v>
      </c>
      <c r="H27" s="647">
        <f t="shared" si="3"/>
        <v>80868.478640873655</v>
      </c>
      <c r="I27" s="647">
        <f t="shared" si="3"/>
        <v>20353.139685060007</v>
      </c>
      <c r="J27" s="647">
        <f t="shared" si="3"/>
        <v>0</v>
      </c>
      <c r="K27" s="647">
        <f t="shared" si="3"/>
        <v>189.38887453822986</v>
      </c>
      <c r="L27" s="647">
        <f t="shared" si="3"/>
        <v>0</v>
      </c>
      <c r="M27" s="647">
        <f t="shared" ca="1" si="3"/>
        <v>0</v>
      </c>
      <c r="N27" s="647">
        <f t="shared" si="3"/>
        <v>10803.665307206165</v>
      </c>
      <c r="O27" s="647">
        <f t="shared" ca="1" si="3"/>
        <v>7017.3460964417454</v>
      </c>
      <c r="P27" s="647">
        <f t="shared" si="3"/>
        <v>201.18385491990446</v>
      </c>
      <c r="Q27" s="647">
        <f t="shared" si="3"/>
        <v>52.669796538425103</v>
      </c>
      <c r="R27" s="647">
        <f t="shared" ca="1" si="3"/>
        <v>466018.5070853433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467.38612931877105</v>
      </c>
      <c r="D40" s="637">
        <f ca="1">tertiair!C20</f>
        <v>0</v>
      </c>
      <c r="E40" s="637">
        <f ca="1">tertiair!D20</f>
        <v>4199.5820972669144</v>
      </c>
      <c r="F40" s="637">
        <f ca="1">tertiair!E20</f>
        <v>4.8466326481314805</v>
      </c>
      <c r="G40" s="637">
        <f ca="1">tertiair!F20</f>
        <v>625.18089147483306</v>
      </c>
      <c r="H40" s="637">
        <f>tertiair!G20</f>
        <v>0</v>
      </c>
      <c r="I40" s="637">
        <f>tertiair!H20</f>
        <v>0</v>
      </c>
      <c r="J40" s="637">
        <f>tertiair!I20</f>
        <v>0</v>
      </c>
      <c r="K40" s="637">
        <f>tertiair!J20</f>
        <v>6.4009071571083697E-3</v>
      </c>
      <c r="L40" s="637">
        <f>tertiair!K20</f>
        <v>0</v>
      </c>
      <c r="M40" s="637">
        <f ca="1">tertiair!L20</f>
        <v>0</v>
      </c>
      <c r="N40" s="637">
        <f>tertiair!M20</f>
        <v>0</v>
      </c>
      <c r="O40" s="637">
        <f ca="1">tertiair!N20</f>
        <v>0</v>
      </c>
      <c r="P40" s="637">
        <f>tertiair!O20</f>
        <v>0</v>
      </c>
      <c r="Q40" s="720">
        <f>tertiair!P20</f>
        <v>0</v>
      </c>
      <c r="R40" s="798">
        <f t="shared" ca="1" si="4"/>
        <v>5297.0021516158067</v>
      </c>
    </row>
    <row r="41" spans="1:18">
      <c r="A41" s="770" t="s">
        <v>214</v>
      </c>
      <c r="B41" s="777"/>
      <c r="C41" s="637">
        <f ca="1">huishoudens!B12</f>
        <v>738.31465159030029</v>
      </c>
      <c r="D41" s="637">
        <f ca="1">huishoudens!C12</f>
        <v>0</v>
      </c>
      <c r="E41" s="637">
        <f>huishoudens!D12</f>
        <v>9405.1082008279482</v>
      </c>
      <c r="F41" s="637">
        <f>huishoudens!E12</f>
        <v>368.51859230174307</v>
      </c>
      <c r="G41" s="637">
        <f>huishoudens!F12</f>
        <v>5491.2513077412859</v>
      </c>
      <c r="H41" s="637">
        <f>huishoudens!G12</f>
        <v>0</v>
      </c>
      <c r="I41" s="637">
        <f>huishoudens!H12</f>
        <v>0</v>
      </c>
      <c r="J41" s="637">
        <f>huishoudens!I12</f>
        <v>0</v>
      </c>
      <c r="K41" s="637">
        <f>huishoudens!J12</f>
        <v>46.599622125368057</v>
      </c>
      <c r="L41" s="637">
        <f>huishoudens!K12</f>
        <v>0</v>
      </c>
      <c r="M41" s="637">
        <f>huishoudens!L12</f>
        <v>0</v>
      </c>
      <c r="N41" s="637">
        <f>huishoudens!M12</f>
        <v>0</v>
      </c>
      <c r="O41" s="637">
        <f>huishoudens!N12</f>
        <v>0</v>
      </c>
      <c r="P41" s="637">
        <f>huishoudens!O12</f>
        <v>0</v>
      </c>
      <c r="Q41" s="720">
        <f>huishoudens!P12</f>
        <v>0</v>
      </c>
      <c r="R41" s="798">
        <f t="shared" ca="1" si="4"/>
        <v>16049.792374586646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1444.356142423142</v>
      </c>
      <c r="D43" s="637">
        <f ca="1">industrie!C22</f>
        <v>0</v>
      </c>
      <c r="E43" s="637">
        <f>industrie!D22</f>
        <v>33761.714538069216</v>
      </c>
      <c r="F43" s="637">
        <f>industrie!E22</f>
        <v>1468.4652490321621</v>
      </c>
      <c r="G43" s="637">
        <f>industrie!F22</f>
        <v>880.40067501126487</v>
      </c>
      <c r="H43" s="637">
        <f>industrie!G22</f>
        <v>0</v>
      </c>
      <c r="I43" s="637">
        <f>industrie!H22</f>
        <v>0</v>
      </c>
      <c r="J43" s="637">
        <f>industrie!I22</f>
        <v>0</v>
      </c>
      <c r="K43" s="637">
        <f>industrie!J22</f>
        <v>0.20093316938022343</v>
      </c>
      <c r="L43" s="637">
        <f>industrie!K22</f>
        <v>0</v>
      </c>
      <c r="M43" s="637">
        <f>industrie!L22</f>
        <v>0</v>
      </c>
      <c r="N43" s="637">
        <f>industrie!M22</f>
        <v>0</v>
      </c>
      <c r="O43" s="637">
        <f>industrie!N22</f>
        <v>0</v>
      </c>
      <c r="P43" s="637">
        <f>industrie!O22</f>
        <v>0</v>
      </c>
      <c r="Q43" s="720">
        <f>industrie!P22</f>
        <v>0</v>
      </c>
      <c r="R43" s="797">
        <f t="shared" ca="1" si="4"/>
        <v>37555.137537705166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2650.0569233322135</v>
      </c>
      <c r="D46" s="673">
        <f t="shared" ref="D46:Q46" ca="1" si="5">SUM(D39:D45)</f>
        <v>0</v>
      </c>
      <c r="E46" s="673">
        <f t="shared" ca="1" si="5"/>
        <v>47366.404836164074</v>
      </c>
      <c r="F46" s="673">
        <f t="shared" ca="1" si="5"/>
        <v>1841.8304739820367</v>
      </c>
      <c r="G46" s="673">
        <f t="shared" ca="1" si="5"/>
        <v>6996.8328742273834</v>
      </c>
      <c r="H46" s="673">
        <f t="shared" si="5"/>
        <v>0</v>
      </c>
      <c r="I46" s="673">
        <f t="shared" si="5"/>
        <v>0</v>
      </c>
      <c r="J46" s="673">
        <f t="shared" si="5"/>
        <v>0</v>
      </c>
      <c r="K46" s="673">
        <f t="shared" si="5"/>
        <v>46.806956201905386</v>
      </c>
      <c r="L46" s="673">
        <f t="shared" si="5"/>
        <v>0</v>
      </c>
      <c r="M46" s="673">
        <f t="shared" ca="1" si="5"/>
        <v>0</v>
      </c>
      <c r="N46" s="673">
        <f t="shared" si="5"/>
        <v>0</v>
      </c>
      <c r="O46" s="673">
        <f t="shared" ca="1" si="5"/>
        <v>0</v>
      </c>
      <c r="P46" s="673">
        <f t="shared" si="5"/>
        <v>0</v>
      </c>
      <c r="Q46" s="673">
        <f t="shared" si="5"/>
        <v>0</v>
      </c>
      <c r="R46" s="673">
        <f ca="1">SUM(R39:R45)</f>
        <v>58901.932063907618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0.40866850411964217</v>
      </c>
      <c r="D49" s="637">
        <f ca="1">transport!C58</f>
        <v>0</v>
      </c>
      <c r="E49" s="637">
        <f>transport!D58</f>
        <v>0</v>
      </c>
      <c r="F49" s="637">
        <f>transport!E58</f>
        <v>0</v>
      </c>
      <c r="G49" s="637">
        <f>transport!F58</f>
        <v>0</v>
      </c>
      <c r="H49" s="637">
        <f>transport!G58</f>
        <v>121.6396129957888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122.04828149990844</v>
      </c>
    </row>
    <row r="50" spans="1:18">
      <c r="A50" s="773" t="s">
        <v>294</v>
      </c>
      <c r="B50" s="783"/>
      <c r="C50" s="643">
        <f ca="1">transport!B18</f>
        <v>17.912309834659606</v>
      </c>
      <c r="D50" s="643">
        <f>transport!C18</f>
        <v>0</v>
      </c>
      <c r="E50" s="643">
        <f>transport!D18</f>
        <v>84.524044956292258</v>
      </c>
      <c r="F50" s="643">
        <f>transport!E18</f>
        <v>34.88997452307067</v>
      </c>
      <c r="G50" s="643">
        <f>transport!F18</f>
        <v>0</v>
      </c>
      <c r="H50" s="643">
        <f>transport!G18</f>
        <v>21470.244184117477</v>
      </c>
      <c r="I50" s="643">
        <f>transport!H18</f>
        <v>5067.9317815799413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26675.50229501144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18.320978338779248</v>
      </c>
      <c r="D52" s="673">
        <f t="shared" ref="D52:Q52" ca="1" si="6">SUM(D48:D51)</f>
        <v>0</v>
      </c>
      <c r="E52" s="673">
        <f t="shared" si="6"/>
        <v>84.524044956292258</v>
      </c>
      <c r="F52" s="673">
        <f t="shared" si="6"/>
        <v>34.88997452307067</v>
      </c>
      <c r="G52" s="673">
        <f t="shared" si="6"/>
        <v>0</v>
      </c>
      <c r="H52" s="673">
        <f t="shared" si="6"/>
        <v>21591.883797113267</v>
      </c>
      <c r="I52" s="673">
        <f t="shared" si="6"/>
        <v>5067.9317815799413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26797.550576511348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9.7021366206886377</v>
      </c>
      <c r="D54" s="643">
        <f ca="1">+landbouw!C12</f>
        <v>0</v>
      </c>
      <c r="E54" s="643">
        <f>+landbouw!D12</f>
        <v>8.3550652614670184</v>
      </c>
      <c r="F54" s="643">
        <f>+landbouw!E12</f>
        <v>2.0160575927286022</v>
      </c>
      <c r="G54" s="643">
        <f>+landbouw!F12</f>
        <v>243.63840798072911</v>
      </c>
      <c r="H54" s="643">
        <f>+landbouw!G12</f>
        <v>0</v>
      </c>
      <c r="I54" s="643">
        <f>+landbouw!H12</f>
        <v>0</v>
      </c>
      <c r="J54" s="643">
        <f>+landbouw!I12</f>
        <v>0</v>
      </c>
      <c r="K54" s="643">
        <f>+landbouw!J12</f>
        <v>20.236705384627975</v>
      </c>
      <c r="L54" s="643">
        <f>+landbouw!K12</f>
        <v>0</v>
      </c>
      <c r="M54" s="643">
        <f>+landbouw!L12</f>
        <v>0</v>
      </c>
      <c r="N54" s="643">
        <f>+landbouw!M12</f>
        <v>0</v>
      </c>
      <c r="O54" s="643">
        <f>+landbouw!N12</f>
        <v>0</v>
      </c>
      <c r="P54" s="643">
        <f>+landbouw!O12</f>
        <v>0</v>
      </c>
      <c r="Q54" s="644">
        <f>+landbouw!P12</f>
        <v>0</v>
      </c>
      <c r="R54" s="672">
        <f ca="1">SUM(C54:Q54)</f>
        <v>283.94837284024135</v>
      </c>
    </row>
    <row r="55" spans="1:18" ht="15" thickBot="1">
      <c r="A55" s="773" t="s">
        <v>634</v>
      </c>
      <c r="B55" s="783"/>
      <c r="C55" s="643">
        <f ca="1">C25*'EF ele_warmte'!B12</f>
        <v>31.105550998191152</v>
      </c>
      <c r="D55" s="643"/>
      <c r="E55" s="643">
        <f>E25*EF_CO2_aardgas</f>
        <v>534.99178485907134</v>
      </c>
      <c r="F55" s="643"/>
      <c r="G55" s="643"/>
      <c r="H55" s="643"/>
      <c r="I55" s="643"/>
      <c r="J55" s="643"/>
      <c r="K55" s="643"/>
      <c r="L55" s="643"/>
      <c r="M55" s="643"/>
      <c r="N55" s="643"/>
      <c r="O55" s="643"/>
      <c r="P55" s="643"/>
      <c r="Q55" s="644"/>
      <c r="R55" s="672">
        <f ca="1">SUM(C55:Q55)</f>
        <v>566.09733585726246</v>
      </c>
    </row>
    <row r="56" spans="1:18" ht="15.75" thickBot="1">
      <c r="A56" s="771" t="s">
        <v>635</v>
      </c>
      <c r="B56" s="784"/>
      <c r="C56" s="673">
        <f ca="1">SUM(C54:C55)</f>
        <v>40.80768761887979</v>
      </c>
      <c r="D56" s="673">
        <f t="shared" ref="D56:Q56" ca="1" si="7">SUM(D54:D55)</f>
        <v>0</v>
      </c>
      <c r="E56" s="673">
        <f t="shared" si="7"/>
        <v>543.34685012053842</v>
      </c>
      <c r="F56" s="673">
        <f t="shared" si="7"/>
        <v>2.0160575927286022</v>
      </c>
      <c r="G56" s="673">
        <f t="shared" si="7"/>
        <v>243.63840798072911</v>
      </c>
      <c r="H56" s="673">
        <f t="shared" si="7"/>
        <v>0</v>
      </c>
      <c r="I56" s="673">
        <f t="shared" si="7"/>
        <v>0</v>
      </c>
      <c r="J56" s="673">
        <f t="shared" si="7"/>
        <v>0</v>
      </c>
      <c r="K56" s="673">
        <f t="shared" si="7"/>
        <v>20.236705384627975</v>
      </c>
      <c r="L56" s="673">
        <f t="shared" si="7"/>
        <v>0</v>
      </c>
      <c r="M56" s="673">
        <f t="shared" si="7"/>
        <v>0</v>
      </c>
      <c r="N56" s="673">
        <f t="shared" si="7"/>
        <v>0</v>
      </c>
      <c r="O56" s="673">
        <f t="shared" si="7"/>
        <v>0</v>
      </c>
      <c r="P56" s="673">
        <f t="shared" si="7"/>
        <v>0</v>
      </c>
      <c r="Q56" s="674">
        <f t="shared" si="7"/>
        <v>0</v>
      </c>
      <c r="R56" s="675">
        <f ca="1">SUM(R54:R55)</f>
        <v>850.04570869750387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2709.1855892898725</v>
      </c>
      <c r="D61" s="681">
        <f t="shared" ref="D61:Q61" ca="1" si="8">D46+D52+D56</f>
        <v>0</v>
      </c>
      <c r="E61" s="681">
        <f t="shared" ca="1" si="8"/>
        <v>47994.275731240901</v>
      </c>
      <c r="F61" s="681">
        <f t="shared" ca="1" si="8"/>
        <v>1878.7365060978359</v>
      </c>
      <c r="G61" s="681">
        <f t="shared" ca="1" si="8"/>
        <v>7240.4712822081128</v>
      </c>
      <c r="H61" s="681">
        <f t="shared" si="8"/>
        <v>21591.883797113267</v>
      </c>
      <c r="I61" s="681">
        <f t="shared" si="8"/>
        <v>5067.9317815799413</v>
      </c>
      <c r="J61" s="681">
        <f t="shared" si="8"/>
        <v>0</v>
      </c>
      <c r="K61" s="681">
        <f t="shared" si="8"/>
        <v>67.043661586533361</v>
      </c>
      <c r="L61" s="681">
        <f t="shared" si="8"/>
        <v>0</v>
      </c>
      <c r="M61" s="681">
        <f t="shared" ca="1" si="8"/>
        <v>0</v>
      </c>
      <c r="N61" s="681">
        <f t="shared" si="8"/>
        <v>0</v>
      </c>
      <c r="O61" s="681">
        <f t="shared" ca="1" si="8"/>
        <v>0</v>
      </c>
      <c r="P61" s="681">
        <f t="shared" si="8"/>
        <v>0</v>
      </c>
      <c r="Q61" s="681">
        <f t="shared" si="8"/>
        <v>0</v>
      </c>
      <c r="R61" s="681">
        <f ca="1">R46+R52+R56</f>
        <v>86549.528349116474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3.68381322726275E-2</v>
      </c>
      <c r="D63" s="727">
        <f t="shared" ca="1" si="9"/>
        <v>0</v>
      </c>
      <c r="E63" s="916">
        <f t="shared" ca="1" si="9"/>
        <v>0.20200000000000001</v>
      </c>
      <c r="F63" s="727">
        <f t="shared" ca="1" si="9"/>
        <v>0.22700000000000004</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47319.295188783515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13964.914661943661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61284.209850727173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20042.130424155719</v>
      </c>
      <c r="C4" s="443">
        <f>huishoudens!C8</f>
        <v>0</v>
      </c>
      <c r="D4" s="443">
        <f>huishoudens!D8</f>
        <v>46559.941588257163</v>
      </c>
      <c r="E4" s="443">
        <f>huishoudens!E8</f>
        <v>1623.4299220341104</v>
      </c>
      <c r="F4" s="443">
        <f>huishoudens!F8</f>
        <v>20566.484298656502</v>
      </c>
      <c r="G4" s="443">
        <f>huishoudens!G8</f>
        <v>0</v>
      </c>
      <c r="H4" s="443">
        <f>huishoudens!H8</f>
        <v>0</v>
      </c>
      <c r="I4" s="443">
        <f>huishoudens!I8</f>
        <v>0</v>
      </c>
      <c r="J4" s="443">
        <f>huishoudens!J8</f>
        <v>131.63735063663293</v>
      </c>
      <c r="K4" s="443">
        <f>huishoudens!K8</f>
        <v>0</v>
      </c>
      <c r="L4" s="443">
        <f>huishoudens!L8</f>
        <v>0</v>
      </c>
      <c r="M4" s="443">
        <f>huishoudens!M8</f>
        <v>0</v>
      </c>
      <c r="N4" s="443">
        <f>huishoudens!N8</f>
        <v>6235.1828526737281</v>
      </c>
      <c r="O4" s="443">
        <f>huishoudens!O8</f>
        <v>186.49207262238099</v>
      </c>
      <c r="P4" s="444">
        <f>huishoudens!P8</f>
        <v>52.669796538425103</v>
      </c>
      <c r="Q4" s="445">
        <f>SUM(B4:P4)</f>
        <v>95397.968305574657</v>
      </c>
    </row>
    <row r="5" spans="1:17">
      <c r="A5" s="442" t="s">
        <v>149</v>
      </c>
      <c r="B5" s="443">
        <f ca="1">tertiair!B16</f>
        <v>11892.394794201762</v>
      </c>
      <c r="C5" s="443">
        <f ca="1">tertiair!C16</f>
        <v>0</v>
      </c>
      <c r="D5" s="443">
        <f ca="1">tertiair!D16</f>
        <v>20790.010382509474</v>
      </c>
      <c r="E5" s="443">
        <f ca="1">tertiair!E16</f>
        <v>21.350804617319298</v>
      </c>
      <c r="F5" s="443">
        <f ca="1">tertiair!F16</f>
        <v>2341.5014661978767</v>
      </c>
      <c r="G5" s="443">
        <f>tertiair!G16</f>
        <v>0</v>
      </c>
      <c r="H5" s="443">
        <f>tertiair!H16</f>
        <v>0</v>
      </c>
      <c r="I5" s="443">
        <f>tertiair!I16</f>
        <v>0</v>
      </c>
      <c r="J5" s="443">
        <f>tertiair!J16</f>
        <v>1.8081658635899351E-2</v>
      </c>
      <c r="K5" s="443">
        <f>tertiair!K16</f>
        <v>0</v>
      </c>
      <c r="L5" s="443">
        <f ca="1">tertiair!L16</f>
        <v>0</v>
      </c>
      <c r="M5" s="443">
        <f>tertiair!M16</f>
        <v>0</v>
      </c>
      <c r="N5" s="443">
        <f ca="1">tertiair!N16</f>
        <v>697.35335904214151</v>
      </c>
      <c r="O5" s="443">
        <f>tertiair!O16</f>
        <v>14.691782297523464</v>
      </c>
      <c r="P5" s="444">
        <f>tertiair!P16</f>
        <v>0</v>
      </c>
      <c r="Q5" s="442">
        <f t="shared" ref="Q5:Q14" ca="1" si="0">SUM(B5:P5)</f>
        <v>35757.320670524736</v>
      </c>
    </row>
    <row r="6" spans="1:17">
      <c r="A6" s="442" t="s">
        <v>187</v>
      </c>
      <c r="B6" s="443">
        <f>'openbare verlichting'!B8</f>
        <v>795.16834987385005</v>
      </c>
      <c r="C6" s="443"/>
      <c r="D6" s="443"/>
      <c r="E6" s="443"/>
      <c r="F6" s="443"/>
      <c r="G6" s="443"/>
      <c r="H6" s="443"/>
      <c r="I6" s="443"/>
      <c r="J6" s="443"/>
      <c r="K6" s="443"/>
      <c r="L6" s="443"/>
      <c r="M6" s="443"/>
      <c r="N6" s="443"/>
      <c r="O6" s="443"/>
      <c r="P6" s="444"/>
      <c r="Q6" s="442">
        <f t="shared" si="0"/>
        <v>795.16834987385005</v>
      </c>
    </row>
    <row r="7" spans="1:17">
      <c r="A7" s="442" t="s">
        <v>105</v>
      </c>
      <c r="B7" s="443">
        <f>landbouw!B8</f>
        <v>263.37210988022298</v>
      </c>
      <c r="C7" s="443">
        <f>landbouw!C8</f>
        <v>0</v>
      </c>
      <c r="D7" s="443">
        <f>landbouw!D8</f>
        <v>41.361709215183261</v>
      </c>
      <c r="E7" s="443">
        <f>landbouw!E8</f>
        <v>8.8813109811832689</v>
      </c>
      <c r="F7" s="443">
        <f>landbouw!F8</f>
        <v>912.50340067688796</v>
      </c>
      <c r="G7" s="443">
        <f>landbouw!G8</f>
        <v>0</v>
      </c>
      <c r="H7" s="443">
        <f>landbouw!H8</f>
        <v>0</v>
      </c>
      <c r="I7" s="443">
        <f>landbouw!I8</f>
        <v>0</v>
      </c>
      <c r="J7" s="443">
        <f>landbouw!J8</f>
        <v>57.165834419853041</v>
      </c>
      <c r="K7" s="443">
        <f>landbouw!K8</f>
        <v>0</v>
      </c>
      <c r="L7" s="443">
        <f>landbouw!L8</f>
        <v>0</v>
      </c>
      <c r="M7" s="443">
        <f>landbouw!M8</f>
        <v>0</v>
      </c>
      <c r="N7" s="443">
        <f>landbouw!N8</f>
        <v>0</v>
      </c>
      <c r="O7" s="443">
        <f>landbouw!O8</f>
        <v>0</v>
      </c>
      <c r="P7" s="444">
        <f>landbouw!P8</f>
        <v>0</v>
      </c>
      <c r="Q7" s="442">
        <f t="shared" si="0"/>
        <v>1283.2843651733306</v>
      </c>
    </row>
    <row r="8" spans="1:17">
      <c r="A8" s="442" t="s">
        <v>569</v>
      </c>
      <c r="B8" s="443">
        <f>industrie!B18</f>
        <v>39208.180581304012</v>
      </c>
      <c r="C8" s="443">
        <f>industrie!C18</f>
        <v>0</v>
      </c>
      <c r="D8" s="443">
        <f>industrie!D18</f>
        <v>167137.20068351095</v>
      </c>
      <c r="E8" s="443">
        <f>industrie!E18</f>
        <v>6469.0099076306697</v>
      </c>
      <c r="F8" s="443">
        <f>industrie!F18</f>
        <v>3297.3808052856361</v>
      </c>
      <c r="G8" s="443">
        <f>industrie!G18</f>
        <v>0</v>
      </c>
      <c r="H8" s="443">
        <f>industrie!H18</f>
        <v>0</v>
      </c>
      <c r="I8" s="443">
        <f>industrie!I18</f>
        <v>0</v>
      </c>
      <c r="J8" s="443">
        <f>industrie!J18</f>
        <v>0.56760782310797586</v>
      </c>
      <c r="K8" s="443">
        <f>industrie!K18</f>
        <v>0</v>
      </c>
      <c r="L8" s="443">
        <f>industrie!L18</f>
        <v>0</v>
      </c>
      <c r="M8" s="443">
        <f>industrie!M18</f>
        <v>0</v>
      </c>
      <c r="N8" s="443">
        <f>industrie!N18</f>
        <v>84.809884725875776</v>
      </c>
      <c r="O8" s="443">
        <f>industrie!O18</f>
        <v>0</v>
      </c>
      <c r="P8" s="444">
        <f>industrie!P18</f>
        <v>0</v>
      </c>
      <c r="Q8" s="442">
        <f t="shared" si="0"/>
        <v>216197.14947028027</v>
      </c>
    </row>
    <row r="9" spans="1:17" s="448" customFormat="1">
      <c r="A9" s="446" t="s">
        <v>521</v>
      </c>
      <c r="B9" s="447">
        <f>transport!B14</f>
        <v>486.24370264203952</v>
      </c>
      <c r="C9" s="447">
        <f>transport!C14</f>
        <v>0</v>
      </c>
      <c r="D9" s="447">
        <f>transport!D14</f>
        <v>418.43586612025865</v>
      </c>
      <c r="E9" s="447">
        <f>transport!E14</f>
        <v>153.70032829546551</v>
      </c>
      <c r="F9" s="447">
        <f>transport!F14</f>
        <v>0</v>
      </c>
      <c r="G9" s="447">
        <f>transport!G14</f>
        <v>80412.899565983054</v>
      </c>
      <c r="H9" s="447">
        <f>transport!H14</f>
        <v>20353.139685060007</v>
      </c>
      <c r="I9" s="447">
        <f>transport!I14</f>
        <v>0</v>
      </c>
      <c r="J9" s="447">
        <f>transport!J14</f>
        <v>0</v>
      </c>
      <c r="K9" s="447">
        <f>transport!K14</f>
        <v>0</v>
      </c>
      <c r="L9" s="447">
        <f>transport!L14</f>
        <v>0</v>
      </c>
      <c r="M9" s="447">
        <f>transport!M14</f>
        <v>10752.668292240318</v>
      </c>
      <c r="N9" s="447">
        <f>transport!N14</f>
        <v>0</v>
      </c>
      <c r="O9" s="447">
        <f>transport!O14</f>
        <v>0</v>
      </c>
      <c r="P9" s="447">
        <f>transport!P14</f>
        <v>0</v>
      </c>
      <c r="Q9" s="446">
        <f>SUM(B9:P9)</f>
        <v>112577.08744034114</v>
      </c>
    </row>
    <row r="10" spans="1:17">
      <c r="A10" s="442" t="s">
        <v>511</v>
      </c>
      <c r="B10" s="443">
        <f>transport!B54</f>
        <v>11.093627144156342</v>
      </c>
      <c r="C10" s="443">
        <f>transport!C54</f>
        <v>0</v>
      </c>
      <c r="D10" s="443">
        <f>transport!D54</f>
        <v>0</v>
      </c>
      <c r="E10" s="443">
        <f>transport!E54</f>
        <v>0</v>
      </c>
      <c r="F10" s="443">
        <f>transport!F54</f>
        <v>0</v>
      </c>
      <c r="G10" s="443">
        <f>transport!G54</f>
        <v>455.57907489059471</v>
      </c>
      <c r="H10" s="443">
        <f>transport!H54</f>
        <v>0</v>
      </c>
      <c r="I10" s="443">
        <f>transport!I54</f>
        <v>0</v>
      </c>
      <c r="J10" s="443">
        <f>transport!J54</f>
        <v>0</v>
      </c>
      <c r="K10" s="443">
        <f>transport!K54</f>
        <v>0</v>
      </c>
      <c r="L10" s="443">
        <f>transport!L54</f>
        <v>0</v>
      </c>
      <c r="M10" s="443">
        <f>transport!M54</f>
        <v>50.997014965848109</v>
      </c>
      <c r="N10" s="443">
        <f>transport!N54</f>
        <v>0</v>
      </c>
      <c r="O10" s="443">
        <f>transport!O54</f>
        <v>0</v>
      </c>
      <c r="P10" s="444">
        <f>transport!P54</f>
        <v>0</v>
      </c>
      <c r="Q10" s="442">
        <f t="shared" si="0"/>
        <v>517.66971700059912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844.38458410401199</v>
      </c>
      <c r="C14" s="450"/>
      <c r="D14" s="450">
        <f>'SEAP template'!E25</f>
        <v>2648.4741824706498</v>
      </c>
      <c r="E14" s="450"/>
      <c r="F14" s="450"/>
      <c r="G14" s="450"/>
      <c r="H14" s="450"/>
      <c r="I14" s="450"/>
      <c r="J14" s="450"/>
      <c r="K14" s="450"/>
      <c r="L14" s="450"/>
      <c r="M14" s="450"/>
      <c r="N14" s="450"/>
      <c r="O14" s="450"/>
      <c r="P14" s="451"/>
      <c r="Q14" s="442">
        <f t="shared" si="0"/>
        <v>3492.8587665746618</v>
      </c>
    </row>
    <row r="15" spans="1:17" s="454" customFormat="1">
      <c r="A15" s="452" t="s">
        <v>515</v>
      </c>
      <c r="B15" s="453">
        <f ca="1">SUM(B4:B14)</f>
        <v>73542.968173305781</v>
      </c>
      <c r="C15" s="453">
        <f t="shared" ref="C15:Q15" ca="1" si="1">SUM(C4:C14)</f>
        <v>0</v>
      </c>
      <c r="D15" s="453">
        <f t="shared" ca="1" si="1"/>
        <v>237595.4244120837</v>
      </c>
      <c r="E15" s="453">
        <f t="shared" ca="1" si="1"/>
        <v>8276.3722735587471</v>
      </c>
      <c r="F15" s="453">
        <f t="shared" ca="1" si="1"/>
        <v>27117.869970816901</v>
      </c>
      <c r="G15" s="453">
        <f t="shared" si="1"/>
        <v>80868.478640873655</v>
      </c>
      <c r="H15" s="453">
        <f t="shared" si="1"/>
        <v>20353.139685060007</v>
      </c>
      <c r="I15" s="453">
        <f t="shared" si="1"/>
        <v>0</v>
      </c>
      <c r="J15" s="453">
        <f t="shared" si="1"/>
        <v>189.38887453822986</v>
      </c>
      <c r="K15" s="453">
        <f t="shared" si="1"/>
        <v>0</v>
      </c>
      <c r="L15" s="453">
        <f t="shared" ca="1" si="1"/>
        <v>0</v>
      </c>
      <c r="M15" s="453">
        <f t="shared" si="1"/>
        <v>10803.665307206165</v>
      </c>
      <c r="N15" s="453">
        <f t="shared" ca="1" si="1"/>
        <v>7017.3460964417454</v>
      </c>
      <c r="O15" s="453">
        <f t="shared" si="1"/>
        <v>201.18385491990446</v>
      </c>
      <c r="P15" s="453">
        <f t="shared" si="1"/>
        <v>52.669796538425103</v>
      </c>
      <c r="Q15" s="453">
        <f t="shared" ca="1" si="1"/>
        <v>466018.5070853433</v>
      </c>
    </row>
    <row r="17" spans="1:17">
      <c r="A17" s="455" t="s">
        <v>516</v>
      </c>
      <c r="B17" s="732">
        <f ca="1">huishoudens!B10</f>
        <v>3.68381322726275E-2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738.31465159030029</v>
      </c>
      <c r="C22" s="443">
        <f t="shared" ref="C22:C32" ca="1" si="3">C4*$C$17</f>
        <v>0</v>
      </c>
      <c r="D22" s="443">
        <f t="shared" ref="D22:D32" si="4">D4*$D$17</f>
        <v>9405.1082008279482</v>
      </c>
      <c r="E22" s="443">
        <f t="shared" ref="E22:E32" si="5">E4*$E$17</f>
        <v>368.51859230174307</v>
      </c>
      <c r="F22" s="443">
        <f t="shared" ref="F22:F32" si="6">F4*$F$17</f>
        <v>5491.2513077412859</v>
      </c>
      <c r="G22" s="443">
        <f t="shared" ref="G22:G32" si="7">G4*$G$17</f>
        <v>0</v>
      </c>
      <c r="H22" s="443">
        <f t="shared" ref="H22:H32" si="8">H4*$H$17</f>
        <v>0</v>
      </c>
      <c r="I22" s="443">
        <f t="shared" ref="I22:I32" si="9">I4*$I$17</f>
        <v>0</v>
      </c>
      <c r="J22" s="443">
        <f t="shared" ref="J22:J32" si="10">J4*$J$17</f>
        <v>46.599622125368057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16049.792374586646</v>
      </c>
    </row>
    <row r="23" spans="1:17">
      <c r="A23" s="442" t="s">
        <v>149</v>
      </c>
      <c r="B23" s="443">
        <f t="shared" ca="1" si="2"/>
        <v>438.0936124671112</v>
      </c>
      <c r="C23" s="443">
        <f t="shared" ca="1" si="3"/>
        <v>0</v>
      </c>
      <c r="D23" s="443">
        <f t="shared" ca="1" si="4"/>
        <v>4199.5820972669144</v>
      </c>
      <c r="E23" s="443">
        <f t="shared" ca="1" si="5"/>
        <v>4.8466326481314805</v>
      </c>
      <c r="F23" s="443">
        <f t="shared" ca="1" si="6"/>
        <v>625.18089147483306</v>
      </c>
      <c r="G23" s="443">
        <f t="shared" si="7"/>
        <v>0</v>
      </c>
      <c r="H23" s="443">
        <f t="shared" si="8"/>
        <v>0</v>
      </c>
      <c r="I23" s="443">
        <f t="shared" si="9"/>
        <v>0</v>
      </c>
      <c r="J23" s="443">
        <f t="shared" si="10"/>
        <v>6.4009071571083697E-3</v>
      </c>
      <c r="K23" s="443">
        <f t="shared" si="11"/>
        <v>0</v>
      </c>
      <c r="L23" s="443">
        <f t="shared" ca="1" si="12"/>
        <v>0</v>
      </c>
      <c r="M23" s="443">
        <f t="shared" si="13"/>
        <v>0</v>
      </c>
      <c r="N23" s="443">
        <f t="shared" ca="1" si="14"/>
        <v>0</v>
      </c>
      <c r="O23" s="443">
        <f t="shared" si="15"/>
        <v>0</v>
      </c>
      <c r="P23" s="444">
        <f t="shared" si="16"/>
        <v>0</v>
      </c>
      <c r="Q23" s="442">
        <f t="shared" ref="Q23:Q31" ca="1" si="17">SUM(B23:P23)</f>
        <v>5267.7096347641473</v>
      </c>
    </row>
    <row r="24" spans="1:17">
      <c r="A24" s="442" t="s">
        <v>187</v>
      </c>
      <c r="B24" s="443">
        <f t="shared" ca="1" si="2"/>
        <v>29.29251685165983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29.29251685165983</v>
      </c>
    </row>
    <row r="25" spans="1:17">
      <c r="A25" s="442" t="s">
        <v>105</v>
      </c>
      <c r="B25" s="443">
        <f t="shared" ca="1" si="2"/>
        <v>9.7021366206886377</v>
      </c>
      <c r="C25" s="443">
        <f t="shared" ca="1" si="3"/>
        <v>0</v>
      </c>
      <c r="D25" s="443">
        <f t="shared" si="4"/>
        <v>8.3550652614670184</v>
      </c>
      <c r="E25" s="443">
        <f t="shared" si="5"/>
        <v>2.0160575927286022</v>
      </c>
      <c r="F25" s="443">
        <f t="shared" si="6"/>
        <v>243.63840798072911</v>
      </c>
      <c r="G25" s="443">
        <f t="shared" si="7"/>
        <v>0</v>
      </c>
      <c r="H25" s="443">
        <f t="shared" si="8"/>
        <v>0</v>
      </c>
      <c r="I25" s="443">
        <f t="shared" si="9"/>
        <v>0</v>
      </c>
      <c r="J25" s="443">
        <f t="shared" si="10"/>
        <v>20.236705384627975</v>
      </c>
      <c r="K25" s="443">
        <f t="shared" si="11"/>
        <v>0</v>
      </c>
      <c r="L25" s="443">
        <f t="shared" si="12"/>
        <v>0</v>
      </c>
      <c r="M25" s="443">
        <f t="shared" si="13"/>
        <v>0</v>
      </c>
      <c r="N25" s="443">
        <f t="shared" si="14"/>
        <v>0</v>
      </c>
      <c r="O25" s="443">
        <f t="shared" si="15"/>
        <v>0</v>
      </c>
      <c r="P25" s="444">
        <f t="shared" si="16"/>
        <v>0</v>
      </c>
      <c r="Q25" s="442">
        <f t="shared" ca="1" si="17"/>
        <v>283.94837284024135</v>
      </c>
    </row>
    <row r="26" spans="1:17">
      <c r="A26" s="442" t="s">
        <v>569</v>
      </c>
      <c r="B26" s="443">
        <f t="shared" ca="1" si="2"/>
        <v>1444.356142423142</v>
      </c>
      <c r="C26" s="443">
        <f t="shared" ca="1" si="3"/>
        <v>0</v>
      </c>
      <c r="D26" s="443">
        <f t="shared" si="4"/>
        <v>33761.714538069216</v>
      </c>
      <c r="E26" s="443">
        <f t="shared" si="5"/>
        <v>1468.4652490321621</v>
      </c>
      <c r="F26" s="443">
        <f t="shared" si="6"/>
        <v>880.40067501126487</v>
      </c>
      <c r="G26" s="443">
        <f t="shared" si="7"/>
        <v>0</v>
      </c>
      <c r="H26" s="443">
        <f t="shared" si="8"/>
        <v>0</v>
      </c>
      <c r="I26" s="443">
        <f t="shared" si="9"/>
        <v>0</v>
      </c>
      <c r="J26" s="443">
        <f t="shared" si="10"/>
        <v>0.20093316938022343</v>
      </c>
      <c r="K26" s="443">
        <f t="shared" si="11"/>
        <v>0</v>
      </c>
      <c r="L26" s="443">
        <f t="shared" si="12"/>
        <v>0</v>
      </c>
      <c r="M26" s="443">
        <f t="shared" si="13"/>
        <v>0</v>
      </c>
      <c r="N26" s="443">
        <f t="shared" si="14"/>
        <v>0</v>
      </c>
      <c r="O26" s="443">
        <f t="shared" si="15"/>
        <v>0</v>
      </c>
      <c r="P26" s="444">
        <f t="shared" si="16"/>
        <v>0</v>
      </c>
      <c r="Q26" s="442">
        <f t="shared" ca="1" si="17"/>
        <v>37555.137537705166</v>
      </c>
    </row>
    <row r="27" spans="1:17" s="448" customFormat="1">
      <c r="A27" s="446" t="s">
        <v>521</v>
      </c>
      <c r="B27" s="726">
        <f t="shared" ca="1" si="2"/>
        <v>17.912309834659606</v>
      </c>
      <c r="C27" s="447">
        <f t="shared" ca="1" si="3"/>
        <v>0</v>
      </c>
      <c r="D27" s="447">
        <f t="shared" si="4"/>
        <v>84.524044956292258</v>
      </c>
      <c r="E27" s="447">
        <f t="shared" si="5"/>
        <v>34.88997452307067</v>
      </c>
      <c r="F27" s="447">
        <f t="shared" si="6"/>
        <v>0</v>
      </c>
      <c r="G27" s="447">
        <f t="shared" si="7"/>
        <v>21470.244184117477</v>
      </c>
      <c r="H27" s="447">
        <f t="shared" si="8"/>
        <v>5067.9317815799413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26675.50229501144</v>
      </c>
    </row>
    <row r="28" spans="1:17" ht="16.5" customHeight="1">
      <c r="A28" s="442" t="s">
        <v>511</v>
      </c>
      <c r="B28" s="443">
        <f t="shared" ca="1" si="2"/>
        <v>0.40866850411964217</v>
      </c>
      <c r="C28" s="443">
        <f t="shared" ca="1" si="3"/>
        <v>0</v>
      </c>
      <c r="D28" s="443">
        <f t="shared" si="4"/>
        <v>0</v>
      </c>
      <c r="E28" s="443">
        <f t="shared" si="5"/>
        <v>0</v>
      </c>
      <c r="F28" s="443">
        <f t="shared" si="6"/>
        <v>0</v>
      </c>
      <c r="G28" s="443">
        <f t="shared" si="7"/>
        <v>121.6396129957888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122.04828149990844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31.105550998191152</v>
      </c>
      <c r="C32" s="443">
        <f t="shared" ca="1" si="3"/>
        <v>0</v>
      </c>
      <c r="D32" s="443">
        <f t="shared" si="4"/>
        <v>534.99178485907134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566.09733585726246</v>
      </c>
    </row>
    <row r="33" spans="1:17" s="454" customFormat="1">
      <c r="A33" s="452" t="s">
        <v>515</v>
      </c>
      <c r="B33" s="453">
        <f ca="1">SUM(B22:B32)</f>
        <v>2709.1855892898725</v>
      </c>
      <c r="C33" s="453">
        <f t="shared" ref="C33:Q33" ca="1" si="19">SUM(C22:C32)</f>
        <v>0</v>
      </c>
      <c r="D33" s="453">
        <f t="shared" ca="1" si="19"/>
        <v>47994.275731240908</v>
      </c>
      <c r="E33" s="453">
        <f t="shared" ca="1" si="19"/>
        <v>1878.7365060978359</v>
      </c>
      <c r="F33" s="453">
        <f t="shared" ca="1" si="19"/>
        <v>7240.4712822081128</v>
      </c>
      <c r="G33" s="453">
        <f t="shared" si="19"/>
        <v>21591.883797113267</v>
      </c>
      <c r="H33" s="453">
        <f t="shared" si="19"/>
        <v>5067.9317815799413</v>
      </c>
      <c r="I33" s="453">
        <f t="shared" si="19"/>
        <v>0</v>
      </c>
      <c r="J33" s="453">
        <f t="shared" si="19"/>
        <v>67.043661586533361</v>
      </c>
      <c r="K33" s="453">
        <f t="shared" si="19"/>
        <v>0</v>
      </c>
      <c r="L33" s="453">
        <f t="shared" ca="1" si="19"/>
        <v>0</v>
      </c>
      <c r="M33" s="453">
        <f t="shared" si="19"/>
        <v>0</v>
      </c>
      <c r="N33" s="453">
        <f t="shared" ca="1" si="19"/>
        <v>0</v>
      </c>
      <c r="O33" s="453">
        <f t="shared" si="19"/>
        <v>0</v>
      </c>
      <c r="P33" s="453">
        <f t="shared" si="19"/>
        <v>0</v>
      </c>
      <c r="Q33" s="453">
        <f t="shared" ca="1" si="19"/>
        <v>86549.528349116474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47319.295188783515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13964.914661943661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61284.209850727173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3.68381322726275E-2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3.68381322726275E-2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2022-10-04T14:00:37Z</dcterms:modified>
</cp:coreProperties>
</file>