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FA0E21C-8106-47A0-B686-5D6FF725BD5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C5" i="48"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s="1"/>
  <c r="I46" i="14" s="1"/>
  <c r="I10" i="14"/>
  <c r="I16" i="14" s="1"/>
  <c r="B74" i="14"/>
  <c r="B6" i="59" s="1"/>
  <c r="J9" i="16"/>
  <c r="B73" i="14"/>
  <c r="B5" i="59" s="1"/>
  <c r="F6" i="15"/>
  <c r="F8" i="15"/>
  <c r="N10" i="16"/>
  <c r="B8" i="15"/>
  <c r="J8" i="15"/>
  <c r="I20" i="15"/>
  <c r="J40" i="14"/>
  <c r="J46" i="14" s="1"/>
  <c r="B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E18" i="22" s="1"/>
  <c r="D5" i="22"/>
  <c r="D14" i="22" s="1"/>
  <c r="B14" i="22"/>
  <c r="P11" i="48"/>
  <c r="P29" i="48"/>
  <c r="H5" i="48"/>
  <c r="O11" i="48"/>
  <c r="P9" i="14"/>
  <c r="M5" i="48"/>
  <c r="M23" i="48" s="1"/>
  <c r="G29" i="48"/>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C7" i="48" s="1"/>
  <c r="G25" i="48"/>
  <c r="I25" i="48"/>
  <c r="G90" i="14"/>
  <c r="D88" i="14"/>
  <c r="H88" i="14"/>
  <c r="F88" i="14"/>
  <c r="F18" i="59" s="1"/>
  <c r="L20" i="18"/>
  <c r="G77" i="14"/>
  <c r="O90" i="14"/>
  <c r="D11" i="14"/>
  <c r="C4" i="48"/>
  <c r="N46" i="14"/>
  <c r="G51" i="22"/>
  <c r="G50" i="22" s="1"/>
  <c r="G54" i="22"/>
  <c r="G10" i="48" s="1"/>
  <c r="H19" i="14"/>
  <c r="R19" i="14" s="1"/>
  <c r="M51" i="22"/>
  <c r="M50" i="22" s="1"/>
  <c r="M54" i="22" s="1"/>
  <c r="N19" i="14" s="1"/>
  <c r="I5" i="48"/>
  <c r="I23" i="48" s="1"/>
  <c r="J27" i="14"/>
  <c r="M24" i="48"/>
  <c r="M32" i="48"/>
  <c r="H78" i="14"/>
  <c r="H9" i="59"/>
  <c r="H10" i="59" s="1"/>
  <c r="N78" i="14"/>
  <c r="N9" i="59"/>
  <c r="G78" i="14"/>
  <c r="G9" i="59"/>
  <c r="G10" i="59"/>
  <c r="H90" i="14"/>
  <c r="H18" i="59"/>
  <c r="O78" i="14"/>
  <c r="O9" i="59"/>
  <c r="O10" i="59" s="1"/>
  <c r="P22" i="48"/>
  <c r="L26" i="48"/>
  <c r="L22" i="16"/>
  <c r="M43" i="14" s="1"/>
  <c r="D10" i="14"/>
  <c r="D16" i="14" s="1"/>
  <c r="D27" i="14" s="1"/>
  <c r="B20" i="6" s="1"/>
  <c r="J61" i="14"/>
  <c r="J63" i="14" s="1"/>
  <c r="L61" i="14"/>
  <c r="L16" i="14"/>
  <c r="L27" i="14" s="1"/>
  <c r="P8" i="48"/>
  <c r="P26" i="48"/>
  <c r="D18" i="16"/>
  <c r="D22" i="16" s="1"/>
  <c r="E43" i="14" s="1"/>
  <c r="G31" i="20"/>
  <c r="H48" i="14"/>
  <c r="G12" i="22"/>
  <c r="K24" i="14"/>
  <c r="K26" i="14" s="1"/>
  <c r="E8" i="17"/>
  <c r="O18" i="16"/>
  <c r="O8" i="48" s="1"/>
  <c r="N5" i="13"/>
  <c r="N8" i="13" s="1"/>
  <c r="N12" i="13" s="1"/>
  <c r="O41" i="14" s="1"/>
  <c r="H13" i="48"/>
  <c r="H31" i="48"/>
  <c r="H12" i="22"/>
  <c r="E24" i="14"/>
  <c r="E26" i="14"/>
  <c r="B9" i="48"/>
  <c r="E48" i="18"/>
  <c r="E8" i="18" s="1"/>
  <c r="F76" i="14" s="1"/>
  <c r="F8" i="59" s="1"/>
  <c r="F7" i="48"/>
  <c r="F25" i="48" s="1"/>
  <c r="D48" i="18"/>
  <c r="M29" i="48"/>
  <c r="F12" i="17"/>
  <c r="G54" i="14" s="1"/>
  <c r="G56" i="14" s="1"/>
  <c r="C49" i="18"/>
  <c r="C48" i="18"/>
  <c r="J8" i="18" s="1"/>
  <c r="J76" i="14" s="1"/>
  <c r="J8" i="59" s="1"/>
  <c r="E49" i="18"/>
  <c r="E17" i="18" s="1"/>
  <c r="G49" i="18"/>
  <c r="D7" i="48"/>
  <c r="D25" i="48" s="1"/>
  <c r="H48" i="18"/>
  <c r="G48" i="18"/>
  <c r="D49" i="18"/>
  <c r="L28" i="48"/>
  <c r="H49" i="18"/>
  <c r="I49" i="18"/>
  <c r="H17" i="18"/>
  <c r="F49" i="18"/>
  <c r="F48" i="18"/>
  <c r="I8" i="18" s="1"/>
  <c r="B48" i="18"/>
  <c r="C8" i="18" s="1"/>
  <c r="L31" i="48"/>
  <c r="L24" i="48"/>
  <c r="L22" i="48"/>
  <c r="M22" i="48"/>
  <c r="I18" i="14"/>
  <c r="D13" i="14"/>
  <c r="F20" i="14"/>
  <c r="F22" i="14" s="1"/>
  <c r="L30" i="48"/>
  <c r="B20" i="18"/>
  <c r="D24" i="14"/>
  <c r="D26" i="14" s="1"/>
  <c r="L29" i="48"/>
  <c r="M31" i="20"/>
  <c r="N48" i="14"/>
  <c r="N18" i="14"/>
  <c r="M13" i="48"/>
  <c r="M31" i="48"/>
  <c r="H31" i="20"/>
  <c r="I48" i="14"/>
  <c r="G13" i="48"/>
  <c r="G31" i="48"/>
  <c r="H18" i="14"/>
  <c r="M5" i="22"/>
  <c r="M14" i="22" s="1"/>
  <c r="H5" i="22"/>
  <c r="P20" i="15"/>
  <c r="Q40" i="14" s="1"/>
  <c r="Q46" i="14" s="1"/>
  <c r="Q61" i="14" s="1"/>
  <c r="Q63" i="14" s="1"/>
  <c r="Q10" i="14"/>
  <c r="Q16" i="14"/>
  <c r="Q27" i="14" s="1"/>
  <c r="F4" i="48"/>
  <c r="F22" i="48" s="1"/>
  <c r="F12" i="13"/>
  <c r="G41" i="14" s="1"/>
  <c r="P5" i="48"/>
  <c r="F13" i="16"/>
  <c r="E13" i="16"/>
  <c r="N13" i="16"/>
  <c r="J13" i="16"/>
  <c r="N12" i="16"/>
  <c r="J12" i="16"/>
  <c r="F12" i="16"/>
  <c r="E12" i="16"/>
  <c r="Q11" i="48"/>
  <c r="R9" i="14"/>
  <c r="O29" i="48"/>
  <c r="H23" i="48"/>
  <c r="L27" i="48"/>
  <c r="M30" i="48"/>
  <c r="M26" i="48"/>
  <c r="M25" i="48"/>
  <c r="J5" i="13"/>
  <c r="J8" i="13" s="1"/>
  <c r="H14" i="22"/>
  <c r="G14" i="22"/>
  <c r="G9" i="48" s="1"/>
  <c r="G27" i="48" s="1"/>
  <c r="G33" i="48" s="1"/>
  <c r="I33" i="48"/>
  <c r="I15" i="48"/>
  <c r="E13" i="14"/>
  <c r="O26" i="48"/>
  <c r="P13" i="14"/>
  <c r="C15" i="48"/>
  <c r="M58" i="22"/>
  <c r="N49" i="14" s="1"/>
  <c r="C20" i="14"/>
  <c r="C22" i="14" s="1"/>
  <c r="J17" i="18"/>
  <c r="I17" i="18"/>
  <c r="I87" i="14" s="1"/>
  <c r="M87" i="14"/>
  <c r="M17" i="59" s="1"/>
  <c r="F50" i="14"/>
  <c r="F52" i="14" s="1"/>
  <c r="E9" i="48"/>
  <c r="I76" i="14"/>
  <c r="I8" i="59" s="1"/>
  <c r="G58" i="22"/>
  <c r="H49" i="14" s="1"/>
  <c r="R18" i="14"/>
  <c r="Q13" i="48"/>
  <c r="I20" i="14"/>
  <c r="I22" i="14" s="1"/>
  <c r="I27" i="14" s="1"/>
  <c r="F11" i="14"/>
  <c r="L20" i="15"/>
  <c r="M40" i="14" s="1"/>
  <c r="M46" i="14" s="1"/>
  <c r="I17" i="59"/>
  <c r="E27" i="48"/>
  <c r="G15" i="48"/>
  <c r="G18" i="22"/>
  <c r="H50" i="14" s="1"/>
  <c r="G28" i="48"/>
  <c r="E56" i="14"/>
  <c r="J4" i="48" l="1"/>
  <c r="J12" i="13"/>
  <c r="K41" i="14" s="1"/>
  <c r="K11" i="14"/>
  <c r="R11" i="14" s="1"/>
  <c r="F24" i="14"/>
  <c r="F26" i="14" s="1"/>
  <c r="E7" i="48"/>
  <c r="E25" i="48" s="1"/>
  <c r="E12" i="17"/>
  <c r="F54" i="14" s="1"/>
  <c r="F56" i="14" s="1"/>
  <c r="N11" i="15"/>
  <c r="F11" i="15"/>
  <c r="E11" i="15"/>
  <c r="J11" i="15"/>
  <c r="H52" i="14"/>
  <c r="H61" i="14" s="1"/>
  <c r="P23" i="48"/>
  <c r="P33" i="48" s="1"/>
  <c r="P15" i="48"/>
  <c r="O8" i="18"/>
  <c r="D76" i="14"/>
  <c r="L63" i="14"/>
  <c r="O20" i="15"/>
  <c r="P40" i="14" s="1"/>
  <c r="O5" i="48"/>
  <c r="O23" i="48" s="1"/>
  <c r="P10" i="14"/>
  <c r="P11" i="14"/>
  <c r="O4" i="48"/>
  <c r="O12" i="13"/>
  <c r="P41" i="14" s="1"/>
  <c r="C29" i="15"/>
  <c r="B9" i="15"/>
  <c r="B5" i="15" s="1"/>
  <c r="B16" i="15" s="1"/>
  <c r="M9" i="48"/>
  <c r="N20" i="14"/>
  <c r="M18" i="22"/>
  <c r="N50" i="14" s="1"/>
  <c r="N52" i="14" s="1"/>
  <c r="N61" i="14" s="1"/>
  <c r="N63" i="14" s="1"/>
  <c r="F87" i="14"/>
  <c r="O11" i="14"/>
  <c r="N4" i="48"/>
  <c r="N22" i="14"/>
  <c r="N27" i="14" s="1"/>
  <c r="D9" i="48"/>
  <c r="D18" i="22"/>
  <c r="E50" i="14" s="1"/>
  <c r="E52" i="14" s="1"/>
  <c r="E20" i="14"/>
  <c r="E22" i="14" s="1"/>
  <c r="B5" i="16"/>
  <c r="B18" i="16" s="1"/>
  <c r="E4" i="48"/>
  <c r="E12" i="13"/>
  <c r="F41" i="14" s="1"/>
  <c r="L5" i="48"/>
  <c r="M10" i="14"/>
  <c r="M16" i="14" s="1"/>
  <c r="N7" i="48"/>
  <c r="N25" i="48" s="1"/>
  <c r="O24" i="14"/>
  <c r="O26" i="14" s="1"/>
  <c r="N12" i="17"/>
  <c r="O54" i="14" s="1"/>
  <c r="O56" i="14" s="1"/>
  <c r="K8" i="59"/>
  <c r="K10" i="59" s="1"/>
  <c r="K78" i="14"/>
  <c r="L18" i="59"/>
  <c r="L90" i="14"/>
  <c r="B88" i="14"/>
  <c r="B18" i="59" s="1"/>
  <c r="H18" i="22"/>
  <c r="I50" i="14" s="1"/>
  <c r="I52" i="14" s="1"/>
  <c r="I61" i="14" s="1"/>
  <c r="I63" i="14" s="1"/>
  <c r="H9" i="48"/>
  <c r="Q88" i="14"/>
  <c r="P18" i="59" s="1"/>
  <c r="H20" i="14"/>
  <c r="H22" i="14" s="1"/>
  <c r="H27" i="14" s="1"/>
  <c r="J87" i="14"/>
  <c r="O22" i="16"/>
  <c r="P43" i="14" s="1"/>
  <c r="K23" i="48"/>
  <c r="K33" i="48" s="1"/>
  <c r="K15" i="48"/>
  <c r="D8" i="48"/>
  <c r="D26" i="48" s="1"/>
  <c r="M10" i="48"/>
  <c r="D18" i="59"/>
  <c r="C88" i="14"/>
  <c r="C18" i="59" s="1"/>
  <c r="M76" i="14"/>
  <c r="N8" i="16"/>
  <c r="N5" i="16" s="1"/>
  <c r="N18" i="16" s="1"/>
  <c r="E8" i="16"/>
  <c r="F8" i="16"/>
  <c r="F5" i="16" s="1"/>
  <c r="F18" i="16" s="1"/>
  <c r="B7" i="48"/>
  <c r="C24" i="14"/>
  <c r="C54" i="18"/>
  <c r="B9" i="18"/>
  <c r="B10" i="18" s="1"/>
  <c r="D16" i="15"/>
  <c r="J14" i="16"/>
  <c r="J5" i="16" s="1"/>
  <c r="J18" i="16" s="1"/>
  <c r="E14" i="16"/>
  <c r="N89" i="14"/>
  <c r="N19" i="59" s="1"/>
  <c r="N20" i="59" s="1"/>
  <c r="K20" i="18"/>
  <c r="K90" i="14"/>
  <c r="K20" i="59"/>
  <c r="F20" i="18"/>
  <c r="N10" i="59"/>
  <c r="J7" i="15"/>
  <c r="E7" i="15"/>
  <c r="N12" i="15"/>
  <c r="F12" i="15"/>
  <c r="E12" i="15"/>
  <c r="F9" i="16"/>
  <c r="N9" i="16"/>
  <c r="L20" i="59"/>
  <c r="E76" i="14"/>
  <c r="J12" i="17"/>
  <c r="K54" i="14" s="1"/>
  <c r="K56" i="14" s="1"/>
  <c r="J7" i="48"/>
  <c r="J25" i="48" s="1"/>
  <c r="N8" i="15"/>
  <c r="E8" i="15"/>
  <c r="L6" i="17"/>
  <c r="L5" i="17" s="1"/>
  <c r="L8" i="17" s="1"/>
  <c r="J49" i="18"/>
  <c r="D17" i="18" s="1"/>
  <c r="B49" i="18"/>
  <c r="C17" i="18" s="1"/>
  <c r="B33" i="13"/>
  <c r="B54" i="18"/>
  <c r="G13" i="14" l="1"/>
  <c r="F8" i="48"/>
  <c r="F26" i="48" s="1"/>
  <c r="F22" i="16"/>
  <c r="G43" i="14" s="1"/>
  <c r="K13" i="14"/>
  <c r="J8" i="48"/>
  <c r="J26" i="48" s="1"/>
  <c r="J22" i="16"/>
  <c r="K43" i="14" s="1"/>
  <c r="N22" i="16"/>
  <c r="O43" i="14" s="1"/>
  <c r="N8" i="48"/>
  <c r="N26" i="48" s="1"/>
  <c r="O13" i="14"/>
  <c r="E87" i="14"/>
  <c r="D57" i="18"/>
  <c r="H57" i="18"/>
  <c r="E57" i="18"/>
  <c r="E9" i="18" s="1"/>
  <c r="I57" i="18"/>
  <c r="H9" i="18" s="1"/>
  <c r="F57" i="18"/>
  <c r="J57" i="18"/>
  <c r="D9" i="18" s="1"/>
  <c r="B57" i="18"/>
  <c r="C9" i="18" s="1"/>
  <c r="C57" i="18"/>
  <c r="G57" i="18"/>
  <c r="I9" i="18" s="1"/>
  <c r="M8" i="59"/>
  <c r="B76" i="14"/>
  <c r="H15" i="48"/>
  <c r="H27" i="48"/>
  <c r="H33" i="48" s="1"/>
  <c r="N22" i="48"/>
  <c r="D58" i="18"/>
  <c r="G58" i="18"/>
  <c r="I19" i="18" s="1"/>
  <c r="I58" i="18"/>
  <c r="H19" i="18" s="1"/>
  <c r="B58" i="18"/>
  <c r="C19" i="18" s="1"/>
  <c r="E58" i="18"/>
  <c r="E19" i="18" s="1"/>
  <c r="H58" i="18"/>
  <c r="J19" i="18" s="1"/>
  <c r="J58" i="18"/>
  <c r="D19" i="18" s="1"/>
  <c r="E89" i="14" s="1"/>
  <c r="E19" i="59" s="1"/>
  <c r="C58" i="18"/>
  <c r="F58" i="18"/>
  <c r="M24" i="14"/>
  <c r="M26" i="14" s="1"/>
  <c r="L7" i="48"/>
  <c r="L25" i="48" s="1"/>
  <c r="L12" i="17"/>
  <c r="M54" i="14" s="1"/>
  <c r="M56" i="14" s="1"/>
  <c r="M61" i="14" s="1"/>
  <c r="N90" i="14"/>
  <c r="E5" i="16"/>
  <c r="E18" i="16" s="1"/>
  <c r="Q10" i="48"/>
  <c r="M28" i="48"/>
  <c r="J17" i="59"/>
  <c r="E22" i="48"/>
  <c r="Q4" i="48"/>
  <c r="C10" i="14"/>
  <c r="B5" i="48"/>
  <c r="O22" i="48"/>
  <c r="O33" i="48" s="1"/>
  <c r="O15" i="48"/>
  <c r="P46" i="14"/>
  <c r="P61" i="14" s="1"/>
  <c r="P63" i="14" s="1"/>
  <c r="J22" i="48"/>
  <c r="E10" i="14"/>
  <c r="E16" i="14" s="1"/>
  <c r="E27" i="14" s="1"/>
  <c r="D5" i="48"/>
  <c r="D20" i="15"/>
  <c r="E40" i="14" s="1"/>
  <c r="E46" i="14" s="1"/>
  <c r="E61" i="14" s="1"/>
  <c r="C26" i="14"/>
  <c r="R24" i="14"/>
  <c r="R26" i="14" s="1"/>
  <c r="M27" i="14"/>
  <c r="B8" i="48"/>
  <c r="C13" i="14"/>
  <c r="D27" i="48"/>
  <c r="Q9" i="48"/>
  <c r="M27" i="48"/>
  <c r="M33" i="48" s="1"/>
  <c r="M15" i="48"/>
  <c r="J9" i="15"/>
  <c r="N9" i="15"/>
  <c r="N5" i="15" s="1"/>
  <c r="N16" i="15" s="1"/>
  <c r="F9" i="15"/>
  <c r="F5" i="15" s="1"/>
  <c r="F16" i="15" s="1"/>
  <c r="E9" i="15"/>
  <c r="E5" i="15" s="1"/>
  <c r="E16" i="15" s="1"/>
  <c r="D8" i="59"/>
  <c r="C76" i="14"/>
  <c r="Q76" i="14"/>
  <c r="H63" i="14"/>
  <c r="D87" i="14"/>
  <c r="O17" i="18"/>
  <c r="C20" i="18"/>
  <c r="E8" i="59"/>
  <c r="J5" i="15"/>
  <c r="J16" i="15" s="1"/>
  <c r="Q7" i="48"/>
  <c r="R20" i="14"/>
  <c r="R22" i="14" s="1"/>
  <c r="L23" i="48"/>
  <c r="F17" i="59"/>
  <c r="P16" i="14"/>
  <c r="P27" i="14" s="1"/>
  <c r="N5" i="48" l="1"/>
  <c r="O10" i="14"/>
  <c r="O16" i="14" s="1"/>
  <c r="O27" i="14" s="1"/>
  <c r="N20" i="15"/>
  <c r="O40" i="14" s="1"/>
  <c r="O46" i="14" s="1"/>
  <c r="O61" i="14" s="1"/>
  <c r="O63" i="14" s="1"/>
  <c r="F10" i="14"/>
  <c r="F16" i="14" s="1"/>
  <c r="F27" i="14" s="1"/>
  <c r="E5" i="48"/>
  <c r="E20" i="15"/>
  <c r="F40" i="14" s="1"/>
  <c r="P8" i="59"/>
  <c r="B15" i="48"/>
  <c r="M89" i="14"/>
  <c r="H20" i="18"/>
  <c r="M77" i="14"/>
  <c r="H10" i="18"/>
  <c r="D20" i="18"/>
  <c r="L33" i="48"/>
  <c r="Q87" i="14"/>
  <c r="C87" i="14"/>
  <c r="D17" i="59"/>
  <c r="C8" i="59"/>
  <c r="G10" i="14"/>
  <c r="G16" i="14" s="1"/>
  <c r="G27" i="14" s="1"/>
  <c r="F20" i="15"/>
  <c r="G40" i="14" s="1"/>
  <c r="G46" i="14" s="1"/>
  <c r="G61" i="14" s="1"/>
  <c r="F5" i="48"/>
  <c r="Q5" i="48" s="1"/>
  <c r="C16" i="14"/>
  <c r="C27" i="14" s="1"/>
  <c r="B3" i="6" s="1"/>
  <c r="F13" i="14"/>
  <c r="R13" i="14" s="1"/>
  <c r="E8" i="48"/>
  <c r="E26" i="48" s="1"/>
  <c r="E22" i="16"/>
  <c r="F43" i="14" s="1"/>
  <c r="J89" i="14"/>
  <c r="J20" i="18"/>
  <c r="I89" i="14"/>
  <c r="I20" i="18"/>
  <c r="D77" i="14"/>
  <c r="C10" i="18"/>
  <c r="F77" i="14"/>
  <c r="E10" i="18"/>
  <c r="E17" i="59"/>
  <c r="E20" i="59" s="1"/>
  <c r="E90" i="14"/>
  <c r="J20" i="15"/>
  <c r="K40" i="14" s="1"/>
  <c r="K46" i="14" s="1"/>
  <c r="K61" i="14" s="1"/>
  <c r="K10" i="14"/>
  <c r="K16" i="14" s="1"/>
  <c r="K27" i="14" s="1"/>
  <c r="J5" i="48"/>
  <c r="B8" i="59"/>
  <c r="L15" i="48"/>
  <c r="B87" i="14"/>
  <c r="E63" i="14"/>
  <c r="F89" i="14"/>
  <c r="E20" i="18"/>
  <c r="E77" i="14"/>
  <c r="D10" i="18"/>
  <c r="J9" i="18"/>
  <c r="O9" i="18" s="1"/>
  <c r="O10" i="18" s="1"/>
  <c r="D23" i="48"/>
  <c r="D33" i="48" s="1"/>
  <c r="D15" i="48"/>
  <c r="M63" i="14"/>
  <c r="D89" i="14"/>
  <c r="D90" i="14" s="1"/>
  <c r="O19" i="18"/>
  <c r="O20" i="18" s="1"/>
  <c r="I77" i="14"/>
  <c r="I10" i="18"/>
  <c r="I19" i="59" l="1"/>
  <c r="I20" i="59" s="1"/>
  <c r="I90" i="14"/>
  <c r="B89" i="14"/>
  <c r="B19" i="59" s="1"/>
  <c r="I9" i="59"/>
  <c r="I10" i="59" s="1"/>
  <c r="I78" i="14"/>
  <c r="J23" i="48"/>
  <c r="J33" i="48" s="1"/>
  <c r="J15" i="48"/>
  <c r="E9" i="59"/>
  <c r="E10" i="59" s="1"/>
  <c r="E78" i="14"/>
  <c r="C17" i="59"/>
  <c r="M19" i="59"/>
  <c r="M20" i="59" s="1"/>
  <c r="M90" i="14"/>
  <c r="J77" i="14"/>
  <c r="B77" i="14" s="1"/>
  <c r="J10" i="18"/>
  <c r="Q8" i="48"/>
  <c r="Q15" i="48" s="1"/>
  <c r="D9" i="59"/>
  <c r="D10" i="59" s="1"/>
  <c r="Q77" i="14"/>
  <c r="C77" i="14"/>
  <c r="D78" i="14"/>
  <c r="P17" i="59"/>
  <c r="M9" i="59"/>
  <c r="M10" i="59" s="1"/>
  <c r="M78" i="14"/>
  <c r="F46" i="14"/>
  <c r="F61" i="14" s="1"/>
  <c r="F63" i="14" s="1"/>
  <c r="J19" i="59"/>
  <c r="J20" i="59" s="1"/>
  <c r="J90" i="14"/>
  <c r="F23" i="48"/>
  <c r="F33" i="48" s="1"/>
  <c r="F15" i="48"/>
  <c r="D19" i="59"/>
  <c r="Q89" i="14"/>
  <c r="P19" i="59" s="1"/>
  <c r="C89" i="14"/>
  <c r="C19" i="59" s="1"/>
  <c r="F19" i="59"/>
  <c r="F20" i="59" s="1"/>
  <c r="F90" i="14"/>
  <c r="B17" i="59"/>
  <c r="B20" i="59" s="1"/>
  <c r="K63" i="14"/>
  <c r="F9" i="59"/>
  <c r="F10" i="59" s="1"/>
  <c r="F78" i="14"/>
  <c r="R10" i="14"/>
  <c r="R16" i="14" s="1"/>
  <c r="R27" i="14" s="1"/>
  <c r="G63" i="14"/>
  <c r="D20" i="59"/>
  <c r="E23" i="48"/>
  <c r="E33" i="48" s="1"/>
  <c r="E15" i="48"/>
  <c r="N23" i="48"/>
  <c r="N33" i="48" s="1"/>
  <c r="N15" i="48"/>
  <c r="B9" i="59" l="1"/>
  <c r="B10" i="59" s="1"/>
  <c r="B78" i="14"/>
  <c r="B90" i="14"/>
  <c r="Q90" i="14"/>
  <c r="B17" i="6" s="1"/>
  <c r="B22" i="6" s="1"/>
  <c r="C9" i="59"/>
  <c r="C10" i="59" s="1"/>
  <c r="C78" i="14"/>
  <c r="C20" i="59"/>
  <c r="P20" i="59"/>
  <c r="P9" i="59"/>
  <c r="P10" i="59" s="1"/>
  <c r="Q78" i="14"/>
  <c r="B9" i="6" s="1"/>
  <c r="J9" i="59"/>
  <c r="J10" i="59" s="1"/>
  <c r="J78" i="14"/>
  <c r="C90" i="14"/>
  <c r="C29" i="20" l="1"/>
  <c r="C16" i="22"/>
  <c r="C10" i="17"/>
  <c r="C12" i="17" s="1"/>
  <c r="D54" i="14" s="1"/>
  <c r="D56" i="14" s="1"/>
  <c r="C17" i="49"/>
  <c r="C17" i="19"/>
  <c r="C19" i="19" s="1"/>
  <c r="D39" i="14" s="1"/>
  <c r="C56" i="22"/>
  <c r="C58" i="22" s="1"/>
  <c r="D49" i="14" s="1"/>
  <c r="D52" i="14" s="1"/>
  <c r="C20" i="16"/>
  <c r="C22" i="16" s="1"/>
  <c r="D43" i="14" s="1"/>
  <c r="C22" i="59"/>
  <c r="C10" i="13"/>
  <c r="C18" i="15"/>
  <c r="C20" i="15" s="1"/>
  <c r="D40" i="14" s="1"/>
  <c r="B4" i="6"/>
  <c r="B12" i="6"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C17" i="48"/>
  <c r="C12" i="13"/>
  <c r="D41" i="14" s="1"/>
  <c r="D46" i="14" s="1"/>
  <c r="D61" i="14" s="1"/>
  <c r="D63" i="14" s="1"/>
  <c r="C27" i="48" l="1"/>
  <c r="C31" i="48"/>
  <c r="C24" i="48"/>
  <c r="C29" i="48"/>
  <c r="C28" i="48"/>
  <c r="C22" i="48"/>
  <c r="C30" i="48"/>
  <c r="C25" i="48"/>
  <c r="C23" i="48"/>
  <c r="C32" i="48"/>
  <c r="C26" i="48"/>
  <c r="C40" i="14"/>
  <c r="R40" i="14" s="1"/>
  <c r="R39" i="14"/>
  <c r="B17" i="48"/>
  <c r="B12" i="13"/>
  <c r="C41" i="14" s="1"/>
  <c r="R41" i="14" s="1"/>
  <c r="C52" i="14"/>
  <c r="R48" i="14"/>
  <c r="R52" i="14" s="1"/>
  <c r="C56" i="14"/>
  <c r="R54" i="14"/>
  <c r="R56" i="14" s="1"/>
  <c r="B29" i="48" l="1"/>
  <c r="Q29" i="48" s="1"/>
  <c r="B22" i="48"/>
  <c r="B28" i="48"/>
  <c r="Q28" i="48" s="1"/>
  <c r="B27" i="48"/>
  <c r="Q27" i="48" s="1"/>
  <c r="B32" i="48"/>
  <c r="Q32" i="48" s="1"/>
  <c r="B24" i="48"/>
  <c r="Q24" i="48" s="1"/>
  <c r="B30" i="48"/>
  <c r="Q30" i="48" s="1"/>
  <c r="B31" i="48"/>
  <c r="Q31" i="48" s="1"/>
  <c r="B25" i="48"/>
  <c r="Q25" i="48" s="1"/>
  <c r="B23" i="48"/>
  <c r="Q23" i="48" s="1"/>
  <c r="B26" i="48"/>
  <c r="Q26"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<sst xmlns="http://schemas.openxmlformats.org/spreadsheetml/2006/main" count="2341" uniqueCount="830">
  <si>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</si>
  <si>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</si>
  <si>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</si>
  <si>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</si>
  <si>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</si>
  <si>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</si>
  <si>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</si>
  <si>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</si>
  <si>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</si>
  <si>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</si>
  <si>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</si>
  <si>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</si>
  <si>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</si>
  <si>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</si>
  <si>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</si>
  <si>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</si>
  <si>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</si>
  <si>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</si>
  <si>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</si>
  <si>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</si>
  <si>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</si>
  <si>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</si>
  <si>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</si>
  <si>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</si>
  <si>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</si>
  <si>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</si>
  <si>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</si>
  <si>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</si>
  <si>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</si>
  <si>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</si>
  <si>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</si>
  <si>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</si>
  <si>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</si>
  <si>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</si>
  <si>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</si>
  <si>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</si>
  <si>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</si>
  <si>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</si>
  <si>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</si>
  <si>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</si>
  <si>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</si>
  <si>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</si>
  <si>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</si>
  <si>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</si>
  <si>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</si>
  <si>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</si>
  <si>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</si>
  <si>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</si>
  <si>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</si>
  <si>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</si>
  <si>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</si>
  <si>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</si>
  <si>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</si>
  <si>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</si>
  <si>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</si>
  <si>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</si>
  <si>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</si>
  <si>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</si>
  <si>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</si>
  <si>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</si>
  <si>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</si>
  <si>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</si>
  <si>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</si>
  <si>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</si>
  <si>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</si>
  <si>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</si>
  <si>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</si>
  <si>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</si>
  <si>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</si>
  <si>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</si>
  <si>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</si>
  <si>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</si>
  <si>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</si>
  <si>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</si>
  <si>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</si>
  <si>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</si>
  <si>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</si>
  <si>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</si>
  <si>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</si>
  <si>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</si>
  <si>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</si>
  <si>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</si>
  <si>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</si>
  <si>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</si>
  <si>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</si>
  <si>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</si>
  <si>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</si>
  <si>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</si>
  <si>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</si>
  <si>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</si>
  <si>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</si>
  <si>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</si>
  <si>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</si>
  <si>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</si>
  <si>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</si>
  <si>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</si>
  <si>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</si>
  <si>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</si>
  <si>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</si>
  <si>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</si>
  <si>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</si>
  <si>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</si>
  <si>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</si>
  <si>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</si>
  <si>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</si>
  <si>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</si>
  <si>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</si>
  <si>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</si>
  <si>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</si>
  <si>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</si>
  <si>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</si>
  <si>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</si>
  <si>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</si>
  <si>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</si>
  <si>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</si>
  <si>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</si>
  <si>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</si>
  <si>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</si>
  <si>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</si>
  <si>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</si>
  <si>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</si>
  <si>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</si>
  <si>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</si>
  <si>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</si>
  <si>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</si>
  <si>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</si>
  <si>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</si>
  <si>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</si>
  <si>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</si>
  <si>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</si>
  <si>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</si>
  <si>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</si>
  <si>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</si>
  <si>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</si>
  <si>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</si>
  <si>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</si>
  <si>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</si>
  <si>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</si>
  <si>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</si>
  <si>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</si>
  <si>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</si>
  <si>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</si>
  <si>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</si>
  <si>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</si>
  <si>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</si>
  <si>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</si>
  <si>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</si>
  <si>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</si>
  <si>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</si>
  <si>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</si>
  <si>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</si>
  <si>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</si>
  <si>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</si>
  <si>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</si>
  <si>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</si>
  <si>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</si>
  <si>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</si>
  <si>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</si>
  <si>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</si>
  <si>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</si>
  <si>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</si>
  <si>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</si>
  <si>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</si>
  <si>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</si>
  <si>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</si>
  <si>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</si>
  <si>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</si>
  <si>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</si>
  <si>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</si>
  <si>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</si>
  <si>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</si>
  <si>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</si>
  <si>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</si>
  <si>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</si>
  <si>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</si>
  <si>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</si>
  <si>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</si>
  <si>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</si>
  <si>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</si>
  <si>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</si>
  <si>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</si>
  <si>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</si>
  <si>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</si>
  <si>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</si>
  <si>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</si>
  <si>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</si>
  <si>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</si>
  <si>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</si>
  <si>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</si>
  <si>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</si>
  <si>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</si>
  <si>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</si>
  <si>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</si>
  <si>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</si>
  <si>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</si>
  <si>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</si>
  <si>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</si>
  <si>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</si>
  <si>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</si>
  <si>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</si>
  <si>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</si>
  <si>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</si>
  <si>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</si>
  <si>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</si>
  <si>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</si>
  <si>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</si>
  <si>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</si>
  <si>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</si>
  <si>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</si>
  <si>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</si>
  <si>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</si>
  <si>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</si>
  <si>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</si>
  <si>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</si>
  <si>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</si>
  <si>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</si>
  <si>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</si>
  <si>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</si>
  <si>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</si>
  <si>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</si>
  <si>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</si>
  <si>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</si>
  <si>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</si>
  <si>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</si>
  <si>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</si>
  <si>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</si>
  <si>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</si>
  <si>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</si>
  <si>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</si>
  <si>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</si>
  <si>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</si>
  <si>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</si>
  <si>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</si>
  <si>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</si>
  <si>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</si>
  <si>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</si>
  <si>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</si>
  <si>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</si>
  <si>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</si>
  <si>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</si>
  <si>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</si>
  <si>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</si>
  <si>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</si>
  <si>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</si>
  <si>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</si>
  <si>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</si>
  <si>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</si>
  <si>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</si>
  <si>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</si>
  <si>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</si>
  <si>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</si>
  <si>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</si>
  <si>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</si>
  <si>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</si>
  <si>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</si>
  <si>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</si>
  <si>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</si>
  <si>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</si>
  <si>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</si>
  <si>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</si>
  <si>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</si>
  <si>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</si>
  <si>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</si>
  <si>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</si>
  <si>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</si>
  <si>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</si>
  <si>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</si>
  <si>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</si>
  <si>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</si>
  <si>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</si>
  <si>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</si>
  <si>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</si>
  <si>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</si>
  <si>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</si>
  <si>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</si>
  <si>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</si>
  <si>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</si>
  <si>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</si>
  <si>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</si>
  <si>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</si>
  <si>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</si>
  <si>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</si>
  <si>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</si>
  <si>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</si>
  <si>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</si>
  <si>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</si>
  <si>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</si>
  <si>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</si>
  <si>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</si>
  <si>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</si>
  <si>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</si>
  <si>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</si>
  <si>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</si>
  <si>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</si>
  <si>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</si>
  <si>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</si>
  <si>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</si>
  <si>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</si>
  <si>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</si>
  <si>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</si>
  <si>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</si>
  <si>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</si>
  <si>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</si>
  <si>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</si>
  <si>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</si>
  <si>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</si>
  <si>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</si>
  <si>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</si>
  <si>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</si>
  <si>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</si>
  <si>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</si>
  <si>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</si>
  <si>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</si>
  <si>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</si>
  <si>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</si>
  <si>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</si>
  <si>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</si>
  <si>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</si>
  <si>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</si>
  <si>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</si>
  <si>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</si>
  <si>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</si>
  <si>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</si>
  <si>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</si>
  <si>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</si>
  <si>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</si>
  <si>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</si>
  <si>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</si>
  <si>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</si>
  <si>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</si>
  <si>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</si>
  <si>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</si>
  <si>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</si>
  <si>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</si>
  <si>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</si>
  <si>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</si>
  <si>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</si>
  <si>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</si>
  <si>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</si>
  <si>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</si>
  <si>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</si>
  <si>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</si>
  <si>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</si>
  <si>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</si>
  <si>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</si>
  <si>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</si>
  <si>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</si>
  <si>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</si>
  <si>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</si>
  <si>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</si>
  <si>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</si>
  <si>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</si>
  <si>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</si>
  <si>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</si>
  <si>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</si>
  <si>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</si>
  <si>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</si>
  <si>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</si>
  <si>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</si>
  <si>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</si>
  <si>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</si>
  <si>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</si>
  <si>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</si>
  <si>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</si>
  <si>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</si>
  <si>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</si>
  <si>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</si>
  <si>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</si>
  <si>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</si>
  <si>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</si>
  <si>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</si>
  <si>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</si>
  <si>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</si>
  <si>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</si>
  <si>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</si>
  <si>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</si>
  <si>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</si>
  <si>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</si>
  <si>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</si>
  <si>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</si>
  <si>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</si>
  <si>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</si>
  <si>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</si>
  <si>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</si>
  <si>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</si>
  <si>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</si>
  <si>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</si>
  <si>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</si>
  <si>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</si>
  <si>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</si>
  <si>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</si>
  <si>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</si>
  <si>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</si>
  <si>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</si>
  <si>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</si>
  <si>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</si>
  <si>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</si>
  <si>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</si>
  <si>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</si>
  <si>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</si>
  <si>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</si>
  <si>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</si>
  <si>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</si>
  <si>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</si>
  <si>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</si>
  <si>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</si>
  <si>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</si>
  <si>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</si>
  <si>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</si>
  <si>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</si>
  <si>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</si>
  <si>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</si>
  <si>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</si>
  <si>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</si>
  <si>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</si>
  <si>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</si>
  <si>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</si>
  <si>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</si>
  <si>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</si>
  <si>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</si>
  <si>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</si>
  <si>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</si>
  <si>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</si>
  <si>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</si>
  <si>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</si>
  <si>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</si>
  <si>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</si>
  <si>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</si>
  <si>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</si>
  <si>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</si>
  <si>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</si>
  <si>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</si>
  <si>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</si>
  <si>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</si>
  <si>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</si>
  <si>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</si>
  <si>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</si>
  <si>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</si>
  <si>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</si>
  <si>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</si>
  <si>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</si>
  <si>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</si>
  <si>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</si>
  <si>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</si>
  <si>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</si>
  <si>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</si>
  <si>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</si>
  <si>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</si>
  <si>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</si>
  <si>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</si>
  <si>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</si>
  <si>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</si>
  <si>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</si>
  <si>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</si>
  <si>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</si>
  <si>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</si>
  <si>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</si>
  <si>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</si>
  <si>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</si>
  <si>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</si>
  <si>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</si>
  <si>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</si>
  <si>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</si>
  <si>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</si>
  <si>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</si>
  <si>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</si>
  <si>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</si>
  <si>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</si>
  <si>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</si>
  <si>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</si>
  <si>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</si>
  <si>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</si>
  <si>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</si>
  <si>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</si>
  <si>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</si>
  <si>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</si>
  <si>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</si>
  <si>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</si>
  <si>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</si>
  <si>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</si>
  <si>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</si>
  <si>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</si>
  <si>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</si>
  <si>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</si>
  <si>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</si>
  <si>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</si>
  <si>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</si>
  <si>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</si>
  <si>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</si>
  <si>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</si>
  <si>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</si>
  <si>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</si>
  <si>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</si>
  <si>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</si>
  <si>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</si>
  <si>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</si>
  <si>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</si>
  <si>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</si>
  <si>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</si>
  <si>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</si>
  <si>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</si>
  <si>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</si>
  <si>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</si>
  <si>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</si>
  <si>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</si>
  <si>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</si>
  <si>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</si>
  <si>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</si>
  <si>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</si>
  <si>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</si>
  <si>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</si>
  <si>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</si>
  <si>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</si>
  <si>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</si>
  <si>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</si>
  <si>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</si>
  <si>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</si>
  <si>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</si>
  <si>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</si>
  <si>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</si>
  <si>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</si>
  <si>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</si>
  <si>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</si>
  <si>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</si>
  <si>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</si>
  <si>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</si>
  <si>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</si>
  <si>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</si>
  <si>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</si>
  <si>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</si>
  <si>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</si>
  <si>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</si>
  <si>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</si>
  <si>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</si>
  <si>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</si>
  <si>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</si>
  <si>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</si>
  <si>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</si>
  <si>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</si>
  <si>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</si>
  <si>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</si>
  <si>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</si>
  <si>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</si>
  <si>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</si>
  <si>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</si>
  <si>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</si>
  <si>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</si>
  <si>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</si>
  <si>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</si>
  <si>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</si>
  <si>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</si>
  <si>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</si>
  <si>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</si>
  <si>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</si>
  <si>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</si>
  <si>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</si>
  <si>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</si>
  <si>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</si>
  <si>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</si>
  <si>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</si>
  <si>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</si>
  <si>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</si>
  <si>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</si>
  <si>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</si>
  <si>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</si>
  <si>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</si>
  <si>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</si>
  <si>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</si>
  <si>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</si>
  <si>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</si>
  <si>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</si>
  <si>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</si>
  <si>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</si>
  <si>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</si>
  <si>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</si>
  <si>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</si>
  <si>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</si>
  <si>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</si>
  <si>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</si>
  <si>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</si>
  <si>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</si>
  <si>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</si>
  <si>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</si>
  <si>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</si>
  <si>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</si>
  <si>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</si>
  <si>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</si>
  <si>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</si>
  <si>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</si>
  <si>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</si>
  <si>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</si>
  <si>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</si>
  <si>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</si>
  <si>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</si>
  <si>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</si>
  <si>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</si>
  <si>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</si>
  <si>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</si>
  <si>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</si>
  <si>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</si>
  <si>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</si>
  <si>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</si>
  <si>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</si>
  <si>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</si>
  <si>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</si>
  <si>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</si>
  <si>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</si>
  <si>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</si>
  <si>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</si>
  <si>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</si>
  <si>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</si>
  <si>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</si>
  <si>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</si>
  <si>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</si>
  <si>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</si>
  <si>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</si>
  <si>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</si>
  <si>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</si>
  <si>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</si>
  <si>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</si>
  <si>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</si>
  <si>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</si>
  <si>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</si>
  <si>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</si>
  <si>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</si>
  <si>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</si>
  <si>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</si>
  <si>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</si>
  <si>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</si>
  <si>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</si>
  <si>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</si>
  <si>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</si>
  <si>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</si>
  <si>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</si>
  <si>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</si>
  <si>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</si>
  <si>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</si>
  <si>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</si>
  <si>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</si>
  <si>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</si>
  <si>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</si>
  <si>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</si>
  <si>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</si>
  <si>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</si>
  <si>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</si>
  <si>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</si>
  <si>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</si>
  <si>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</si>
  <si>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</si>
  <si>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</si>
  <si>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</si>
  <si>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</si>
  <si>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</si>
  <si>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</si>
  <si>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</si>
  <si>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</si>
  <si>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</si>
  <si>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</si>
  <si>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</si>
  <si>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</si>
  <si>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</si>
  <si>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</si>
  <si>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</si>
  <si>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</si>
  <si>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</si>
  <si>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</si>
  <si>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</si>
  <si>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</si>
  <si>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</si>
  <si>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</si>
  <si>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</si>
  <si>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</si>
  <si>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</si>
  <si>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</si>
  <si>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</si>
  <si>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</si>
  <si>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</si>
  <si>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</si>
  <si>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</si>
  <si>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</si>
  <si>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</si>
  <si>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</si>
  <si>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</si>
  <si>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</si>
  <si>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</si>
  <si>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</si>
  <si>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</si>
  <si>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</si>
  <si>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</si>
  <si>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</si>
  <si>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</si>
  <si>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</si>
  <si>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</si>
  <si>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</si>
  <si>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</si>
  <si>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</si>
  <si>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</si>
  <si>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</si>
  <si>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</si>
  <si>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</si>
  <si>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</si>
  <si>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</si>
  <si>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</si>
  <si>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</si>
  <si>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</si>
  <si>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</si>
  <si>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</si>
  <si>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</si>
  <si>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</si>
  <si>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</si>
  <si>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</si>
  <si>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</si>
  <si>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</si>
  <si>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</si>
  <si>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</si>
  <si>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</si>
  <si>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</si>
  <si>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</si>
  <si>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</si>
  <si>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</si>
  <si>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</si>
  <si>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</si>
  <si>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</si>
  <si>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</si>
  <si>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</si>
  <si>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</si>
  <si>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</si>
  <si>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</si>
  <si>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</si>
  <si>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</si>
  <si>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</si>
  <si>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</si>
  <si>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</si>
  <si>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</si>
  <si>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</si>
  <si>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</si>
  <si>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</si>
  <si>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</si>
  <si>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</si>
  <si>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</si>
  <si>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</si>
  <si>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</si>
  <si>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</si>
  <si>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</si>
  <si>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</si>
  <si>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</si>
  <si>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</si>
  <si>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</si>
  <si>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</si>
  <si>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</si>
  <si>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</si>
  <si>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</si>
  <si>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</si>
  <si>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</si>
  <si>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</si>
  <si>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</si>
  <si>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</si>
  <si>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</si>
  <si>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</si>
  <si>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</si>
  <si>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</si>
  <si>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</si>
  <si>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</si>
  <si>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</si>
  <si>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</si>
  <si>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</si>
  <si>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</si>
  <si>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</si>
  <si>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</si>
  <si>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</si>
  <si>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</si>
  <si>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</si>
  <si>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</si>
  <si>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</si>
  <si>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</si>
  <si>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</si>
  <si>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</si>
  <si>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</si>
  <si>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</si>
  <si>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</si>
  <si>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</si>
  <si>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</si>
  <si>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</si>
  <si>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</si>
  <si>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</si>
  <si>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</si>
  <si>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</si>
  <si>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</si>
  <si>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</si>
  <si>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</si>
  <si>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</si>
  <si>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</si>
  <si>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</si>
  <si>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</si>
  <si>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</si>
  <si>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</si>
  <si>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</si>
  <si>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</si>
  <si>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</si>
  <si>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</si>
  <si>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</si>
  <si>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</si>
  <si>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</si>
  <si>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</si>
  <si>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</si>
  <si>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</si>
  <si>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</si>
  <si>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</si>
  <si>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</si>
  <si>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</si>
  <si>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</si>
  <si>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</si>
  <si>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</si>
  <si>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</si>
  <si>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</si>
  <si>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</si>
  <si>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</si>
  <si>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</si>
  <si>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</si>
  <si>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</si>
  <si>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</si>
  <si>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</si>
  <si>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</si>
  <si>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</si>
  <si>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</si>
  <si>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</si>
  <si>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</si>
  <si>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37010</t>
  </si>
  <si>
    <t>OOSTROZEBEKE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</si>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</sst>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4FC2718-C7FB-4193-8EE2-07D65D1A1C0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59109.412058777947</c:v>
                </c:pt>
                <c:pt idx="1">
                  <c:v>16894.803298554514</c:v>
                </c:pt>
                <c:pt idx="2">
                  <c:v>514.50599999999997</c:v>
                </c:pt>
                <c:pt idx="3">
                  <c:v>23039.314205066432</c:v>
                </c:pt>
                <c:pt idx="4">
                  <c:v>151858.87022709398</c:v>
                </c:pt>
                <c:pt idx="5">
                  <c:v>37544.976820428674</c:v>
                </c:pt>
                <c:pt idx="6">
                  <c:v>138.36129221892386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59109.412058777947</c:v>
                </c:pt>
                <c:pt idx="1">
                  <c:v>16894.803298554514</c:v>
                </c:pt>
                <c:pt idx="2">
                  <c:v>514.50599999999997</c:v>
                </c:pt>
                <c:pt idx="3">
                  <c:v>23039.314205066432</c:v>
                </c:pt>
                <c:pt idx="4">
                  <c:v>151858.87022709398</c:v>
                </c:pt>
                <c:pt idx="5">
                  <c:v>37544.976820428674</c:v>
                </c:pt>
                <c:pt idx="6">
                  <c:v>138.36129221892386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12063.37786936878</c:v>
                </c:pt>
                <c:pt idx="1">
                  <c:v>3407.4949885037372</c:v>
                </c:pt>
                <c:pt idx="2">
                  <c:v>102.37174466820714</c:v>
                </c:pt>
                <c:pt idx="3">
                  <c:v>4867.496118529687</c:v>
                </c:pt>
                <c:pt idx="4">
                  <c:v>30989.016987310322</c:v>
                </c:pt>
                <c:pt idx="5">
                  <c:v>8937.6748248577769</c:v>
                </c:pt>
                <c:pt idx="6">
                  <c:v>33.101453816523623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12063.37786936878</c:v>
                </c:pt>
                <c:pt idx="1">
                  <c:v>3407.4949885037372</c:v>
                </c:pt>
                <c:pt idx="2">
                  <c:v>102.37174466820714</c:v>
                </c:pt>
                <c:pt idx="3">
                  <c:v>4867.496118529687</c:v>
                </c:pt>
                <c:pt idx="4">
                  <c:v>30989.016987310322</c:v>
                </c:pt>
                <c:pt idx="5">
                  <c:v>8937.6748248577769</c:v>
                </c:pt>
                <c:pt idx="6">
                  <c:v>33.101453816523623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37010</v>
      </c>
      <c r="B6" s="380"/>
      <c r="C6" s="381"/>
    </row>
    <row r="7" spans="1:7" s="378" customFormat="1" ht="15.75" customHeight="1">
      <c r="A7" s="382" t="str">
        <f>txtMunicipality</f>
        <v>OOSTROZEBEKE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0.1989709443003719</v>
      </c>
      <c r="C17" s="492">
        <f ca="1">'EF ele_warmte'!B22</f>
        <v>0.19589815430949406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0.1989709443003719</v>
      </c>
      <c r="C29" s="493">
        <f ca="1">'EF ele_warmte'!B22</f>
        <v>0.19589815430949406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946.33</v>
      </c>
      <c r="C14" s="323"/>
      <c r="D14" s="323"/>
      <c r="E14" s="323"/>
      <c r="F14" s="323"/>
    </row>
    <row r="15" spans="1:6">
      <c r="A15" s="1266" t="s">
        <v>177</v>
      </c>
      <c r="B15" s="1267">
        <v>25</v>
      </c>
      <c r="C15" s="323"/>
      <c r="D15" s="323"/>
      <c r="E15" s="323"/>
      <c r="F15" s="323"/>
    </row>
    <row r="16" spans="1:6">
      <c r="A16" s="1266" t="s">
        <v>6</v>
      </c>
      <c r="B16" s="1267">
        <v>651</v>
      </c>
      <c r="C16" s="323"/>
      <c r="D16" s="323"/>
      <c r="E16" s="323"/>
      <c r="F16" s="323"/>
    </row>
    <row r="17" spans="1:6">
      <c r="A17" s="1266" t="s">
        <v>7</v>
      </c>
      <c r="B17" s="1267">
        <v>468</v>
      </c>
      <c r="C17" s="323"/>
      <c r="D17" s="323"/>
      <c r="E17" s="323"/>
      <c r="F17" s="323"/>
    </row>
    <row r="18" spans="1:6">
      <c r="A18" s="1266" t="s">
        <v>8</v>
      </c>
      <c r="B18" s="1267">
        <v>685</v>
      </c>
      <c r="C18" s="323"/>
      <c r="D18" s="323"/>
      <c r="E18" s="323"/>
      <c r="F18" s="323"/>
    </row>
    <row r="19" spans="1:6">
      <c r="A19" s="1266" t="s">
        <v>9</v>
      </c>
      <c r="B19" s="1267">
        <v>599</v>
      </c>
      <c r="C19" s="323"/>
      <c r="D19" s="323"/>
      <c r="E19" s="323"/>
      <c r="F19" s="323"/>
    </row>
    <row r="20" spans="1:6">
      <c r="A20" s="1266" t="s">
        <v>10</v>
      </c>
      <c r="B20" s="1267">
        <v>340</v>
      </c>
      <c r="C20" s="323"/>
      <c r="D20" s="323"/>
      <c r="E20" s="323"/>
      <c r="F20" s="323"/>
    </row>
    <row r="21" spans="1:6">
      <c r="A21" s="1266" t="s">
        <v>11</v>
      </c>
      <c r="B21" s="1267">
        <v>3641</v>
      </c>
      <c r="C21" s="323"/>
      <c r="D21" s="323"/>
      <c r="E21" s="323"/>
      <c r="F21" s="323"/>
    </row>
    <row r="22" spans="1:6">
      <c r="A22" s="1266" t="s">
        <v>12</v>
      </c>
      <c r="B22" s="1267">
        <v>22465</v>
      </c>
      <c r="C22" s="323"/>
      <c r="D22" s="323"/>
      <c r="E22" s="323"/>
      <c r="F22" s="323"/>
    </row>
    <row r="23" spans="1:6">
      <c r="A23" s="1266" t="s">
        <v>13</v>
      </c>
      <c r="B23" s="1267">
        <v>120</v>
      </c>
      <c r="C23" s="323"/>
      <c r="D23" s="323"/>
      <c r="E23" s="323"/>
      <c r="F23" s="323"/>
    </row>
    <row r="24" spans="1:6">
      <c r="A24" s="1266" t="s">
        <v>14</v>
      </c>
      <c r="B24" s="1267">
        <v>6</v>
      </c>
      <c r="C24" s="323"/>
      <c r="D24" s="323"/>
      <c r="E24" s="323"/>
      <c r="F24" s="323"/>
    </row>
    <row r="25" spans="1:6">
      <c r="A25" s="1266" t="s">
        <v>15</v>
      </c>
      <c r="B25" s="1267">
        <v>746</v>
      </c>
      <c r="C25" s="323"/>
      <c r="D25" s="323"/>
      <c r="E25" s="323"/>
      <c r="F25" s="323"/>
    </row>
    <row r="26" spans="1:6">
      <c r="A26" s="1266" t="s">
        <v>16</v>
      </c>
      <c r="B26" s="1267">
        <v>129</v>
      </c>
      <c r="C26" s="323"/>
      <c r="D26" s="323"/>
      <c r="E26" s="323"/>
      <c r="F26" s="323"/>
    </row>
    <row r="27" spans="1:6">
      <c r="A27" s="1266" t="s">
        <v>17</v>
      </c>
      <c r="B27" s="1267">
        <v>33</v>
      </c>
      <c r="C27" s="323"/>
      <c r="D27" s="323"/>
      <c r="E27" s="323"/>
      <c r="F27" s="323"/>
    </row>
    <row r="28" spans="1:6">
      <c r="A28" s="1268" t="s">
        <v>18</v>
      </c>
      <c r="B28" s="1269">
        <v>361139</v>
      </c>
      <c r="C28" s="323"/>
      <c r="D28" s="323"/>
      <c r="E28" s="323"/>
      <c r="F28" s="323"/>
    </row>
    <row r="29" spans="1:6">
      <c r="A29" s="1268" t="s">
        <v>628</v>
      </c>
      <c r="B29" s="1269">
        <v>19</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219368.643873319</v>
      </c>
    </row>
    <row r="37" spans="1:6">
      <c r="A37" s="1266" t="s">
        <v>24</v>
      </c>
      <c r="B37" s="1266" t="s">
        <v>27</v>
      </c>
      <c r="C37" s="1267">
        <v>0</v>
      </c>
      <c r="D37" s="1267">
        <v>0</v>
      </c>
      <c r="E37" s="1267">
        <v>0</v>
      </c>
      <c r="F37" s="1267">
        <v>0</v>
      </c>
    </row>
    <row r="38" spans="1:6">
      <c r="A38" s="1266" t="s">
        <v>24</v>
      </c>
      <c r="B38" s="1266" t="s">
        <v>28</v>
      </c>
      <c r="C38" s="1267">
        <v>2</v>
      </c>
      <c r="D38" s="1267">
        <v>3.8584159198000001</v>
      </c>
      <c r="E38" s="1267">
        <v>0</v>
      </c>
      <c r="F38" s="1267">
        <v>0</v>
      </c>
    </row>
    <row r="39" spans="1:6">
      <c r="A39" s="1266" t="s">
        <v>29</v>
      </c>
      <c r="B39" s="1266" t="s">
        <v>30</v>
      </c>
      <c r="C39" s="1267">
        <v>2038</v>
      </c>
      <c r="D39" s="1267">
        <v>25084343.9966067</v>
      </c>
      <c r="E39" s="1267">
        <v>3203</v>
      </c>
      <c r="F39" s="1267">
        <v>10184697.5465743</v>
      </c>
    </row>
    <row r="40" spans="1:6">
      <c r="A40" s="1266" t="s">
        <v>29</v>
      </c>
      <c r="B40" s="1266" t="s">
        <v>28</v>
      </c>
      <c r="C40" s="1267">
        <v>0</v>
      </c>
      <c r="D40" s="1267">
        <v>0</v>
      </c>
      <c r="E40" s="1267">
        <v>0</v>
      </c>
      <c r="F40" s="1267">
        <v>0</v>
      </c>
    </row>
    <row r="41" spans="1:6">
      <c r="A41" s="1266" t="s">
        <v>31</v>
      </c>
      <c r="B41" s="1266" t="s">
        <v>32</v>
      </c>
      <c r="C41" s="1267">
        <v>60</v>
      </c>
      <c r="D41" s="1267">
        <v>89258859.385065094</v>
      </c>
      <c r="E41" s="1267">
        <v>148</v>
      </c>
      <c r="F41" s="1267">
        <v>12160672.6810793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508965.33944322902</v>
      </c>
      <c r="E44" s="1267">
        <v>35</v>
      </c>
      <c r="F44" s="1267">
        <v>705558.42646074295</v>
      </c>
    </row>
    <row r="45" spans="1:6">
      <c r="A45" s="1266" t="s">
        <v>31</v>
      </c>
      <c r="B45" s="1266" t="s">
        <v>36</v>
      </c>
      <c r="C45" s="1267">
        <v>0</v>
      </c>
      <c r="D45" s="1267">
        <v>0</v>
      </c>
      <c r="E45" s="1267">
        <v>3</v>
      </c>
      <c r="F45" s="1267">
        <v>159082.213030994</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14322412.660063686</v>
      </c>
      <c r="E48" s="1267">
        <v>1</v>
      </c>
      <c r="F48" s="1267">
        <v>2310.8919596694</v>
      </c>
    </row>
    <row r="49" spans="1:6">
      <c r="A49" s="1266" t="s">
        <v>31</v>
      </c>
      <c r="B49" s="1266" t="s">
        <v>39</v>
      </c>
      <c r="C49" s="1267">
        <v>0</v>
      </c>
      <c r="D49" s="1267">
        <v>0</v>
      </c>
      <c r="E49" s="1267">
        <v>7</v>
      </c>
      <c r="F49" s="1267">
        <v>21427634.182409499</v>
      </c>
    </row>
    <row r="50" spans="1:6">
      <c r="A50" s="1266" t="s">
        <v>31</v>
      </c>
      <c r="B50" s="1266" t="s">
        <v>40</v>
      </c>
      <c r="C50" s="1267">
        <v>7</v>
      </c>
      <c r="D50" s="1267">
        <v>256975.27675406699</v>
      </c>
      <c r="E50" s="1267">
        <v>11</v>
      </c>
      <c r="F50" s="1267">
        <v>11170194.7510581</v>
      </c>
    </row>
    <row r="51" spans="1:6">
      <c r="A51" s="1266" t="s">
        <v>41</v>
      </c>
      <c r="B51" s="1266" t="s">
        <v>42</v>
      </c>
      <c r="C51" s="1267">
        <v>9</v>
      </c>
      <c r="D51" s="1267">
        <v>30420284.7725605</v>
      </c>
      <c r="E51" s="1267">
        <v>62</v>
      </c>
      <c r="F51" s="1267">
        <v>1222243.53964153</v>
      </c>
    </row>
    <row r="52" spans="1:6">
      <c r="A52" s="1266" t="s">
        <v>41</v>
      </c>
      <c r="B52" s="1266" t="s">
        <v>28</v>
      </c>
      <c r="C52" s="1267">
        <v>0</v>
      </c>
      <c r="D52" s="1267">
        <v>0</v>
      </c>
      <c r="E52" s="1267">
        <v>0</v>
      </c>
      <c r="F52" s="1267">
        <v>0</v>
      </c>
    </row>
    <row r="53" spans="1:6">
      <c r="A53" s="1266" t="s">
        <v>43</v>
      </c>
      <c r="B53" s="1266" t="s">
        <v>44</v>
      </c>
      <c r="C53" s="1267">
        <v>40</v>
      </c>
      <c r="D53" s="1267">
        <v>466253.46167424001</v>
      </c>
      <c r="E53" s="1267">
        <v>101</v>
      </c>
      <c r="F53" s="1267">
        <v>213857.44926677499</v>
      </c>
    </row>
    <row r="54" spans="1:6">
      <c r="A54" s="1266" t="s">
        <v>45</v>
      </c>
      <c r="B54" s="1266" t="s">
        <v>46</v>
      </c>
      <c r="C54" s="1267">
        <v>0</v>
      </c>
      <c r="D54" s="1267">
        <v>0</v>
      </c>
      <c r="E54" s="1267">
        <v>1</v>
      </c>
      <c r="F54" s="1267">
        <v>514506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33</v>
      </c>
      <c r="D57" s="1267">
        <v>2184347.8810830601</v>
      </c>
      <c r="E57" s="1267">
        <v>62</v>
      </c>
      <c r="F57" s="1267">
        <v>670006.040049267</v>
      </c>
    </row>
    <row r="58" spans="1:6">
      <c r="A58" s="1266" t="s">
        <v>48</v>
      </c>
      <c r="B58" s="1266" t="s">
        <v>50</v>
      </c>
      <c r="C58" s="1267">
        <v>10</v>
      </c>
      <c r="D58" s="1267">
        <v>172916.01670010501</v>
      </c>
      <c r="E58" s="1267">
        <v>15</v>
      </c>
      <c r="F58" s="1267">
        <v>82930.266540323297</v>
      </c>
    </row>
    <row r="59" spans="1:6">
      <c r="A59" s="1266" t="s">
        <v>48</v>
      </c>
      <c r="B59" s="1266" t="s">
        <v>51</v>
      </c>
      <c r="C59" s="1267">
        <v>56</v>
      </c>
      <c r="D59" s="1267">
        <v>1598717.42477924</v>
      </c>
      <c r="E59" s="1267">
        <v>139</v>
      </c>
      <c r="F59" s="1267">
        <v>2286032.0055713002</v>
      </c>
    </row>
    <row r="60" spans="1:6">
      <c r="A60" s="1266" t="s">
        <v>48</v>
      </c>
      <c r="B60" s="1266" t="s">
        <v>52</v>
      </c>
      <c r="C60" s="1267">
        <v>18</v>
      </c>
      <c r="D60" s="1267">
        <v>582969.59999021702</v>
      </c>
      <c r="E60" s="1267">
        <v>22</v>
      </c>
      <c r="F60" s="1267">
        <v>372780.28634761699</v>
      </c>
    </row>
    <row r="61" spans="1:6">
      <c r="A61" s="1266" t="s">
        <v>48</v>
      </c>
      <c r="B61" s="1266" t="s">
        <v>53</v>
      </c>
      <c r="C61" s="1267">
        <v>59</v>
      </c>
      <c r="D61" s="1267">
        <v>3530254.10262714</v>
      </c>
      <c r="E61" s="1267">
        <v>150</v>
      </c>
      <c r="F61" s="1267">
        <v>3986311.5963112302</v>
      </c>
    </row>
    <row r="62" spans="1:6">
      <c r="A62" s="1266" t="s">
        <v>48</v>
      </c>
      <c r="B62" s="1266" t="s">
        <v>54</v>
      </c>
      <c r="C62" s="1267">
        <v>6</v>
      </c>
      <c r="D62" s="1267">
        <v>565814.45515812596</v>
      </c>
      <c r="E62" s="1267">
        <v>8</v>
      </c>
      <c r="F62" s="1267">
        <v>79521.380495583595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12193.8067888941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3</v>
      </c>
      <c r="D68" s="1270">
        <v>68759.591511028601</v>
      </c>
      <c r="E68" s="1270">
        <v>16</v>
      </c>
      <c r="F68" s="1270">
        <v>187765.882556075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19493442</v>
      </c>
      <c r="E73" s="441"/>
      <c r="F73" s="323"/>
    </row>
    <row r="74" spans="1:6">
      <c r="A74" s="1266" t="s">
        <v>63</v>
      </c>
      <c r="B74" s="1266" t="s">
        <v>589</v>
      </c>
      <c r="C74" s="1280" t="s">
        <v>591</v>
      </c>
      <c r="D74" s="1281">
        <v>4577697.3528609695</v>
      </c>
      <c r="E74" s="441"/>
      <c r="F74" s="323"/>
    </row>
    <row r="75" spans="1:6">
      <c r="A75" s="1266" t="s">
        <v>64</v>
      </c>
      <c r="B75" s="1266" t="s">
        <v>588</v>
      </c>
      <c r="C75" s="1280" t="s">
        <v>592</v>
      </c>
      <c r="D75" s="1281">
        <v>7342580</v>
      </c>
      <c r="E75" s="441"/>
      <c r="F75" s="323"/>
    </row>
    <row r="76" spans="1:6">
      <c r="A76" s="1266" t="s">
        <v>64</v>
      </c>
      <c r="B76" s="1266" t="s">
        <v>589</v>
      </c>
      <c r="C76" s="1280" t="s">
        <v>593</v>
      </c>
      <c r="D76" s="1281">
        <v>1594488.3528609695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38689.294278060966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3574.1836059420798</v>
      </c>
      <c r="C91" s="323"/>
      <c r="D91" s="323"/>
      <c r="E91" s="323"/>
      <c r="F91" s="323"/>
    </row>
    <row r="92" spans="1:6">
      <c r="A92" s="1261" t="s">
        <v>68</v>
      </c>
      <c r="B92" s="1262">
        <v>2045.7971557521146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824</v>
      </c>
      <c r="C97" s="323"/>
      <c r="D97" s="323"/>
      <c r="E97" s="323"/>
      <c r="F97" s="323"/>
    </row>
    <row r="98" spans="1:6">
      <c r="A98" s="1266" t="s">
        <v>71</v>
      </c>
      <c r="B98" s="1267">
        <v>0</v>
      </c>
      <c r="C98" s="323"/>
      <c r="D98" s="323"/>
      <c r="E98" s="323"/>
      <c r="F98" s="323"/>
    </row>
    <row r="99" spans="1:6">
      <c r="A99" s="1266" t="s">
        <v>72</v>
      </c>
      <c r="B99" s="1267">
        <v>50</v>
      </c>
      <c r="C99" s="323"/>
      <c r="D99" s="323"/>
      <c r="E99" s="323"/>
      <c r="F99" s="323"/>
    </row>
    <row r="100" spans="1:6">
      <c r="A100" s="1266" t="s">
        <v>73</v>
      </c>
      <c r="B100" s="1267">
        <v>270</v>
      </c>
      <c r="C100" s="323"/>
      <c r="D100" s="323"/>
      <c r="E100" s="323"/>
      <c r="F100" s="323"/>
    </row>
    <row r="101" spans="1:6">
      <c r="A101" s="1266" t="s">
        <v>74</v>
      </c>
      <c r="B101" s="1267">
        <v>66</v>
      </c>
      <c r="C101" s="323"/>
      <c r="D101" s="323"/>
      <c r="E101" s="323"/>
      <c r="F101" s="323"/>
    </row>
    <row r="102" spans="1:6">
      <c r="A102" s="1266" t="s">
        <v>75</v>
      </c>
      <c r="B102" s="1267">
        <v>62</v>
      </c>
      <c r="C102" s="323"/>
      <c r="D102" s="323"/>
      <c r="E102" s="323"/>
      <c r="F102" s="323"/>
    </row>
    <row r="103" spans="1:6">
      <c r="A103" s="1266" t="s">
        <v>76</v>
      </c>
      <c r="B103" s="1267">
        <v>87</v>
      </c>
      <c r="C103" s="323"/>
      <c r="D103" s="323"/>
      <c r="E103" s="323"/>
      <c r="F103" s="323"/>
    </row>
    <row r="104" spans="1:6">
      <c r="A104" s="1266" t="s">
        <v>77</v>
      </c>
      <c r="B104" s="1267">
        <v>1363</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17</v>
      </c>
      <c r="C123" s="1267">
        <v>13</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124</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68936.057548852303</v>
      </c>
      <c r="C3" s="43" t="s">
        <v>163</v>
      </c>
      <c r="D3" s="43"/>
      <c r="E3" s="153"/>
      <c r="F3" s="43"/>
      <c r="G3" s="43"/>
      <c r="H3" s="43"/>
      <c r="I3" s="43"/>
      <c r="J3" s="43"/>
      <c r="K3" s="96"/>
    </row>
    <row r="4" spans="1:11">
      <c r="A4" s="348" t="s">
        <v>164</v>
      </c>
      <c r="B4" s="49">
        <f>IF(ISERROR('SEAP template'!B78+'SEAP template'!C78),0,'SEAP template'!B78+'SEAP template'!C78)</f>
        <v>16638.314095908994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2158.4711637394525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0.1989709443003719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3189.7116977995138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16282.5000013026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0.19589815430949406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514.50599999999997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514.50599999999997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0.1989709443003719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102.37174466820714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10184.6975465743</v>
      </c>
      <c r="C5" s="17">
        <f>IF(ISERROR('Eigen informatie GS &amp; warmtenet'!B59),0,'Eigen informatie GS &amp; warmtenet'!B59)</f>
        <v>0</v>
      </c>
      <c r="D5" s="30">
        <f>(SUM(HH_hh_gas_kWh,HH_rest_gas_kWh)/1000)*0.903</f>
        <v>22651.162628935854</v>
      </c>
      <c r="E5" s="17">
        <f>B32*B41</f>
        <v>1305.6511434736233</v>
      </c>
      <c r="F5" s="17">
        <f>B36*B45</f>
        <v>16540.691641390709</v>
      </c>
      <c r="G5" s="18"/>
      <c r="H5" s="17"/>
      <c r="I5" s="17"/>
      <c r="J5" s="17">
        <f>B35*B44+C35*C44</f>
        <v>105.86995782805759</v>
      </c>
      <c r="K5" s="17"/>
      <c r="L5" s="17"/>
      <c r="M5" s="17"/>
      <c r="N5" s="17">
        <f>B34*B43+C34*C43</f>
        <v>4125.7486432043152</v>
      </c>
      <c r="O5" s="17">
        <f>B52*B53*B54</f>
        <v>273.78623427541038</v>
      </c>
      <c r="P5" s="17">
        <f>B60*B61*B62/1000-B60*B61*B62/1000/B63</f>
        <v>347.62065715360575</v>
      </c>
    </row>
    <row r="6" spans="1:16">
      <c r="A6" s="16" t="s">
        <v>556</v>
      </c>
      <c r="B6" s="734">
        <f>kWh_PV_kleiner_dan_10kW</f>
        <v>3574.1836059420798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13758.88115251638</v>
      </c>
      <c r="C8" s="21">
        <f>C5</f>
        <v>0</v>
      </c>
      <c r="D8" s="21">
        <f>D5</f>
        <v>22651.162628935854</v>
      </c>
      <c r="E8" s="21">
        <f>E5</f>
        <v>1305.6511434736233</v>
      </c>
      <c r="F8" s="21">
        <f>F5</f>
        <v>16540.691641390709</v>
      </c>
      <c r="G8" s="21"/>
      <c r="H8" s="21"/>
      <c r="I8" s="21"/>
      <c r="J8" s="21">
        <f>J5</f>
        <v>105.86995782805759</v>
      </c>
      <c r="K8" s="21"/>
      <c r="L8" s="21">
        <f>L5</f>
        <v>0</v>
      </c>
      <c r="M8" s="21">
        <f>M5</f>
        <v>0</v>
      </c>
      <c r="N8" s="21">
        <f>N5</f>
        <v>4125.7486432043152</v>
      </c>
      <c r="O8" s="21">
        <f>O5</f>
        <v>273.78623427541038</v>
      </c>
      <c r="P8" s="21">
        <f>P5</f>
        <v>347.62065715360575</v>
      </c>
    </row>
    <row r="9" spans="1:16">
      <c r="B9" s="19"/>
      <c r="C9" s="19"/>
      <c r="D9" s="253"/>
      <c r="E9" s="19"/>
      <c r="F9" s="19"/>
      <c r="G9" s="19"/>
      <c r="H9" s="19"/>
      <c r="I9" s="19"/>
      <c r="J9" s="19"/>
      <c r="K9" s="19"/>
      <c r="L9" s="19"/>
      <c r="M9" s="19"/>
      <c r="N9" s="19"/>
      <c r="O9" s="19"/>
      <c r="P9" s="19"/>
    </row>
    <row r="10" spans="1:16">
      <c r="A10" s="24" t="s">
        <v>207</v>
      </c>
      <c r="B10" s="25">
        <f ca="1">'EF ele_warmte'!B12</f>
        <v>0.1989709443003719</v>
      </c>
      <c r="C10" s="25">
        <f ca="1">'EF ele_warmte'!B22</f>
        <v>0.19589815430949406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2737.6175754327733</v>
      </c>
      <c r="C12" s="23">
        <f ca="1">C10*C8</f>
        <v>0</v>
      </c>
      <c r="D12" s="23">
        <f>D8*D10</f>
        <v>4575.5348510450431</v>
      </c>
      <c r="E12" s="23">
        <f>E10*E8</f>
        <v>296.38280956851247</v>
      </c>
      <c r="F12" s="23">
        <f>F10*F8</f>
        <v>4416.3646682513199</v>
      </c>
      <c r="G12" s="23"/>
      <c r="H12" s="23"/>
      <c r="I12" s="23"/>
      <c r="J12" s="23">
        <f>J10*J8</f>
        <v>37.477965071132388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3349</v>
      </c>
      <c r="C26" s="36"/>
      <c r="D26" s="224"/>
    </row>
    <row r="27" spans="1:5" s="15" customFormat="1">
      <c r="A27" s="226" t="s">
        <v>770</v>
      </c>
      <c r="B27" s="37">
        <f>SUM(HH_hh_gas_aantal,HH_rest_gas_aantal)</f>
        <v>2038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1936.1</v>
      </c>
      <c r="C31" s="34" t="s">
        <v>104</v>
      </c>
      <c r="D31" s="170"/>
    </row>
    <row r="32" spans="1:5">
      <c r="A32" s="167" t="s">
        <v>72</v>
      </c>
      <c r="B32" s="33">
        <f>IF((B21*($B$26-($B$27-0.05*$B$27)-$B$60))&lt;0,0,(B21*($B$26-($B$27-0.05*$B$27)-$B$60)))</f>
        <v>22.540929580599123</v>
      </c>
      <c r="C32" s="34" t="s">
        <v>104</v>
      </c>
      <c r="D32" s="170"/>
    </row>
    <row r="33" spans="1:6">
      <c r="A33" s="167" t="s">
        <v>73</v>
      </c>
      <c r="B33" s="33">
        <f>IF((B22*($B$26-($B$27-0.05*$B$27)-$B$60))&lt;0,0,B22*($B$26-($B$27-0.05*$B$27)-$B$60))</f>
        <v>366.02005358790103</v>
      </c>
      <c r="C33" s="34" t="s">
        <v>104</v>
      </c>
      <c r="D33" s="170"/>
    </row>
    <row r="34" spans="1:6">
      <c r="A34" s="167" t="s">
        <v>74</v>
      </c>
      <c r="B34" s="33">
        <f>IF((B24*($B$26-($B$27-0.05*$B$27)-$B$60))&lt;0,0,B24*($B$26-($B$27-0.05*$B$27)-$B$60))</f>
        <v>160.04470712438388</v>
      </c>
      <c r="C34" s="33">
        <f>B26*C24</f>
        <v>562.63119546100029</v>
      </c>
      <c r="D34" s="229"/>
    </row>
    <row r="35" spans="1:6">
      <c r="A35" s="167" t="s">
        <v>76</v>
      </c>
      <c r="B35" s="33">
        <f>IF((B19*($B$26-($B$27-0.05*$B$27)-$B$60))&lt;0,0,B19*($B$26-($B$27-0.05*$B$27)-$B$60))</f>
        <v>9.798488349639408</v>
      </c>
      <c r="C35" s="33">
        <f>B35/2</f>
        <v>4.899244174819704</v>
      </c>
      <c r="D35" s="229"/>
    </row>
    <row r="36" spans="1:6">
      <c r="A36" s="167" t="s">
        <v>77</v>
      </c>
      <c r="B36" s="33">
        <f>IF((B18*($B$26-($B$27-0.05*$B$27)-$B$60))&lt;0,0,B18*($B$26-($B$27-0.05*$B$27)-$B$60))</f>
        <v>821.49582135747607</v>
      </c>
      <c r="C36" s="34" t="s">
        <v>104</v>
      </c>
      <c r="D36" s="170"/>
    </row>
    <row r="37" spans="1:6">
      <c r="A37" s="167" t="s">
        <v>78</v>
      </c>
      <c r="B37" s="33">
        <f>B60</f>
        <v>33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7477.5815753153202</v>
      </c>
      <c r="C5" s="17">
        <f>IF(ISERROR('Eigen informatie GS &amp; warmtenet'!B60),0,'Eigen informatie GS &amp; warmtenet'!B60)</f>
        <v>0</v>
      </c>
      <c r="D5" s="30">
        <f>SUM(D6:D12)</f>
        <v>7797.4225907451137</v>
      </c>
      <c r="E5" s="17">
        <f>SUM(E6:E12)</f>
        <v>8.6575143671001857</v>
      </c>
      <c r="F5" s="17">
        <f>SUM(F6:F12)</f>
        <v>1283.2447946934233</v>
      </c>
      <c r="G5" s="18"/>
      <c r="H5" s="17"/>
      <c r="I5" s="17"/>
      <c r="J5" s="17">
        <f>SUM(J6:J12)</f>
        <v>7.1810881250112439E-3</v>
      </c>
      <c r="K5" s="17"/>
      <c r="L5" s="17"/>
      <c r="M5" s="17"/>
      <c r="N5" s="17">
        <f>SUM(N6:N12)</f>
        <v>270.45324327310044</v>
      </c>
      <c r="O5" s="17">
        <f>B38*B39*B40</f>
        <v>4.8972607658411542</v>
      </c>
      <c r="P5" s="17">
        <f>B46*B47*B48/1000-B46*B47*B48/1000/B49</f>
        <v>52.539138306495019</v>
      </c>
      <c r="R5" s="32"/>
    </row>
    <row r="6" spans="1:18">
      <c r="A6" s="32" t="s">
        <v>53</v>
      </c>
      <c r="B6" s="37">
        <f>B26</f>
        <v>3986.31159631123</v>
      </c>
      <c r="C6" s="33"/>
      <c r="D6" s="37">
        <f>IF(ISERROR(TER_kantoor_gas_kWh/1000),0,TER_kantoor_gas_kWh/1000)*0.903</f>
        <v>3187.8194546723075</v>
      </c>
      <c r="E6" s="33">
        <f>$C$26*'E Balans VL '!I12/100/3.6*1000000</f>
        <v>0</v>
      </c>
      <c r="F6" s="33">
        <f>$C$26*('E Balans VL '!L12+'E Balans VL '!N12)/100/3.6*1000000</f>
        <v>455.75303394571495</v>
      </c>
      <c r="G6" s="34"/>
      <c r="H6" s="33"/>
      <c r="I6" s="33"/>
      <c r="J6" s="33">
        <f>$C$26*('E Balans VL '!D12+'E Balans VL '!E12)/100/3.6*1000000</f>
        <v>0</v>
      </c>
      <c r="K6" s="33"/>
      <c r="L6" s="33"/>
      <c r="M6" s="33"/>
      <c r="N6" s="33">
        <f>$C$26*'E Balans VL '!Y12/100/3.6*1000000</f>
        <v>4.5150998913489033</v>
      </c>
      <c r="O6" s="33"/>
      <c r="P6" s="33"/>
      <c r="R6" s="32"/>
    </row>
    <row r="7" spans="1:18">
      <c r="A7" s="32" t="s">
        <v>52</v>
      </c>
      <c r="B7" s="37">
        <f t="shared" ref="B7:B12" si="0">B27</f>
        <v>372.78028634761699</v>
      </c>
      <c r="C7" s="33"/>
      <c r="D7" s="37">
        <f>IF(ISERROR(TER_horeca_gas_kWh/1000),0,TER_horeca_gas_kWh/1000)*0.903</f>
        <v>526.42154879116595</v>
      </c>
      <c r="E7" s="33">
        <f>$C$27*'E Balans VL '!I9/100/3.6*1000000</f>
        <v>0</v>
      </c>
      <c r="F7" s="33">
        <f>$C$27*('E Balans VL '!L9+'E Balans VL '!N9)/100/3.6*1000000</f>
        <v>39.187892002031013</v>
      </c>
      <c r="G7" s="34"/>
      <c r="H7" s="33"/>
      <c r="I7" s="33"/>
      <c r="J7" s="33">
        <f>$C$27*('E Balans VL '!D9+'E Balans VL '!E9)/100/3.6*1000000</f>
        <v>0</v>
      </c>
      <c r="K7" s="33"/>
      <c r="L7" s="33"/>
      <c r="M7" s="33"/>
      <c r="N7" s="33">
        <f>$C$27*'E Balans VL '!Y9/100/3.6*1000000</f>
        <v>4.1991846585904664</v>
      </c>
      <c r="O7" s="33"/>
      <c r="P7" s="33"/>
      <c r="R7" s="32"/>
    </row>
    <row r="8" spans="1:18">
      <c r="A8" s="6" t="s">
        <v>51</v>
      </c>
      <c r="B8" s="37">
        <f t="shared" si="0"/>
        <v>2286.0320055713</v>
      </c>
      <c r="C8" s="33"/>
      <c r="D8" s="37">
        <f>IF(ISERROR(TER_handel_gas_kWh/1000),0,TER_handel_gas_kWh/1000)*0.903</f>
        <v>1443.6418345756538</v>
      </c>
      <c r="E8" s="33">
        <f>$C$28*'E Balans VL '!I13/100/3.6*1000000</f>
        <v>0.49276614930778423</v>
      </c>
      <c r="F8" s="33">
        <f>$C$28*('E Balans VL '!L13+'E Balans VL '!N13)/100/3.6*1000000</f>
        <v>321.4875170120996</v>
      </c>
      <c r="G8" s="34"/>
      <c r="H8" s="33"/>
      <c r="I8" s="33"/>
      <c r="J8" s="33">
        <f>$C$28*('E Balans VL '!D13+'E Balans VL '!E13)/100/3.6*1000000</f>
        <v>0</v>
      </c>
      <c r="K8" s="33"/>
      <c r="L8" s="33"/>
      <c r="M8" s="33"/>
      <c r="N8" s="33">
        <f>$C$28*'E Balans VL '!Y13/100/3.6*1000000</f>
        <v>2.1934906135660408</v>
      </c>
      <c r="O8" s="33"/>
      <c r="P8" s="33"/>
      <c r="R8" s="32"/>
    </row>
    <row r="9" spans="1:18">
      <c r="A9" s="32" t="s">
        <v>50</v>
      </c>
      <c r="B9" s="37">
        <f t="shared" si="0"/>
        <v>82.930266540323302</v>
      </c>
      <c r="C9" s="33"/>
      <c r="D9" s="37">
        <f>IF(ISERROR(TER_gezond_gas_kWh/1000),0,TER_gezond_gas_kWh/1000)*0.903</f>
        <v>156.14316308019482</v>
      </c>
      <c r="E9" s="33">
        <f>$C$29*'E Balans VL '!I10/100/3.6*1000000</f>
        <v>0</v>
      </c>
      <c r="F9" s="33">
        <f>$C$29*('E Balans VL '!L10+'E Balans VL '!N10)/100/3.6*1000000</f>
        <v>2.2582136525523908</v>
      </c>
      <c r="G9" s="34"/>
      <c r="H9" s="33"/>
      <c r="I9" s="33"/>
      <c r="J9" s="33">
        <f>$C$29*('E Balans VL '!D10+'E Balans VL '!E10)/100/3.6*1000000</f>
        <v>0</v>
      </c>
      <c r="K9" s="33"/>
      <c r="L9" s="33"/>
      <c r="M9" s="33"/>
      <c r="N9" s="33">
        <f>$C$29*'E Balans VL '!Y10/100/3.6*1000000</f>
        <v>0.52577951520208954</v>
      </c>
      <c r="O9" s="33"/>
      <c r="P9" s="33"/>
      <c r="R9" s="32"/>
    </row>
    <row r="10" spans="1:18">
      <c r="A10" s="32" t="s">
        <v>49</v>
      </c>
      <c r="B10" s="37">
        <f t="shared" si="0"/>
        <v>670.00604004926697</v>
      </c>
      <c r="C10" s="33"/>
      <c r="D10" s="37">
        <f>IF(ISERROR(TER_ander_gas_kWh/1000),0,TER_ander_gas_kWh/1000)*0.903</f>
        <v>1972.4661366180035</v>
      </c>
      <c r="E10" s="33">
        <f>$C$30*'E Balans VL '!I14/100/3.6*1000000</f>
        <v>8.1647482177924022</v>
      </c>
      <c r="F10" s="33">
        <f>$C$30*('E Balans VL '!L14+'E Balans VL '!N14)/100/3.6*1000000</f>
        <v>461.23489549571582</v>
      </c>
      <c r="G10" s="34"/>
      <c r="H10" s="33"/>
      <c r="I10" s="33"/>
      <c r="J10" s="33">
        <f>$C$30*('E Balans VL '!D14+'E Balans VL '!E14)/100/3.6*1000000</f>
        <v>7.1810881250112439E-3</v>
      </c>
      <c r="K10" s="33"/>
      <c r="L10" s="33"/>
      <c r="M10" s="33"/>
      <c r="N10" s="33">
        <f>$C$30*'E Balans VL '!Y14/100/3.6*1000000</f>
        <v>258.82203988200729</v>
      </c>
      <c r="O10" s="33"/>
      <c r="P10" s="33"/>
      <c r="R10" s="32"/>
    </row>
    <row r="11" spans="1:18">
      <c r="A11" s="32" t="s">
        <v>54</v>
      </c>
      <c r="B11" s="37">
        <f t="shared" si="0"/>
        <v>79.5213804955836</v>
      </c>
      <c r="C11" s="33"/>
      <c r="D11" s="37">
        <f>IF(ISERROR(TER_onderwijs_gas_kWh/1000),0,TER_onderwijs_gas_kWh/1000)*0.903</f>
        <v>510.93045300778778</v>
      </c>
      <c r="E11" s="33">
        <f>$C$31*'E Balans VL '!I11/100/3.6*1000000</f>
        <v>0</v>
      </c>
      <c r="F11" s="33">
        <f>$C$31*('E Balans VL '!L11+'E Balans VL '!N11)/100/3.6*1000000</f>
        <v>3.323242585309607</v>
      </c>
      <c r="G11" s="34"/>
      <c r="H11" s="33"/>
      <c r="I11" s="33"/>
      <c r="J11" s="33">
        <f>$C$31*('E Balans VL '!D11+'E Balans VL '!E11)/100/3.6*1000000</f>
        <v>0</v>
      </c>
      <c r="K11" s="33"/>
      <c r="L11" s="33"/>
      <c r="M11" s="33"/>
      <c r="N11" s="33">
        <f>$C$31*'E Balans VL '!Y11/100/3.6*1000000</f>
        <v>0.19764871238569334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7477.5815753153202</v>
      </c>
      <c r="C16" s="21">
        <f t="shared" ca="1" si="1"/>
        <v>0</v>
      </c>
      <c r="D16" s="21">
        <f t="shared" ca="1" si="1"/>
        <v>7797.4225907451137</v>
      </c>
      <c r="E16" s="21">
        <f t="shared" ca="1" si="1"/>
        <v>8.6575143671001857</v>
      </c>
      <c r="F16" s="21">
        <f t="shared" ca="1" si="1"/>
        <v>1283.2447946934233</v>
      </c>
      <c r="G16" s="21">
        <f t="shared" si="1"/>
        <v>0</v>
      </c>
      <c r="H16" s="21">
        <f t="shared" si="1"/>
        <v>0</v>
      </c>
      <c r="I16" s="21">
        <f t="shared" si="1"/>
        <v>0</v>
      </c>
      <c r="J16" s="21">
        <f t="shared" si="1"/>
        <v>7.1810881250112439E-3</v>
      </c>
      <c r="K16" s="21">
        <f t="shared" si="1"/>
        <v>0</v>
      </c>
      <c r="L16" s="21">
        <f t="shared" ca="1" si="1"/>
        <v>0</v>
      </c>
      <c r="M16" s="21">
        <f t="shared" si="1"/>
        <v>0</v>
      </c>
      <c r="N16" s="21">
        <f t="shared" ca="1" si="1"/>
        <v>270.45324327310044</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0.1989709443003719</v>
      </c>
      <c r="C18" s="25">
        <f ca="1">'EF ele_warmte'!B22</f>
        <v>0.19589815430949406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1487.8214671235517</v>
      </c>
      <c r="C20" s="23">
        <f t="shared" ref="C20:P20" ca="1" si="2">C16*C18</f>
        <v>0</v>
      </c>
      <c r="D20" s="23">
        <f t="shared" ca="1" si="2"/>
        <v>1575.0793633305132</v>
      </c>
      <c r="E20" s="23">
        <f t="shared" ca="1" si="2"/>
        <v>1.9652557613317423</v>
      </c>
      <c r="F20" s="23">
        <f t="shared" ca="1" si="2"/>
        <v>342.62636018314402</v>
      </c>
      <c r="G20" s="23">
        <f t="shared" si="2"/>
        <v>0</v>
      </c>
      <c r="H20" s="23">
        <f t="shared" si="2"/>
        <v>0</v>
      </c>
      <c r="I20" s="23">
        <f t="shared" si="2"/>
        <v>0</v>
      </c>
      <c r="J20" s="23">
        <f t="shared" si="2"/>
        <v>2.5421051962539803E-3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3986.31159631123</v>
      </c>
      <c r="C26" s="39">
        <f>IF(ISERROR(B26*3.6/1000000/'E Balans VL '!Z12*100),0,B26*3.6/1000000/'E Balans VL '!Z12*100)</f>
        <v>0.12253941368679511</v>
      </c>
      <c r="D26" s="232" t="s">
        <v>768</v>
      </c>
      <c r="F26" s="6"/>
    </row>
    <row r="27" spans="1:18" ht="30">
      <c r="A27" s="227" t="s">
        <v>52</v>
      </c>
      <c r="B27" s="33">
        <f>IF(ISERROR(TER_horeca_ele_kWh/1000),0,TER_horeca_ele_kWh/1000)</f>
        <v>372.78028634761699</v>
      </c>
      <c r="C27" s="39">
        <f>IF(ISERROR(B27*3.6/1000000/'E Balans VL '!Z9*100),0,B27*3.6/1000000/'E Balans VL '!Z9*100)</f>
        <v>3.0269180486751351E-2</v>
      </c>
      <c r="D27" s="232" t="s">
        <v>768</v>
      </c>
      <c r="F27" s="6"/>
    </row>
    <row r="28" spans="1:18" ht="30">
      <c r="A28" s="167" t="s">
        <v>51</v>
      </c>
      <c r="B28" s="33">
        <f>IF(ISERROR(TER_handel_ele_kWh/1000),0,TER_handel_ele_kWh/1000)</f>
        <v>2286.0320055713</v>
      </c>
      <c r="C28" s="39">
        <f>IF(ISERROR(B28*3.6/1000000/'E Balans VL '!Z13*100),0,B28*3.6/1000000/'E Balans VL '!Z13*100)</f>
        <v>7.5167722697803696E-2</v>
      </c>
      <c r="D28" s="232" t="s">
        <v>768</v>
      </c>
      <c r="F28" s="6"/>
    </row>
    <row r="29" spans="1:18" ht="30">
      <c r="A29" s="227" t="s">
        <v>50</v>
      </c>
      <c r="B29" s="33">
        <f>IF(ISERROR(TER_gezond_ele_kWh/1000),0,TER_gezond_ele_kWh/1000)</f>
        <v>82.930266540323302</v>
      </c>
      <c r="C29" s="39">
        <f>IF(ISERROR(B29*3.6/1000000/'E Balans VL '!Z10*100),0,B29*3.6/1000000/'E Balans VL '!Z10*100)</f>
        <v>8.0914868025359007E-3</v>
      </c>
      <c r="D29" s="232" t="s">
        <v>768</v>
      </c>
      <c r="F29" s="6"/>
    </row>
    <row r="30" spans="1:18" ht="30">
      <c r="A30" s="227" t="s">
        <v>49</v>
      </c>
      <c r="B30" s="33">
        <f>IF(ISERROR(TER_ander_ele_kWh/1000),0,TER_ander_ele_kWh/1000)</f>
        <v>670.00604004926697</v>
      </c>
      <c r="C30" s="39">
        <f>IF(ISERROR(B30*3.6/1000000/'E Balans VL '!Z14*100),0,B30*3.6/1000000/'E Balans VL '!Z14*100)</f>
        <v>2.9410599829397581E-2</v>
      </c>
      <c r="D30" s="232" t="s">
        <v>768</v>
      </c>
      <c r="F30" s="6"/>
    </row>
    <row r="31" spans="1:18" ht="30">
      <c r="A31" s="227" t="s">
        <v>54</v>
      </c>
      <c r="B31" s="33">
        <f>IF(ISERROR(TER_onderwijs_ele_kWh/1000),0,TER_onderwijs_ele_kWh/1000)</f>
        <v>79.5213804955836</v>
      </c>
      <c r="C31" s="39">
        <f>IF(ISERROR(B31*3.6/1000000/'E Balans VL '!Z11*100),0,B31*3.6/1000000/'E Balans VL '!Z11*100)</f>
        <v>2.7242727513844517E-2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45625.453145998312</v>
      </c>
      <c r="C5" s="17">
        <f>IF(ISERROR('Eigen informatie GS &amp; warmtenet'!B61),0,'Eigen informatie GS &amp; warmtenet'!B61)</f>
        <v>0</v>
      </c>
      <c r="D5" s="30">
        <f>SUM(D6:D15)</f>
        <v>94225.533033177431</v>
      </c>
      <c r="E5" s="17">
        <f>SUM(E6:E15)</f>
        <v>376.59453284753926</v>
      </c>
      <c r="F5" s="17">
        <f>SUM(F6:F15)</f>
        <v>10449.096928668292</v>
      </c>
      <c r="G5" s="18"/>
      <c r="H5" s="17"/>
      <c r="I5" s="17"/>
      <c r="J5" s="17">
        <f>SUM(J6:J15)</f>
        <v>5.4349692259806499</v>
      </c>
      <c r="K5" s="17"/>
      <c r="L5" s="17"/>
      <c r="M5" s="17"/>
      <c r="N5" s="17">
        <f>SUM(N6:N15)</f>
        <v>1176.757617176424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705.55842646074291</v>
      </c>
      <c r="C8" s="33"/>
      <c r="D8" s="37">
        <f>IF( ISERROR(IND_metaal_Gas_kWH/1000),0,IND_metaal_Gas_kWH/1000)*0.903</f>
        <v>459.59570151723585</v>
      </c>
      <c r="E8" s="33">
        <f>C30*'E Balans VL '!I18/100/3.6*1000000</f>
        <v>2.0544735734639503</v>
      </c>
      <c r="F8" s="33">
        <f>C30*'E Balans VL '!L18/100/3.6*1000000+C30*'E Balans VL '!N18/100/3.6*1000000</f>
        <v>27.116061269965783</v>
      </c>
      <c r="G8" s="34"/>
      <c r="H8" s="33"/>
      <c r="I8" s="33"/>
      <c r="J8" s="40">
        <f>C30*'E Balans VL '!D18/100/3.6*1000000+C30*'E Balans VL '!E18/100/3.6*1000000</f>
        <v>1.9064985355537555E-15</v>
      </c>
      <c r="K8" s="33"/>
      <c r="L8" s="33"/>
      <c r="M8" s="33"/>
      <c r="N8" s="33">
        <f>C30*'E Balans VL '!Y18/100/3.6*1000000</f>
        <v>10.465099937733335</v>
      </c>
      <c r="O8" s="33"/>
      <c r="P8" s="33"/>
      <c r="R8" s="32"/>
    </row>
    <row r="9" spans="1:18">
      <c r="A9" s="6" t="s">
        <v>32</v>
      </c>
      <c r="B9" s="37">
        <f t="shared" si="0"/>
        <v>12160.672681079301</v>
      </c>
      <c r="C9" s="33"/>
      <c r="D9" s="37">
        <f>IF( ISERROR(IND_andere_gas_kWh/1000),0,IND_andere_gas_kWh/1000)*0.903</f>
        <v>80600.75002471378</v>
      </c>
      <c r="E9" s="33">
        <f>C31*'E Balans VL '!I19/100/3.6*1000000</f>
        <v>61.668631727028128</v>
      </c>
      <c r="F9" s="33">
        <f>C31*'E Balans VL '!L19/100/3.6*1000000+C31*'E Balans VL '!N19/100/3.6*1000000</f>
        <v>9203.4126053223608</v>
      </c>
      <c r="G9" s="34"/>
      <c r="H9" s="33"/>
      <c r="I9" s="33"/>
      <c r="J9" s="40">
        <f>C31*'E Balans VL '!D19/100/3.6*1000000+C31*'E Balans VL '!E19/100/3.6*1000000</f>
        <v>0</v>
      </c>
      <c r="K9" s="33"/>
      <c r="L9" s="33"/>
      <c r="M9" s="33"/>
      <c r="N9" s="33">
        <f>C31*'E Balans VL '!Y19/100/3.6*1000000</f>
        <v>447.64885278579868</v>
      </c>
      <c r="O9" s="33"/>
      <c r="P9" s="33"/>
      <c r="R9" s="32"/>
    </row>
    <row r="10" spans="1:18">
      <c r="A10" s="6" t="s">
        <v>40</v>
      </c>
      <c r="B10" s="37">
        <f t="shared" si="0"/>
        <v>11170.194751058099</v>
      </c>
      <c r="C10" s="33"/>
      <c r="D10" s="37">
        <f>IF( ISERROR(IND_voed_gas_kWh/1000),0,IND_voed_gas_kWh/1000)*0.903</f>
        <v>232.04867490892252</v>
      </c>
      <c r="E10" s="33">
        <f>C32*'E Balans VL '!I20/100/3.6*1000000</f>
        <v>13.062480854222486</v>
      </c>
      <c r="F10" s="33">
        <f>C32*'E Balans VL '!L20/100/3.6*1000000+C32*'E Balans VL '!N20/100/3.6*1000000</f>
        <v>521.60001322931612</v>
      </c>
      <c r="G10" s="34"/>
      <c r="H10" s="33"/>
      <c r="I10" s="33"/>
      <c r="J10" s="40">
        <f>C32*'E Balans VL '!D20/100/3.6*1000000+C32*'E Balans VL '!E20/100/3.6*1000000</f>
        <v>0</v>
      </c>
      <c r="K10" s="33"/>
      <c r="L10" s="33"/>
      <c r="M10" s="33"/>
      <c r="N10" s="33">
        <f>C32*'E Balans VL '!Y20/100/3.6*1000000</f>
        <v>640.61050729964848</v>
      </c>
      <c r="O10" s="33"/>
      <c r="P10" s="33"/>
      <c r="R10" s="32"/>
    </row>
    <row r="11" spans="1:18">
      <c r="A11" s="6" t="s">
        <v>39</v>
      </c>
      <c r="B11" s="37">
        <f t="shared" si="0"/>
        <v>21427.6341824095</v>
      </c>
      <c r="C11" s="33"/>
      <c r="D11" s="37">
        <f>IF( ISERROR(IND_textiel_gas_kWh/1000),0,IND_textiel_gas_kWh/1000)*0.903</f>
        <v>0</v>
      </c>
      <c r="E11" s="33">
        <f>C33*'E Balans VL '!I21/100/3.6*1000000</f>
        <v>298.01239721884644</v>
      </c>
      <c r="F11" s="33">
        <f>C33*'E Balans VL '!L21/100/3.6*1000000+C33*'E Balans VL '!N21/100/3.6*1000000</f>
        <v>678.45681810463816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159.08221303099398</v>
      </c>
      <c r="C12" s="33"/>
      <c r="D12" s="37">
        <f>IF( ISERROR(IND_min_gas_kWh/1000),0,IND_min_gas_kWh/1000)*0.903</f>
        <v>0</v>
      </c>
      <c r="E12" s="33">
        <f>C34*'E Balans VL '!I22/100/3.6*1000000</f>
        <v>1.6761914737818164</v>
      </c>
      <c r="F12" s="33">
        <f>C34*'E Balans VL '!L22/100/3.6*1000000+C34*'E Balans VL '!N22/100/3.6*1000000</f>
        <v>18.060502603198856</v>
      </c>
      <c r="G12" s="34"/>
      <c r="H12" s="33"/>
      <c r="I12" s="33"/>
      <c r="J12" s="40">
        <f>C34*'E Balans VL '!D22/100/3.6*1000000+C34*'E Balans VL '!E22/100/3.6*1000000</f>
        <v>5.4221666468539622</v>
      </c>
      <c r="K12" s="33"/>
      <c r="L12" s="33"/>
      <c r="M12" s="33"/>
      <c r="N12" s="33">
        <f>C34*'E Balans VL '!Y22/100/3.6*1000000</f>
        <v>77.953819657874433</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2.3108919596693998</v>
      </c>
      <c r="C15" s="33"/>
      <c r="D15" s="37">
        <f>IF( ISERROR(IND_rest_gas_kWh/1000),0,IND_rest_gas_kWh/1000)*0.903</f>
        <v>12933.13863203751</v>
      </c>
      <c r="E15" s="33">
        <f>C37*'E Balans VL '!I15/100/3.6*1000000</f>
        <v>0.1203580001964131</v>
      </c>
      <c r="F15" s="33">
        <f>C37*'E Balans VL '!L15/100/3.6*1000000+C37*'E Balans VL '!N15/100/3.6*1000000</f>
        <v>0.45092813881184524</v>
      </c>
      <c r="G15" s="34"/>
      <c r="H15" s="33"/>
      <c r="I15" s="33"/>
      <c r="J15" s="40">
        <f>C37*'E Balans VL '!D15/100/3.6*1000000+C37*'E Balans VL '!E15/100/3.6*1000000</f>
        <v>1.2802579126685696E-2</v>
      </c>
      <c r="K15" s="33"/>
      <c r="L15" s="33"/>
      <c r="M15" s="33"/>
      <c r="N15" s="33">
        <f>C37*'E Balans VL '!Y15/100/3.6*1000000</f>
        <v>7.9337495369108751E-2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45625.453145998312</v>
      </c>
      <c r="C18" s="21">
        <f>C5+C16</f>
        <v>0</v>
      </c>
      <c r="D18" s="21">
        <f>MAX((D5+D16),0)</f>
        <v>94225.533033177431</v>
      </c>
      <c r="E18" s="21">
        <f>MAX((E5+E16),0)</f>
        <v>376.59453284753926</v>
      </c>
      <c r="F18" s="21">
        <f>MAX((F5+F16),0)</f>
        <v>10449.096928668292</v>
      </c>
      <c r="G18" s="21"/>
      <c r="H18" s="21"/>
      <c r="I18" s="21"/>
      <c r="J18" s="21">
        <f>MAX((J5+J16),0)</f>
        <v>5.4349692259806499</v>
      </c>
      <c r="K18" s="21"/>
      <c r="L18" s="21">
        <f>MAX((L5+L16),0)</f>
        <v>0</v>
      </c>
      <c r="M18" s="21"/>
      <c r="N18" s="21">
        <f>MAX((N5+N16),0)</f>
        <v>1176.757617176424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0.1989709443003719</v>
      </c>
      <c r="C20" s="25">
        <f ca="1">'EF ele_warmte'!B22</f>
        <v>0.19589815430949406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9078.1394965916588</v>
      </c>
      <c r="C22" s="23">
        <f ca="1">C18*C20</f>
        <v>0</v>
      </c>
      <c r="D22" s="23">
        <f>D18*D20</f>
        <v>19033.557672701842</v>
      </c>
      <c r="E22" s="23">
        <f>E18*E20</f>
        <v>85.486958956391419</v>
      </c>
      <c r="F22" s="23">
        <f>F18*F20</f>
        <v>2789.9088799544343</v>
      </c>
      <c r="G22" s="23"/>
      <c r="H22" s="23"/>
      <c r="I22" s="23"/>
      <c r="J22" s="23">
        <f>J18*J20</f>
        <v>1.9239791059971501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705.55842646074291</v>
      </c>
      <c r="C30" s="39">
        <f>IF(ISERROR(B30*3.6/1000000/'E Balans VL '!Z18*100),0,B30*3.6/1000000/'E Balans VL '!Z18*100)</f>
        <v>4.9455971103181187E-2</v>
      </c>
      <c r="D30" s="232" t="s">
        <v>768</v>
      </c>
    </row>
    <row r="31" spans="1:18" ht="30">
      <c r="A31" s="6" t="s">
        <v>32</v>
      </c>
      <c r="B31" s="37">
        <f>IF( ISERROR(IND_ander_ele_kWh/1000),0,IND_ander_ele_kWh/1000)</f>
        <v>12160.672681079301</v>
      </c>
      <c r="C31" s="39">
        <f>IF(ISERROR(B31*3.6/1000000/'E Balans VL '!Z19*100),0,B31*3.6/1000000/'E Balans VL '!Z19*100)</f>
        <v>0.56976055972455186</v>
      </c>
      <c r="D31" s="232" t="s">
        <v>768</v>
      </c>
    </row>
    <row r="32" spans="1:18" ht="30">
      <c r="A32" s="167" t="s">
        <v>40</v>
      </c>
      <c r="B32" s="37">
        <f>IF( ISERROR(IND_voed_ele_kWh/1000),0,IND_voed_ele_kWh/1000)</f>
        <v>11170.194751058099</v>
      </c>
      <c r="C32" s="39">
        <f>IF(ISERROR(B32*3.6/1000000/'E Balans VL '!Z20*100),0,B32*3.6/1000000/'E Balans VL '!Z20*100)</f>
        <v>0.36870761150807663</v>
      </c>
      <c r="D32" s="232" t="s">
        <v>768</v>
      </c>
    </row>
    <row r="33" spans="1:5" ht="30">
      <c r="A33" s="167" t="s">
        <v>39</v>
      </c>
      <c r="B33" s="37">
        <f>IF( ISERROR(IND_textiel_ele_kWh/1000),0,IND_textiel_ele_kWh/1000)</f>
        <v>21427.6341824095</v>
      </c>
      <c r="C33" s="39">
        <f>IF(ISERROR(B33*3.6/1000000/'E Balans VL '!Z21*100),0,B33*3.6/1000000/'E Balans VL '!Z21*100)</f>
        <v>3.9754997703195643</v>
      </c>
      <c r="D33" s="232" t="s">
        <v>768</v>
      </c>
    </row>
    <row r="34" spans="1:5" ht="30">
      <c r="A34" s="167" t="s">
        <v>36</v>
      </c>
      <c r="B34" s="37">
        <f>IF( ISERROR(IND_min_ele_kWh/1000),0,IND_min_ele_kWh/1000)</f>
        <v>159.08221303099398</v>
      </c>
      <c r="C34" s="39">
        <f>IF(ISERROR(B34*3.6/1000000/'E Balans VL '!Z22*100),0,B34*3.6/1000000/'E Balans VL '!Z22*100)</f>
        <v>6.6754898699340898E-2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2.3108919596693998</v>
      </c>
      <c r="C37" s="39">
        <f>IF(ISERROR(B37*3.6/1000000/'E Balans VL '!Z15*100),0,B37*3.6/1000000/'E Balans VL '!Z15*100)</f>
        <v>2.1273777116792555E-5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1222.2435396415301</v>
      </c>
      <c r="C5" s="17">
        <f>'Eigen informatie GS &amp; warmtenet'!B62</f>
        <v>0</v>
      </c>
      <c r="D5" s="30">
        <f>IF(ISERROR(SUM(LB_lb_gas_kWh,LB_rest_gas_kWh)/1000),0,SUM(LB_lb_gas_kWh,LB_rest_gas_kWh)/1000)*0.903</f>
        <v>27469.51714962213</v>
      </c>
      <c r="E5" s="17">
        <f>B17*'E Balans VL '!I25/3.6*1000000/100</f>
        <v>41.215924401544818</v>
      </c>
      <c r="F5" s="17">
        <f>B17*('E Balans VL '!L25/3.6*1000000+'E Balans VL '!N25/3.6*1000000)/100</f>
        <v>4234.698149646415</v>
      </c>
      <c r="G5" s="18"/>
      <c r="H5" s="17"/>
      <c r="I5" s="17"/>
      <c r="J5" s="17">
        <f>('E Balans VL '!D25+'E Balans VL '!E25)/3.6*1000000*landbouw!B17/100</f>
        <v>265.2922203480797</v>
      </c>
      <c r="K5" s="17"/>
      <c r="L5" s="17">
        <f>L6*(-1)</f>
        <v>0</v>
      </c>
      <c r="M5" s="17"/>
      <c r="N5" s="17">
        <f>N6*(-1)</f>
        <v>0</v>
      </c>
      <c r="O5" s="17"/>
      <c r="P5" s="17"/>
      <c r="R5" s="32"/>
    </row>
    <row r="6" spans="1:18">
      <c r="A6" s="16" t="s">
        <v>808</v>
      </c>
      <c r="B6" s="17" t="s">
        <v>204</v>
      </c>
      <c r="C6" s="17">
        <f>'lokale energieproductie'!O39+'lokale energieproductie'!O32</f>
        <v>16282.5000013026</v>
      </c>
      <c r="D6" s="301">
        <f>('lokale energieproductie'!P32+'lokale energieproductie'!P39)*(-1)</f>
        <v>-26476.15277989587</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1222.2435396415301</v>
      </c>
      <c r="C8" s="21">
        <f>C5+C6</f>
        <v>16282.5000013026</v>
      </c>
      <c r="D8" s="21">
        <f>MAX((D5+D6),0)</f>
        <v>993.36436972625961</v>
      </c>
      <c r="E8" s="21">
        <f>MAX((E5+E6),0)</f>
        <v>41.215924401544818</v>
      </c>
      <c r="F8" s="21">
        <f>MAX((F5+F6),0)</f>
        <v>4234.698149646415</v>
      </c>
      <c r="G8" s="21"/>
      <c r="H8" s="21"/>
      <c r="I8" s="21"/>
      <c r="J8" s="21">
        <f>MAX((J5+J6),0)</f>
        <v>265.2922203480797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0.1989709443003719</v>
      </c>
      <c r="C10" s="31">
        <f ca="1">'EF ele_warmte'!B22</f>
        <v>0.19589815430949406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243.19095124750427</v>
      </c>
      <c r="C12" s="23">
        <f ca="1">C8*C10</f>
        <v>3189.7116977995138</v>
      </c>
      <c r="D12" s="23">
        <f>D8*D10</f>
        <v>200.65960268470445</v>
      </c>
      <c r="E12" s="23">
        <f>E8*E10</f>
        <v>9.3560148391506743</v>
      </c>
      <c r="F12" s="23">
        <f>F8*F10</f>
        <v>1130.6644059555929</v>
      </c>
      <c r="G12" s="23"/>
      <c r="H12" s="23"/>
      <c r="I12" s="23"/>
      <c r="J12" s="23">
        <f>J8*J10</f>
        <v>93.913446003220201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0.17459689422982089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225.89405144013017</v>
      </c>
      <c r="C26" s="242">
        <f>B26*'GWP N2O_CH4'!B5</f>
        <v>4743.7750802427336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160.27154430828131</v>
      </c>
      <c r="C27" s="242">
        <f>B27*'GWP N2O_CH4'!B5</f>
        <v>3365.7024304739075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3.6358124184545448</v>
      </c>
      <c r="C28" s="242">
        <f>B28*'GWP N2O_CH4'!B4</f>
        <v>1127.1018497209088</v>
      </c>
      <c r="D28" s="50"/>
    </row>
    <row r="29" spans="1:4">
      <c r="A29" s="41" t="s">
        <v>266</v>
      </c>
      <c r="B29" s="242">
        <f>B34*'ha_N2O bodem landbouw'!B4</f>
        <v>6.4092025798975518</v>
      </c>
      <c r="C29" s="242">
        <f>B29*'GWP N2O_CH4'!B4</f>
        <v>1986.8527997682411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1.4051932174455161E-3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4.340506066104574E-4</v>
      </c>
      <c r="C5" s="428" t="s">
        <v>204</v>
      </c>
      <c r="D5" s="413">
        <f>SUM(D6:D11)</f>
        <v>4.3705567939955733E-4</v>
      </c>
      <c r="E5" s="413">
        <f>SUM(E6:E11)</f>
        <v>1.4434107843598864E-4</v>
      </c>
      <c r="F5" s="426" t="s">
        <v>204</v>
      </c>
      <c r="G5" s="413">
        <f>SUM(G6:G11)</f>
        <v>0.10048387721147217</v>
      </c>
      <c r="H5" s="413">
        <f>SUM(H6:H11)</f>
        <v>2.0638634630159903E-2</v>
      </c>
      <c r="I5" s="428" t="s">
        <v>204</v>
      </c>
      <c r="J5" s="428" t="s">
        <v>204</v>
      </c>
      <c r="K5" s="428" t="s">
        <v>204</v>
      </c>
      <c r="L5" s="428" t="s">
        <v>204</v>
      </c>
      <c r="M5" s="413">
        <f>SUM(M6:M11)</f>
        <v>1.3023957347465157E-2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2.8821901632828398E-4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2.6569446551442049E-4</v>
      </c>
      <c r="E6" s="839">
        <f>vkm_GW_PW*SUMIFS(TableVerdeelsleutelVkm[LPG],TableVerdeelsleutelVkm[Voertuigtype],"Lichte voertuigen")*SUMIFS(TableECFTransport[EnergieConsumptieFactor (PJ per km)],TableECFTransport[Index],CONCATENATE($A6,"_LPG_LPG"))</f>
        <v>8.9323689122611214E-5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2.5280283045923325E-2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1.2640195943081202E-2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3.9175046249531479E-3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1.9025237849950474E-6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4.2080805287818095E-2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3.0328889860448129E-7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4.7105046405420759E-3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1.4326638572508237E-4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1.7136121388513682E-4</v>
      </c>
      <c r="E8" s="416">
        <f>vkm_NGW_PW*SUMIFS(TableVerdeelsleutelVkm[LPG],TableVerdeelsleutelVkm[Voertuigtype],"Lichte voertuigen")*SUMIFS(TableECFTransport[EnergieConsumptieFactor (PJ per km)],TableECFTransport[Index],CONCATENATE($A8,"_LPG_LPG"))</f>
        <v>5.5017389313377426E-5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1.4253282517796948E-2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7.9980078873024933E-3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2.2837055539749514E-3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6.6268077209596676E-7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1.8869506359933799E-2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1.2751087760445397E-7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2.1122425279949805E-3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120.56961294734928</v>
      </c>
      <c r="C14" s="21"/>
      <c r="D14" s="21">
        <f t="shared" ref="D14:M14" si="0">((D5)*10^9/3600)+D12</f>
        <v>121.40435538876594</v>
      </c>
      <c r="E14" s="21">
        <f t="shared" si="0"/>
        <v>40.094744009996845</v>
      </c>
      <c r="F14" s="21"/>
      <c r="G14" s="21">
        <f t="shared" si="0"/>
        <v>27912.188114297824</v>
      </c>
      <c r="H14" s="21">
        <f t="shared" si="0"/>
        <v>5732.9540639333063</v>
      </c>
      <c r="I14" s="21"/>
      <c r="J14" s="21"/>
      <c r="K14" s="21"/>
      <c r="L14" s="21"/>
      <c r="M14" s="21">
        <f t="shared" si="0"/>
        <v>3617.7659298514322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0.1989709443003719</v>
      </c>
      <c r="C16" s="56">
        <f ca="1">'EF ele_warmte'!B22</f>
        <v>0.19589815430949406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23.989849742064433</v>
      </c>
      <c r="C18" s="23"/>
      <c r="D18" s="23">
        <f t="shared" ref="D18:M18" si="1">D14*D16</f>
        <v>24.523679788530721</v>
      </c>
      <c r="E18" s="23">
        <f t="shared" si="1"/>
        <v>9.1015068902692846</v>
      </c>
      <c r="F18" s="23"/>
      <c r="G18" s="23">
        <f t="shared" si="1"/>
        <v>7452.5542265175191</v>
      </c>
      <c r="H18" s="23">
        <f t="shared" si="1"/>
        <v>1427.5055619193934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1.0674263399902624E-5</v>
      </c>
      <c r="C50" s="312">
        <f t="shared" ref="C50:P50" si="2">SUM(C51:C52)</f>
        <v>0</v>
      </c>
      <c r="D50" s="312">
        <f t="shared" si="2"/>
        <v>0</v>
      </c>
      <c r="E50" s="312">
        <f t="shared" si="2"/>
        <v>0</v>
      </c>
      <c r="F50" s="312">
        <f t="shared" si="2"/>
        <v>0</v>
      </c>
      <c r="G50" s="312">
        <f t="shared" si="2"/>
        <v>4.3835717404904683E-4</v>
      </c>
      <c r="H50" s="312">
        <f t="shared" si="2"/>
        <v>0</v>
      </c>
      <c r="I50" s="312">
        <f t="shared" si="2"/>
        <v>0</v>
      </c>
      <c r="J50" s="312">
        <f t="shared" si="2"/>
        <v>0</v>
      </c>
      <c r="K50" s="312">
        <f t="shared" si="2"/>
        <v>0</v>
      </c>
      <c r="L50" s="312">
        <f t="shared" si="2"/>
        <v>0</v>
      </c>
      <c r="M50" s="312">
        <f t="shared" si="2"/>
        <v>4.9069214539176437E-5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1.0674263399902624E-5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4.3835717404904683E-4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4.9069214539176437E-5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2.965073166639618</v>
      </c>
      <c r="C54" s="21">
        <f t="shared" ref="C54:P54" si="3">(C50)*10^9/3600</f>
        <v>0</v>
      </c>
      <c r="D54" s="21">
        <f t="shared" si="3"/>
        <v>0</v>
      </c>
      <c r="E54" s="21">
        <f t="shared" si="3"/>
        <v>0</v>
      </c>
      <c r="F54" s="21">
        <f t="shared" si="3"/>
        <v>0</v>
      </c>
      <c r="G54" s="21">
        <f t="shared" si="3"/>
        <v>121.76588168029079</v>
      </c>
      <c r="H54" s="21">
        <f t="shared" si="3"/>
        <v>0</v>
      </c>
      <c r="I54" s="21">
        <f t="shared" si="3"/>
        <v>0</v>
      </c>
      <c r="J54" s="21">
        <f t="shared" si="3"/>
        <v>0</v>
      </c>
      <c r="K54" s="21">
        <f t="shared" si="3"/>
        <v>0</v>
      </c>
      <c r="L54" s="21">
        <f t="shared" si="3"/>
        <v>0</v>
      </c>
      <c r="M54" s="21">
        <f t="shared" si="3"/>
        <v>13.630337371993454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0.1989709443003719</v>
      </c>
      <c r="C56" s="56">
        <f ca="1">'EF ele_warmte'!B22</f>
        <v>0.19589815430949406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0.58996340788597879</v>
      </c>
      <c r="C58" s="23">
        <f t="shared" ref="C58:P58" ca="1" si="4">C54*C56</f>
        <v>0</v>
      </c>
      <c r="D58" s="23">
        <f t="shared" si="4"/>
        <v>0</v>
      </c>
      <c r="E58" s="23">
        <f t="shared" si="4"/>
        <v>0</v>
      </c>
      <c r="F58" s="23">
        <f t="shared" si="4"/>
        <v>0</v>
      </c>
      <c r="G58" s="23">
        <f t="shared" si="4"/>
        <v>32.511490408637641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5619.9807616941944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11018.3333342148</v>
      </c>
      <c r="C8" s="539">
        <f>B48</f>
        <v>10685.500810591349</v>
      </c>
      <c r="D8" s="540">
        <f>J48</f>
        <v>0</v>
      </c>
      <c r="E8" s="540">
        <f>E48</f>
        <v>0</v>
      </c>
      <c r="F8" s="541"/>
      <c r="G8" s="542"/>
      <c r="H8" s="540">
        <f>I48</f>
        <v>0</v>
      </c>
      <c r="I8" s="540">
        <f>G48+F48</f>
        <v>0</v>
      </c>
      <c r="J8" s="540">
        <f>H48+D48+C48</f>
        <v>0</v>
      </c>
      <c r="K8" s="540"/>
      <c r="L8" s="540"/>
      <c r="M8" s="540"/>
      <c r="N8" s="543"/>
      <c r="O8" s="544">
        <f>C8*$C$12+D8*$D$12+E8*$E$12+F8*$F$12+G8*$G$12+H8*$H$12+I8*$I$12+J8*$J$12</f>
        <v>2158.4711637394525</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16638.314095908994</v>
      </c>
      <c r="C10" s="554">
        <f t="shared" ref="C10:L10" si="0">SUM(C8:C9)</f>
        <v>10685.500810591349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2158.4711637394525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16282.5000013026</v>
      </c>
      <c r="C17" s="570">
        <f>B49</f>
        <v>15790.651969304523</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3189.7116977995138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16282.5000013026</v>
      </c>
      <c r="C20" s="553">
        <f>SUM(C17:C19)</f>
        <v>15790.651969304523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3189.7116977995138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37010</v>
      </c>
      <c r="C28" s="741"/>
      <c r="D28" s="628"/>
      <c r="E28" s="627"/>
      <c r="F28" s="627"/>
      <c r="G28" s="627"/>
      <c r="H28" s="627"/>
      <c r="I28" s="627"/>
      <c r="J28" s="740"/>
      <c r="K28" s="740"/>
      <c r="L28" s="627"/>
      <c r="M28" s="627">
        <v>2000</v>
      </c>
      <c r="N28" s="627">
        <v>11018.3333342148</v>
      </c>
      <c r="O28" s="627">
        <v>16282.5000013026</v>
      </c>
      <c r="P28" s="627">
        <v>26476.15277989587</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2000</v>
      </c>
      <c r="N29" s="588">
        <f>SUM(N28:N28)</f>
        <v>11018.3333342148</v>
      </c>
      <c r="O29" s="588">
        <f>SUM(O28:O28)</f>
        <v>16282.5000013026</v>
      </c>
      <c r="P29" s="588">
        <f>SUM(P28:P28)</f>
        <v>26476.15277989587</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2000</v>
      </c>
      <c r="N32" s="593">
        <f>SUMIF($AA$28:$AA$28,"landbouw",N28:N28)</f>
        <v>11018.3333342148</v>
      </c>
      <c r="O32" s="593">
        <f>SUMIF($AA$28:$AA$28,"landbouw",O28:O28)</f>
        <v>16282.5000013026</v>
      </c>
      <c r="P32" s="593">
        <f>SUMIF($AA$28:$AA$28,"landbouw",P28:P28)</f>
        <v>26476.15277989587</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0.59641036598394437</v>
      </c>
      <c r="C45" s="612">
        <f>IF(ISERROR(N29/(O29+N29)),0,N29/(N29+O29))</f>
        <v>0.40358963401605569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10685.500810591349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15790.651969304523</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7992.0875753153205</v>
      </c>
      <c r="D10" s="637">
        <f ca="1">tertiair!C16</f>
        <v>0</v>
      </c>
      <c r="E10" s="637">
        <f ca="1">tertiair!D16</f>
        <v>7797.4225907451137</v>
      </c>
      <c r="F10" s="637">
        <f ca="1">tertiair!E16</f>
        <v>8.6575143671001857</v>
      </c>
      <c r="G10" s="637">
        <f ca="1">tertiair!F16</f>
        <v>1283.2447946934233</v>
      </c>
      <c r="H10" s="637">
        <f>tertiair!G16</f>
        <v>0</v>
      </c>
      <c r="I10" s="637">
        <f>tertiair!H16</f>
        <v>0</v>
      </c>
      <c r="J10" s="637">
        <f>tertiair!I16</f>
        <v>0</v>
      </c>
      <c r="K10" s="637">
        <f>tertiair!J16</f>
        <v>7.1810881250112439E-3</v>
      </c>
      <c r="L10" s="637">
        <f>tertiair!K16</f>
        <v>0</v>
      </c>
      <c r="M10" s="637">
        <f ca="1">tertiair!L16</f>
        <v>0</v>
      </c>
      <c r="N10" s="637">
        <f>tertiair!M16</f>
        <v>0</v>
      </c>
      <c r="O10" s="637">
        <f ca="1">tertiair!N16</f>
        <v>270.45324327310044</v>
      </c>
      <c r="P10" s="637">
        <f>tertiair!O16</f>
        <v>4.8972607658411542</v>
      </c>
      <c r="Q10" s="638">
        <f>tertiair!P16</f>
        <v>52.539138306495019</v>
      </c>
      <c r="R10" s="640">
        <f ca="1">SUM(C10:Q10)</f>
        <v>17409.309298554515</v>
      </c>
      <c r="S10" s="67"/>
    </row>
    <row r="11" spans="1:19" s="439" customFormat="1">
      <c r="A11" s="757" t="s">
        <v>214</v>
      </c>
      <c r="B11" s="762"/>
      <c r="C11" s="637">
        <f>huishoudens!B8</f>
        <v>13758.88115251638</v>
      </c>
      <c r="D11" s="637">
        <f>huishoudens!C8</f>
        <v>0</v>
      </c>
      <c r="E11" s="637">
        <f>huishoudens!D8</f>
        <v>22651.162628935854</v>
      </c>
      <c r="F11" s="637">
        <f>huishoudens!E8</f>
        <v>1305.6511434736233</v>
      </c>
      <c r="G11" s="637">
        <f>huishoudens!F8</f>
        <v>16540.691641390709</v>
      </c>
      <c r="H11" s="637">
        <f>huishoudens!G8</f>
        <v>0</v>
      </c>
      <c r="I11" s="637">
        <f>huishoudens!H8</f>
        <v>0</v>
      </c>
      <c r="J11" s="637">
        <f>huishoudens!I8</f>
        <v>0</v>
      </c>
      <c r="K11" s="637">
        <f>huishoudens!J8</f>
        <v>105.86995782805759</v>
      </c>
      <c r="L11" s="637">
        <f>huishoudens!K8</f>
        <v>0</v>
      </c>
      <c r="M11" s="637">
        <f>huishoudens!L8</f>
        <v>0</v>
      </c>
      <c r="N11" s="637">
        <f>huishoudens!M8</f>
        <v>0</v>
      </c>
      <c r="O11" s="637">
        <f>huishoudens!N8</f>
        <v>4125.7486432043152</v>
      </c>
      <c r="P11" s="637">
        <f>huishoudens!O8</f>
        <v>273.78623427541038</v>
      </c>
      <c r="Q11" s="638">
        <f>huishoudens!P8</f>
        <v>347.62065715360575</v>
      </c>
      <c r="R11" s="640">
        <f>SUM(C11:Q11)</f>
        <v>59109.412058777947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45625.453145998312</v>
      </c>
      <c r="D13" s="637">
        <f>industrie!C18</f>
        <v>0</v>
      </c>
      <c r="E13" s="637">
        <f>industrie!D18</f>
        <v>94225.533033177431</v>
      </c>
      <c r="F13" s="637">
        <f>industrie!E18</f>
        <v>376.59453284753926</v>
      </c>
      <c r="G13" s="637">
        <f>industrie!F18</f>
        <v>10449.096928668292</v>
      </c>
      <c r="H13" s="637">
        <f>industrie!G18</f>
        <v>0</v>
      </c>
      <c r="I13" s="637">
        <f>industrie!H18</f>
        <v>0</v>
      </c>
      <c r="J13" s="637">
        <f>industrie!I18</f>
        <v>0</v>
      </c>
      <c r="K13" s="637">
        <f>industrie!J18</f>
        <v>5.4349692259806499</v>
      </c>
      <c r="L13" s="637">
        <f>industrie!K18</f>
        <v>0</v>
      </c>
      <c r="M13" s="637">
        <f>industrie!L18</f>
        <v>0</v>
      </c>
      <c r="N13" s="637">
        <f>industrie!M18</f>
        <v>0</v>
      </c>
      <c r="O13" s="637">
        <f>industrie!N18</f>
        <v>1176.757617176424</v>
      </c>
      <c r="P13" s="637">
        <f>industrie!O18</f>
        <v>0</v>
      </c>
      <c r="Q13" s="638">
        <f>industrie!P18</f>
        <v>0</v>
      </c>
      <c r="R13" s="640">
        <f>SUM(C13:Q13)</f>
        <v>151858.87022709398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67376.421873830011</v>
      </c>
      <c r="D16" s="673">
        <f t="shared" ref="D16:R16" ca="1" si="0">SUM(D9:D15)</f>
        <v>0</v>
      </c>
      <c r="E16" s="673">
        <f t="shared" ca="1" si="0"/>
        <v>124674.1182528584</v>
      </c>
      <c r="F16" s="673">
        <f t="shared" ca="1" si="0"/>
        <v>1690.9031906882628</v>
      </c>
      <c r="G16" s="673">
        <f t="shared" ca="1" si="0"/>
        <v>28273.033364752424</v>
      </c>
      <c r="H16" s="673">
        <f t="shared" si="0"/>
        <v>0</v>
      </c>
      <c r="I16" s="673">
        <f t="shared" si="0"/>
        <v>0</v>
      </c>
      <c r="J16" s="673">
        <f t="shared" si="0"/>
        <v>0</v>
      </c>
      <c r="K16" s="673">
        <f t="shared" si="0"/>
        <v>111.31210814216325</v>
      </c>
      <c r="L16" s="673">
        <f t="shared" si="0"/>
        <v>0</v>
      </c>
      <c r="M16" s="673">
        <f t="shared" ca="1" si="0"/>
        <v>0</v>
      </c>
      <c r="N16" s="673">
        <f t="shared" si="0"/>
        <v>0</v>
      </c>
      <c r="O16" s="673">
        <f t="shared" ca="1" si="0"/>
        <v>5572.9595036538394</v>
      </c>
      <c r="P16" s="673">
        <f t="shared" si="0"/>
        <v>278.68349504125155</v>
      </c>
      <c r="Q16" s="673">
        <f t="shared" si="0"/>
        <v>400.15979546010078</v>
      </c>
      <c r="R16" s="673">
        <f t="shared" ca="1" si="0"/>
        <v>228377.59158442644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2.965073166639618</v>
      </c>
      <c r="D19" s="637">
        <f>transport!C54</f>
        <v>0</v>
      </c>
      <c r="E19" s="637">
        <f>transport!D54</f>
        <v>0</v>
      </c>
      <c r="F19" s="637">
        <f>transport!E54</f>
        <v>0</v>
      </c>
      <c r="G19" s="637">
        <f>transport!F54</f>
        <v>0</v>
      </c>
      <c r="H19" s="637">
        <f>transport!G54</f>
        <v>121.76588168029079</v>
      </c>
      <c r="I19" s="637">
        <f>transport!H54</f>
        <v>0</v>
      </c>
      <c r="J19" s="637">
        <f>transport!I54</f>
        <v>0</v>
      </c>
      <c r="K19" s="637">
        <f>transport!J54</f>
        <v>0</v>
      </c>
      <c r="L19" s="637">
        <f>transport!K54</f>
        <v>0</v>
      </c>
      <c r="M19" s="637">
        <f>transport!L54</f>
        <v>0</v>
      </c>
      <c r="N19" s="637">
        <f>transport!M54</f>
        <v>13.630337371993454</v>
      </c>
      <c r="O19" s="637">
        <f>transport!N54</f>
        <v>0</v>
      </c>
      <c r="P19" s="637">
        <f>transport!O54</f>
        <v>0</v>
      </c>
      <c r="Q19" s="638">
        <f>transport!P54</f>
        <v>0</v>
      </c>
      <c r="R19" s="640">
        <f>SUM(C19:Q19)</f>
        <v>138.36129221892386</v>
      </c>
      <c r="S19" s="67"/>
    </row>
    <row r="20" spans="1:19" s="439" customFormat="1">
      <c r="A20" s="757" t="s">
        <v>294</v>
      </c>
      <c r="B20" s="762"/>
      <c r="C20" s="637">
        <f>transport!B14</f>
        <v>120.56961294734928</v>
      </c>
      <c r="D20" s="637">
        <f>transport!C14</f>
        <v>0</v>
      </c>
      <c r="E20" s="637">
        <f>transport!D14</f>
        <v>121.40435538876594</v>
      </c>
      <c r="F20" s="637">
        <f>transport!E14</f>
        <v>40.094744009996845</v>
      </c>
      <c r="G20" s="637">
        <f>transport!F14</f>
        <v>0</v>
      </c>
      <c r="H20" s="637">
        <f>transport!G14</f>
        <v>27912.188114297824</v>
      </c>
      <c r="I20" s="637">
        <f>transport!H14</f>
        <v>5732.9540639333063</v>
      </c>
      <c r="J20" s="637">
        <f>transport!I14</f>
        <v>0</v>
      </c>
      <c r="K20" s="637">
        <f>transport!J14</f>
        <v>0</v>
      </c>
      <c r="L20" s="637">
        <f>transport!K14</f>
        <v>0</v>
      </c>
      <c r="M20" s="637">
        <f>transport!L14</f>
        <v>0</v>
      </c>
      <c r="N20" s="637">
        <f>transport!M14</f>
        <v>3617.7659298514322</v>
      </c>
      <c r="O20" s="637">
        <f>transport!N14</f>
        <v>0</v>
      </c>
      <c r="P20" s="637">
        <f>transport!O14</f>
        <v>0</v>
      </c>
      <c r="Q20" s="638">
        <f>transport!P14</f>
        <v>0</v>
      </c>
      <c r="R20" s="640">
        <f>SUM(C20:Q20)</f>
        <v>37544.976820428674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123.5346861139889</v>
      </c>
      <c r="D22" s="760">
        <f t="shared" ref="D22:R22" si="1">SUM(D18:D21)</f>
        <v>0</v>
      </c>
      <c r="E22" s="760">
        <f t="shared" si="1"/>
        <v>121.40435538876594</v>
      </c>
      <c r="F22" s="760">
        <f t="shared" si="1"/>
        <v>40.094744009996845</v>
      </c>
      <c r="G22" s="760">
        <f t="shared" si="1"/>
        <v>0</v>
      </c>
      <c r="H22" s="760">
        <f t="shared" si="1"/>
        <v>28033.953995978114</v>
      </c>
      <c r="I22" s="760">
        <f t="shared" si="1"/>
        <v>5732.9540639333063</v>
      </c>
      <c r="J22" s="760">
        <f t="shared" si="1"/>
        <v>0</v>
      </c>
      <c r="K22" s="760">
        <f t="shared" si="1"/>
        <v>0</v>
      </c>
      <c r="L22" s="760">
        <f t="shared" si="1"/>
        <v>0</v>
      </c>
      <c r="M22" s="760">
        <f t="shared" si="1"/>
        <v>0</v>
      </c>
      <c r="N22" s="760">
        <f t="shared" si="1"/>
        <v>3631.3962672234256</v>
      </c>
      <c r="O22" s="760">
        <f t="shared" si="1"/>
        <v>0</v>
      </c>
      <c r="P22" s="760">
        <f t="shared" si="1"/>
        <v>0</v>
      </c>
      <c r="Q22" s="760">
        <f t="shared" si="1"/>
        <v>0</v>
      </c>
      <c r="R22" s="760">
        <f t="shared" si="1"/>
        <v>37683.338112647594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1222.2435396415301</v>
      </c>
      <c r="D24" s="637">
        <f>+landbouw!C8</f>
        <v>16282.5000013026</v>
      </c>
      <c r="E24" s="637">
        <f>+landbouw!D8</f>
        <v>993.36436972625961</v>
      </c>
      <c r="F24" s="637">
        <f>+landbouw!E8</f>
        <v>41.215924401544818</v>
      </c>
      <c r="G24" s="637">
        <f>+landbouw!F8</f>
        <v>4234.698149646415</v>
      </c>
      <c r="H24" s="637">
        <f>+landbouw!G8</f>
        <v>0</v>
      </c>
      <c r="I24" s="637">
        <f>+landbouw!H8</f>
        <v>0</v>
      </c>
      <c r="J24" s="637">
        <f>+landbouw!I8</f>
        <v>0</v>
      </c>
      <c r="K24" s="637">
        <f>+landbouw!J8</f>
        <v>265.2922203480797</v>
      </c>
      <c r="L24" s="637">
        <f>+landbouw!K8</f>
        <v>0</v>
      </c>
      <c r="M24" s="637">
        <f>+landbouw!L8</f>
        <v>0</v>
      </c>
      <c r="N24" s="637">
        <f>+landbouw!M8</f>
        <v>0</v>
      </c>
      <c r="O24" s="637">
        <f>+landbouw!N8</f>
        <v>0</v>
      </c>
      <c r="P24" s="637">
        <f>+landbouw!O8</f>
        <v>0</v>
      </c>
      <c r="Q24" s="638">
        <f>+landbouw!P8</f>
        <v>0</v>
      </c>
      <c r="R24" s="640">
        <f>SUM(C24:Q24)</f>
        <v>23039.314205066432</v>
      </c>
      <c r="S24" s="67"/>
    </row>
    <row r="25" spans="1:19" s="439" customFormat="1" ht="15" thickBot="1">
      <c r="A25" s="779" t="s">
        <v>634</v>
      </c>
      <c r="B25" s="890"/>
      <c r="C25" s="891">
        <f>IF(Onbekend_ele_kWh="---",0,Onbekend_ele_kWh)/1000+IF(REST_rest_ele_kWh="---",0,REST_rest_ele_kWh)/1000</f>
        <v>213.85744926677498</v>
      </c>
      <c r="D25" s="891"/>
      <c r="E25" s="891">
        <f>IF(onbekend_gas_kWh="---",0,onbekend_gas_kWh)/1000+IF(REST_rest_gas_kWh="---",0,REST_rest_gas_kWh)/1000</f>
        <v>466.25346167423999</v>
      </c>
      <c r="F25" s="891"/>
      <c r="G25" s="891"/>
      <c r="H25" s="891"/>
      <c r="I25" s="891"/>
      <c r="J25" s="891"/>
      <c r="K25" s="891"/>
      <c r="L25" s="891"/>
      <c r="M25" s="891"/>
      <c r="N25" s="891"/>
      <c r="O25" s="891"/>
      <c r="P25" s="891"/>
      <c r="Q25" s="892"/>
      <c r="R25" s="640">
        <f>SUM(C25:Q25)</f>
        <v>680.11091094101494</v>
      </c>
      <c r="S25" s="67"/>
    </row>
    <row r="26" spans="1:19" s="439" customFormat="1" ht="15.75" thickBot="1">
      <c r="A26" s="645" t="s">
        <v>635</v>
      </c>
      <c r="B26" s="765"/>
      <c r="C26" s="760">
        <f>SUM(C24:C25)</f>
        <v>1436.100988908305</v>
      </c>
      <c r="D26" s="760">
        <f t="shared" ref="D26:R26" si="2">SUM(D24:D25)</f>
        <v>16282.5000013026</v>
      </c>
      <c r="E26" s="760">
        <f t="shared" si="2"/>
        <v>1459.6178314004997</v>
      </c>
      <c r="F26" s="760">
        <f t="shared" si="2"/>
        <v>41.215924401544818</v>
      </c>
      <c r="G26" s="760">
        <f t="shared" si="2"/>
        <v>4234.698149646415</v>
      </c>
      <c r="H26" s="760">
        <f t="shared" si="2"/>
        <v>0</v>
      </c>
      <c r="I26" s="760">
        <f t="shared" si="2"/>
        <v>0</v>
      </c>
      <c r="J26" s="760">
        <f t="shared" si="2"/>
        <v>0</v>
      </c>
      <c r="K26" s="760">
        <f t="shared" si="2"/>
        <v>265.2922203480797</v>
      </c>
      <c r="L26" s="760">
        <f t="shared" si="2"/>
        <v>0</v>
      </c>
      <c r="M26" s="760">
        <f t="shared" si="2"/>
        <v>0</v>
      </c>
      <c r="N26" s="760">
        <f t="shared" si="2"/>
        <v>0</v>
      </c>
      <c r="O26" s="760">
        <f t="shared" si="2"/>
        <v>0</v>
      </c>
      <c r="P26" s="760">
        <f t="shared" si="2"/>
        <v>0</v>
      </c>
      <c r="Q26" s="760">
        <f t="shared" si="2"/>
        <v>0</v>
      </c>
      <c r="R26" s="760">
        <f t="shared" si="2"/>
        <v>23719.425116007445</v>
      </c>
      <c r="S26" s="67"/>
    </row>
    <row r="27" spans="1:19" s="439" customFormat="1" ht="17.25" thickTop="1" thickBot="1">
      <c r="A27" s="646" t="s">
        <v>109</v>
      </c>
      <c r="B27" s="752"/>
      <c r="C27" s="647">
        <f ca="1">C22+C16+C26</f>
        <v>68936.057548852303</v>
      </c>
      <c r="D27" s="647">
        <f t="shared" ref="D27:R27" ca="1" si="3">D22+D16+D26</f>
        <v>16282.5000013026</v>
      </c>
      <c r="E27" s="647">
        <f t="shared" ca="1" si="3"/>
        <v>126255.14043964766</v>
      </c>
      <c r="F27" s="647">
        <f t="shared" ca="1" si="3"/>
        <v>1772.2138590998045</v>
      </c>
      <c r="G27" s="647">
        <f t="shared" ca="1" si="3"/>
        <v>32507.731514398838</v>
      </c>
      <c r="H27" s="647">
        <f t="shared" si="3"/>
        <v>28033.953995978114</v>
      </c>
      <c r="I27" s="647">
        <f t="shared" si="3"/>
        <v>5732.9540639333063</v>
      </c>
      <c r="J27" s="647">
        <f t="shared" si="3"/>
        <v>0</v>
      </c>
      <c r="K27" s="647">
        <f t="shared" si="3"/>
        <v>376.60432849024295</v>
      </c>
      <c r="L27" s="647">
        <f t="shared" si="3"/>
        <v>0</v>
      </c>
      <c r="M27" s="647">
        <f t="shared" ca="1" si="3"/>
        <v>0</v>
      </c>
      <c r="N27" s="647">
        <f t="shared" si="3"/>
        <v>3631.3962672234256</v>
      </c>
      <c r="O27" s="647">
        <f t="shared" ca="1" si="3"/>
        <v>5572.9595036538394</v>
      </c>
      <c r="P27" s="647">
        <f t="shared" si="3"/>
        <v>278.68349504125155</v>
      </c>
      <c r="Q27" s="647">
        <f t="shared" si="3"/>
        <v>400.15979546010078</v>
      </c>
      <c r="R27" s="647">
        <f t="shared" ca="1" si="3"/>
        <v>289780.3548130815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1590.1932117917588</v>
      </c>
      <c r="D40" s="637">
        <f ca="1">tertiair!C20</f>
        <v>0</v>
      </c>
      <c r="E40" s="637">
        <f ca="1">tertiair!D20</f>
        <v>1575.0793633305132</v>
      </c>
      <c r="F40" s="637">
        <f ca="1">tertiair!E20</f>
        <v>1.9652557613317423</v>
      </c>
      <c r="G40" s="637">
        <f ca="1">tertiair!F20</f>
        <v>342.62636018314402</v>
      </c>
      <c r="H40" s="637">
        <f>tertiair!G20</f>
        <v>0</v>
      </c>
      <c r="I40" s="637">
        <f>tertiair!H20</f>
        <v>0</v>
      </c>
      <c r="J40" s="637">
        <f>tertiair!I20</f>
        <v>0</v>
      </c>
      <c r="K40" s="637">
        <f>tertiair!J20</f>
        <v>2.5421051962539803E-3</v>
      </c>
      <c r="L40" s="637">
        <f>tertiair!K20</f>
        <v>0</v>
      </c>
      <c r="M40" s="637">
        <f ca="1">tertiair!L20</f>
        <v>0</v>
      </c>
      <c r="N40" s="637">
        <f>tertiair!M20</f>
        <v>0</v>
      </c>
      <c r="O40" s="637">
        <f ca="1">tertiair!N20</f>
        <v>0</v>
      </c>
      <c r="P40" s="637">
        <f>tertiair!O20</f>
        <v>0</v>
      </c>
      <c r="Q40" s="720">
        <f>tertiair!P20</f>
        <v>0</v>
      </c>
      <c r="R40" s="798">
        <f t="shared" ca="1" si="4"/>
        <v>3509.8667331719439</v>
      </c>
    </row>
    <row r="41" spans="1:18">
      <c r="A41" s="770" t="s">
        <v>214</v>
      </c>
      <c r="B41" s="777"/>
      <c r="C41" s="637">
        <f ca="1">huishoudens!B12</f>
        <v>2737.6175754327733</v>
      </c>
      <c r="D41" s="637">
        <f ca="1">huishoudens!C12</f>
        <v>0</v>
      </c>
      <c r="E41" s="637">
        <f>huishoudens!D12</f>
        <v>4575.5348510450431</v>
      </c>
      <c r="F41" s="637">
        <f>huishoudens!E12</f>
        <v>296.38280956851247</v>
      </c>
      <c r="G41" s="637">
        <f>huishoudens!F12</f>
        <v>4416.3646682513199</v>
      </c>
      <c r="H41" s="637">
        <f>huishoudens!G12</f>
        <v>0</v>
      </c>
      <c r="I41" s="637">
        <f>huishoudens!H12</f>
        <v>0</v>
      </c>
      <c r="J41" s="637">
        <f>huishoudens!I12</f>
        <v>0</v>
      </c>
      <c r="K41" s="637">
        <f>huishoudens!J12</f>
        <v>37.477965071132388</v>
      </c>
      <c r="L41" s="637">
        <f>huishoudens!K12</f>
        <v>0</v>
      </c>
      <c r="M41" s="637">
        <f>huishoudens!L12</f>
        <v>0</v>
      </c>
      <c r="N41" s="637">
        <f>huishoudens!M12</f>
        <v>0</v>
      </c>
      <c r="O41" s="637">
        <f>huishoudens!N12</f>
        <v>0</v>
      </c>
      <c r="P41" s="637">
        <f>huishoudens!O12</f>
        <v>0</v>
      </c>
      <c r="Q41" s="720">
        <f>huishoudens!P12</f>
        <v>0</v>
      </c>
      <c r="R41" s="798">
        <f t="shared" ca="1" si="4"/>
        <v>12063.37786936878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9078.1394965916588</v>
      </c>
      <c r="D43" s="637">
        <f ca="1">industrie!C22</f>
        <v>0</v>
      </c>
      <c r="E43" s="637">
        <f>industrie!D22</f>
        <v>19033.557672701842</v>
      </c>
      <c r="F43" s="637">
        <f>industrie!E22</f>
        <v>85.486958956391419</v>
      </c>
      <c r="G43" s="637">
        <f>industrie!F22</f>
        <v>2789.9088799544343</v>
      </c>
      <c r="H43" s="637">
        <f>industrie!G22</f>
        <v>0</v>
      </c>
      <c r="I43" s="637">
        <f>industrie!H22</f>
        <v>0</v>
      </c>
      <c r="J43" s="637">
        <f>industrie!I22</f>
        <v>0</v>
      </c>
      <c r="K43" s="637">
        <f>industrie!J22</f>
        <v>1.9239791059971501</v>
      </c>
      <c r="L43" s="637">
        <f>industrie!K22</f>
        <v>0</v>
      </c>
      <c r="M43" s="637">
        <f>industrie!L22</f>
        <v>0</v>
      </c>
      <c r="N43" s="637">
        <f>industrie!M22</f>
        <v>0</v>
      </c>
      <c r="O43" s="637">
        <f>industrie!N22</f>
        <v>0</v>
      </c>
      <c r="P43" s="637">
        <f>industrie!O22</f>
        <v>0</v>
      </c>
      <c r="Q43" s="720">
        <f>industrie!P22</f>
        <v>0</v>
      </c>
      <c r="R43" s="797">
        <f t="shared" ca="1" si="4"/>
        <v>30989.016987310322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13405.95028381619</v>
      </c>
      <c r="D46" s="673">
        <f t="shared" ref="D46:Q46" ca="1" si="5">SUM(D39:D45)</f>
        <v>0</v>
      </c>
      <c r="E46" s="673">
        <f t="shared" ca="1" si="5"/>
        <v>25184.171887077398</v>
      </c>
      <c r="F46" s="673">
        <f t="shared" ca="1" si="5"/>
        <v>383.83502428623558</v>
      </c>
      <c r="G46" s="673">
        <f t="shared" ca="1" si="5"/>
        <v>7548.8999083888984</v>
      </c>
      <c r="H46" s="673">
        <f t="shared" si="5"/>
        <v>0</v>
      </c>
      <c r="I46" s="673">
        <f t="shared" si="5"/>
        <v>0</v>
      </c>
      <c r="J46" s="673">
        <f t="shared" si="5"/>
        <v>0</v>
      </c>
      <c r="K46" s="673">
        <f t="shared" si="5"/>
        <v>39.404486282325792</v>
      </c>
      <c r="L46" s="673">
        <f t="shared" si="5"/>
        <v>0</v>
      </c>
      <c r="M46" s="673">
        <f t="shared" ca="1" si="5"/>
        <v>0</v>
      </c>
      <c r="N46" s="673">
        <f t="shared" si="5"/>
        <v>0</v>
      </c>
      <c r="O46" s="673">
        <f t="shared" ca="1" si="5"/>
        <v>0</v>
      </c>
      <c r="P46" s="673">
        <f t="shared" si="5"/>
        <v>0</v>
      </c>
      <c r="Q46" s="673">
        <f t="shared" si="5"/>
        <v>0</v>
      </c>
      <c r="R46" s="673">
        <f ca="1">SUM(R39:R45)</f>
        <v>46562.261589851048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0.58996340788597879</v>
      </c>
      <c r="D49" s="637">
        <f ca="1">transport!C58</f>
        <v>0</v>
      </c>
      <c r="E49" s="637">
        <f>transport!D58</f>
        <v>0</v>
      </c>
      <c r="F49" s="637">
        <f>transport!E58</f>
        <v>0</v>
      </c>
      <c r="G49" s="637">
        <f>transport!F58</f>
        <v>0</v>
      </c>
      <c r="H49" s="637">
        <f>transport!G58</f>
        <v>32.511490408637641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33.101453816523623</v>
      </c>
    </row>
    <row r="50" spans="1:18">
      <c r="A50" s="773" t="s">
        <v>294</v>
      </c>
      <c r="B50" s="783"/>
      <c r="C50" s="643">
        <f ca="1">transport!B18</f>
        <v>23.989849742064433</v>
      </c>
      <c r="D50" s="643">
        <f>transport!C18</f>
        <v>0</v>
      </c>
      <c r="E50" s="643">
        <f>transport!D18</f>
        <v>24.523679788530721</v>
      </c>
      <c r="F50" s="643">
        <f>transport!E18</f>
        <v>9.1015068902692846</v>
      </c>
      <c r="G50" s="643">
        <f>transport!F18</f>
        <v>0</v>
      </c>
      <c r="H50" s="643">
        <f>transport!G18</f>
        <v>7452.5542265175191</v>
      </c>
      <c r="I50" s="643">
        <f>transport!H18</f>
        <v>1427.5055619193934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8937.6748248577769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24.579813149950411</v>
      </c>
      <c r="D52" s="673">
        <f t="shared" ref="D52:Q52" ca="1" si="6">SUM(D48:D51)</f>
        <v>0</v>
      </c>
      <c r="E52" s="673">
        <f t="shared" si="6"/>
        <v>24.523679788530721</v>
      </c>
      <c r="F52" s="673">
        <f t="shared" si="6"/>
        <v>9.1015068902692846</v>
      </c>
      <c r="G52" s="673">
        <f t="shared" si="6"/>
        <v>0</v>
      </c>
      <c r="H52" s="673">
        <f t="shared" si="6"/>
        <v>7485.0657169261567</v>
      </c>
      <c r="I52" s="673">
        <f t="shared" si="6"/>
        <v>1427.5055619193934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8970.7762786743006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243.19095124750427</v>
      </c>
      <c r="D54" s="643">
        <f ca="1">+landbouw!C12</f>
        <v>3189.7116977995138</v>
      </c>
      <c r="E54" s="643">
        <f>+landbouw!D12</f>
        <v>200.65960268470445</v>
      </c>
      <c r="F54" s="643">
        <f>+landbouw!E12</f>
        <v>9.3560148391506743</v>
      </c>
      <c r="G54" s="643">
        <f>+landbouw!F12</f>
        <v>1130.6644059555929</v>
      </c>
      <c r="H54" s="643">
        <f>+landbouw!G12</f>
        <v>0</v>
      </c>
      <c r="I54" s="643">
        <f>+landbouw!H12</f>
        <v>0</v>
      </c>
      <c r="J54" s="643">
        <f>+landbouw!I12</f>
        <v>0</v>
      </c>
      <c r="K54" s="643">
        <f>+landbouw!J12</f>
        <v>93.913446003220201</v>
      </c>
      <c r="L54" s="643">
        <f>+landbouw!K12</f>
        <v>0</v>
      </c>
      <c r="M54" s="643">
        <f>+landbouw!L12</f>
        <v>0</v>
      </c>
      <c r="N54" s="643">
        <f>+landbouw!M12</f>
        <v>0</v>
      </c>
      <c r="O54" s="643">
        <f>+landbouw!N12</f>
        <v>0</v>
      </c>
      <c r="P54" s="643">
        <f>+landbouw!O12</f>
        <v>0</v>
      </c>
      <c r="Q54" s="644">
        <f>+landbouw!P12</f>
        <v>0</v>
      </c>
      <c r="R54" s="672">
        <f ca="1">SUM(C54:Q54)</f>
        <v>4867.496118529687</v>
      </c>
    </row>
    <row r="55" spans="1:18" ht="15" thickBot="1">
      <c r="A55" s="773" t="s">
        <v>634</v>
      </c>
      <c r="B55" s="783"/>
      <c r="C55" s="643">
        <f ca="1">C25*'EF ele_warmte'!B12</f>
        <v>42.551418626279094</v>
      </c>
      <c r="D55" s="643"/>
      <c r="E55" s="643">
        <f>E25*EF_CO2_aardgas</f>
        <v>94.183199258196481</v>
      </c>
      <c r="F55" s="643"/>
      <c r="G55" s="643"/>
      <c r="H55" s="643"/>
      <c r="I55" s="643"/>
      <c r="J55" s="643"/>
      <c r="K55" s="643"/>
      <c r="L55" s="643"/>
      <c r="M55" s="643"/>
      <c r="N55" s="643"/>
      <c r="O55" s="643"/>
      <c r="P55" s="643"/>
      <c r="Q55" s="644"/>
      <c r="R55" s="672">
        <f ca="1">SUM(C55:Q55)</f>
        <v>136.73461788447557</v>
      </c>
    </row>
    <row r="56" spans="1:18" ht="15.75" thickBot="1">
      <c r="A56" s="771" t="s">
        <v>635</v>
      </c>
      <c r="B56" s="784"/>
      <c r="C56" s="673">
        <f ca="1">SUM(C54:C55)</f>
        <v>285.74236987378339</v>
      </c>
      <c r="D56" s="673">
        <f t="shared" ref="D56:Q56" ca="1" si="7">SUM(D54:D55)</f>
        <v>3189.7116977995138</v>
      </c>
      <c r="E56" s="673">
        <f t="shared" si="7"/>
        <v>294.84280194290091</v>
      </c>
      <c r="F56" s="673">
        <f t="shared" si="7"/>
        <v>9.3560148391506743</v>
      </c>
      <c r="G56" s="673">
        <f t="shared" si="7"/>
        <v>1130.6644059555929</v>
      </c>
      <c r="H56" s="673">
        <f t="shared" si="7"/>
        <v>0</v>
      </c>
      <c r="I56" s="673">
        <f t="shared" si="7"/>
        <v>0</v>
      </c>
      <c r="J56" s="673">
        <f t="shared" si="7"/>
        <v>0</v>
      </c>
      <c r="K56" s="673">
        <f t="shared" si="7"/>
        <v>93.913446003220201</v>
      </c>
      <c r="L56" s="673">
        <f t="shared" si="7"/>
        <v>0</v>
      </c>
      <c r="M56" s="673">
        <f t="shared" si="7"/>
        <v>0</v>
      </c>
      <c r="N56" s="673">
        <f t="shared" si="7"/>
        <v>0</v>
      </c>
      <c r="O56" s="673">
        <f t="shared" si="7"/>
        <v>0</v>
      </c>
      <c r="P56" s="673">
        <f t="shared" si="7"/>
        <v>0</v>
      </c>
      <c r="Q56" s="674">
        <f t="shared" si="7"/>
        <v>0</v>
      </c>
      <c r="R56" s="675">
        <f ca="1">SUM(R54:R55)</f>
        <v>5004.2307364141625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13716.272466839924</v>
      </c>
      <c r="D61" s="681">
        <f t="shared" ref="D61:Q61" ca="1" si="8">D46+D52+D56</f>
        <v>3189.7116977995138</v>
      </c>
      <c r="E61" s="681">
        <f t="shared" ca="1" si="8"/>
        <v>25503.53836880883</v>
      </c>
      <c r="F61" s="681">
        <f t="shared" ca="1" si="8"/>
        <v>402.29254601565549</v>
      </c>
      <c r="G61" s="681">
        <f t="shared" ca="1" si="8"/>
        <v>8679.5643143444904</v>
      </c>
      <c r="H61" s="681">
        <f t="shared" si="8"/>
        <v>7485.0657169261567</v>
      </c>
      <c r="I61" s="681">
        <f t="shared" si="8"/>
        <v>1427.5055619193934</v>
      </c>
      <c r="J61" s="681">
        <f t="shared" si="8"/>
        <v>0</v>
      </c>
      <c r="K61" s="681">
        <f t="shared" si="8"/>
        <v>133.31793228554599</v>
      </c>
      <c r="L61" s="681">
        <f t="shared" si="8"/>
        <v>0</v>
      </c>
      <c r="M61" s="681">
        <f t="shared" ca="1" si="8"/>
        <v>0</v>
      </c>
      <c r="N61" s="681">
        <f t="shared" si="8"/>
        <v>0</v>
      </c>
      <c r="O61" s="681">
        <f t="shared" ca="1" si="8"/>
        <v>0</v>
      </c>
      <c r="P61" s="681">
        <f t="shared" si="8"/>
        <v>0</v>
      </c>
      <c r="Q61" s="681">
        <f t="shared" si="8"/>
        <v>0</v>
      </c>
      <c r="R61" s="681">
        <f ca="1">R46+R52+R56</f>
        <v>60537.268604939512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0.1989709443003719</v>
      </c>
      <c r="D63" s="727">
        <f t="shared" ca="1" si="9"/>
        <v>0.19589815430949406</v>
      </c>
      <c r="E63" s="916">
        <f t="shared" ca="1" si="9"/>
        <v>0.20200000000000001</v>
      </c>
      <c r="F63" s="727">
        <f t="shared" ca="1" si="9"/>
        <v>0.22699999999999992</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5619.9807616941944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11018.3333342148</v>
      </c>
      <c r="D76" s="899">
        <f>'lokale energieproductie'!C8</f>
        <v>10685.500810591349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2158.4711637394525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5619.9807616941944</v>
      </c>
      <c r="C78" s="699">
        <f>SUM(C72:C77)</f>
        <v>11018.3333342148</v>
      </c>
      <c r="D78" s="700">
        <f t="shared" ref="D78:H78" si="10">SUM(D76:D77)</f>
        <v>10685.500810591349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2158.4711637394525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16282.5000013026</v>
      </c>
      <c r="D87" s="723">
        <f>'lokale energieproductie'!C17</f>
        <v>15790.651969304523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3189.7116977995138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16282.5000013026</v>
      </c>
      <c r="D90" s="699">
        <f t="shared" ref="D90:H90" si="12">SUM(D87:D89)</f>
        <v>15790.651969304523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3189.7116977995138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13758.88115251638</v>
      </c>
      <c r="C4" s="443">
        <f>huishoudens!C8</f>
        <v>0</v>
      </c>
      <c r="D4" s="443">
        <f>huishoudens!D8</f>
        <v>22651.162628935854</v>
      </c>
      <c r="E4" s="443">
        <f>huishoudens!E8</f>
        <v>1305.6511434736233</v>
      </c>
      <c r="F4" s="443">
        <f>huishoudens!F8</f>
        <v>16540.691641390709</v>
      </c>
      <c r="G4" s="443">
        <f>huishoudens!G8</f>
        <v>0</v>
      </c>
      <c r="H4" s="443">
        <f>huishoudens!H8</f>
        <v>0</v>
      </c>
      <c r="I4" s="443">
        <f>huishoudens!I8</f>
        <v>0</v>
      </c>
      <c r="J4" s="443">
        <f>huishoudens!J8</f>
        <v>105.86995782805759</v>
      </c>
      <c r="K4" s="443">
        <f>huishoudens!K8</f>
        <v>0</v>
      </c>
      <c r="L4" s="443">
        <f>huishoudens!L8</f>
        <v>0</v>
      </c>
      <c r="M4" s="443">
        <f>huishoudens!M8</f>
        <v>0</v>
      </c>
      <c r="N4" s="443">
        <f>huishoudens!N8</f>
        <v>4125.7486432043152</v>
      </c>
      <c r="O4" s="443">
        <f>huishoudens!O8</f>
        <v>273.78623427541038</v>
      </c>
      <c r="P4" s="444">
        <f>huishoudens!P8</f>
        <v>347.62065715360575</v>
      </c>
      <c r="Q4" s="445">
        <f>SUM(B4:P4)</f>
        <v>59109.412058777947</v>
      </c>
    </row>
    <row r="5" spans="1:17">
      <c r="A5" s="442" t="s">
        <v>149</v>
      </c>
      <c r="B5" s="443">
        <f ca="1">tertiair!B16</f>
        <v>7477.5815753153202</v>
      </c>
      <c r="C5" s="443">
        <f ca="1">tertiair!C16</f>
        <v>0</v>
      </c>
      <c r="D5" s="443">
        <f ca="1">tertiair!D16</f>
        <v>7797.4225907451137</v>
      </c>
      <c r="E5" s="443">
        <f ca="1">tertiair!E16</f>
        <v>8.6575143671001857</v>
      </c>
      <c r="F5" s="443">
        <f ca="1">tertiair!F16</f>
        <v>1283.2447946934233</v>
      </c>
      <c r="G5" s="443">
        <f>tertiair!G16</f>
        <v>0</v>
      </c>
      <c r="H5" s="443">
        <f>tertiair!H16</f>
        <v>0</v>
      </c>
      <c r="I5" s="443">
        <f>tertiair!I16</f>
        <v>0</v>
      </c>
      <c r="J5" s="443">
        <f>tertiair!J16</f>
        <v>7.1810881250112439E-3</v>
      </c>
      <c r="K5" s="443">
        <f>tertiair!K16</f>
        <v>0</v>
      </c>
      <c r="L5" s="443">
        <f ca="1">tertiair!L16</f>
        <v>0</v>
      </c>
      <c r="M5" s="443">
        <f>tertiair!M16</f>
        <v>0</v>
      </c>
      <c r="N5" s="443">
        <f ca="1">tertiair!N16</f>
        <v>270.45324327310044</v>
      </c>
      <c r="O5" s="443">
        <f>tertiair!O16</f>
        <v>4.8972607658411542</v>
      </c>
      <c r="P5" s="444">
        <f>tertiair!P16</f>
        <v>52.539138306495019</v>
      </c>
      <c r="Q5" s="442">
        <f t="shared" ref="Q5:Q14" ca="1" si="0">SUM(B5:P5)</f>
        <v>16894.803298554514</v>
      </c>
    </row>
    <row r="6" spans="1:17">
      <c r="A6" s="442" t="s">
        <v>187</v>
      </c>
      <c r="B6" s="443">
        <f>'openbare verlichting'!B8</f>
        <v>514.50599999999997</v>
      </c>
      <c r="C6" s="443"/>
      <c r="D6" s="443"/>
      <c r="E6" s="443"/>
      <c r="F6" s="443"/>
      <c r="G6" s="443"/>
      <c r="H6" s="443"/>
      <c r="I6" s="443"/>
      <c r="J6" s="443"/>
      <c r="K6" s="443"/>
      <c r="L6" s="443"/>
      <c r="M6" s="443"/>
      <c r="N6" s="443"/>
      <c r="O6" s="443"/>
      <c r="P6" s="444"/>
      <c r="Q6" s="442">
        <f t="shared" si="0"/>
        <v>514.50599999999997</v>
      </c>
    </row>
    <row r="7" spans="1:17">
      <c r="A7" s="442" t="s">
        <v>105</v>
      </c>
      <c r="B7" s="443">
        <f>landbouw!B8</f>
        <v>1222.2435396415301</v>
      </c>
      <c r="C7" s="443">
        <f>landbouw!C8</f>
        <v>16282.5000013026</v>
      </c>
      <c r="D7" s="443">
        <f>landbouw!D8</f>
        <v>993.36436972625961</v>
      </c>
      <c r="E7" s="443">
        <f>landbouw!E8</f>
        <v>41.215924401544818</v>
      </c>
      <c r="F7" s="443">
        <f>landbouw!F8</f>
        <v>4234.698149646415</v>
      </c>
      <c r="G7" s="443">
        <f>landbouw!G8</f>
        <v>0</v>
      </c>
      <c r="H7" s="443">
        <f>landbouw!H8</f>
        <v>0</v>
      </c>
      <c r="I7" s="443">
        <f>landbouw!I8</f>
        <v>0</v>
      </c>
      <c r="J7" s="443">
        <f>landbouw!J8</f>
        <v>265.2922203480797</v>
      </c>
      <c r="K7" s="443">
        <f>landbouw!K8</f>
        <v>0</v>
      </c>
      <c r="L7" s="443">
        <f>landbouw!L8</f>
        <v>0</v>
      </c>
      <c r="M7" s="443">
        <f>landbouw!M8</f>
        <v>0</v>
      </c>
      <c r="N7" s="443">
        <f>landbouw!N8</f>
        <v>0</v>
      </c>
      <c r="O7" s="443">
        <f>landbouw!O8</f>
        <v>0</v>
      </c>
      <c r="P7" s="444">
        <f>landbouw!P8</f>
        <v>0</v>
      </c>
      <c r="Q7" s="442">
        <f t="shared" si="0"/>
        <v>23039.314205066432</v>
      </c>
    </row>
    <row r="8" spans="1:17">
      <c r="A8" s="442" t="s">
        <v>569</v>
      </c>
      <c r="B8" s="443">
        <f>industrie!B18</f>
        <v>45625.453145998312</v>
      </c>
      <c r="C8" s="443">
        <f>industrie!C18</f>
        <v>0</v>
      </c>
      <c r="D8" s="443">
        <f>industrie!D18</f>
        <v>94225.533033177431</v>
      </c>
      <c r="E8" s="443">
        <f>industrie!E18</f>
        <v>376.59453284753926</v>
      </c>
      <c r="F8" s="443">
        <f>industrie!F18</f>
        <v>10449.096928668292</v>
      </c>
      <c r="G8" s="443">
        <f>industrie!G18</f>
        <v>0</v>
      </c>
      <c r="H8" s="443">
        <f>industrie!H18</f>
        <v>0</v>
      </c>
      <c r="I8" s="443">
        <f>industrie!I18</f>
        <v>0</v>
      </c>
      <c r="J8" s="443">
        <f>industrie!J18</f>
        <v>5.4349692259806499</v>
      </c>
      <c r="K8" s="443">
        <f>industrie!K18</f>
        <v>0</v>
      </c>
      <c r="L8" s="443">
        <f>industrie!L18</f>
        <v>0</v>
      </c>
      <c r="M8" s="443">
        <f>industrie!M18</f>
        <v>0</v>
      </c>
      <c r="N8" s="443">
        <f>industrie!N18</f>
        <v>1176.757617176424</v>
      </c>
      <c r="O8" s="443">
        <f>industrie!O18</f>
        <v>0</v>
      </c>
      <c r="P8" s="444">
        <f>industrie!P18</f>
        <v>0</v>
      </c>
      <c r="Q8" s="442">
        <f t="shared" si="0"/>
        <v>151858.87022709398</v>
      </c>
    </row>
    <row r="9" spans="1:17" s="448" customFormat="1">
      <c r="A9" s="446" t="s">
        <v>521</v>
      </c>
      <c r="B9" s="447">
        <f>transport!B14</f>
        <v>120.56961294734928</v>
      </c>
      <c r="C9" s="447">
        <f>transport!C14</f>
        <v>0</v>
      </c>
      <c r="D9" s="447">
        <f>transport!D14</f>
        <v>121.40435538876594</v>
      </c>
      <c r="E9" s="447">
        <f>transport!E14</f>
        <v>40.094744009996845</v>
      </c>
      <c r="F9" s="447">
        <f>transport!F14</f>
        <v>0</v>
      </c>
      <c r="G9" s="447">
        <f>transport!G14</f>
        <v>27912.188114297824</v>
      </c>
      <c r="H9" s="447">
        <f>transport!H14</f>
        <v>5732.9540639333063</v>
      </c>
      <c r="I9" s="447">
        <f>transport!I14</f>
        <v>0</v>
      </c>
      <c r="J9" s="447">
        <f>transport!J14</f>
        <v>0</v>
      </c>
      <c r="K9" s="447">
        <f>transport!K14</f>
        <v>0</v>
      </c>
      <c r="L9" s="447">
        <f>transport!L14</f>
        <v>0</v>
      </c>
      <c r="M9" s="447">
        <f>transport!M14</f>
        <v>3617.7659298514322</v>
      </c>
      <c r="N9" s="447">
        <f>transport!N14</f>
        <v>0</v>
      </c>
      <c r="O9" s="447">
        <f>transport!O14</f>
        <v>0</v>
      </c>
      <c r="P9" s="447">
        <f>transport!P14</f>
        <v>0</v>
      </c>
      <c r="Q9" s="446">
        <f>SUM(B9:P9)</f>
        <v>37544.976820428674</v>
      </c>
    </row>
    <row r="10" spans="1:17">
      <c r="A10" s="442" t="s">
        <v>511</v>
      </c>
      <c r="B10" s="443">
        <f>transport!B54</f>
        <v>2.965073166639618</v>
      </c>
      <c r="C10" s="443">
        <f>transport!C54</f>
        <v>0</v>
      </c>
      <c r="D10" s="443">
        <f>transport!D54</f>
        <v>0</v>
      </c>
      <c r="E10" s="443">
        <f>transport!E54</f>
        <v>0</v>
      </c>
      <c r="F10" s="443">
        <f>transport!F54</f>
        <v>0</v>
      </c>
      <c r="G10" s="443">
        <f>transport!G54</f>
        <v>121.76588168029079</v>
      </c>
      <c r="H10" s="443">
        <f>transport!H54</f>
        <v>0</v>
      </c>
      <c r="I10" s="443">
        <f>transport!I54</f>
        <v>0</v>
      </c>
      <c r="J10" s="443">
        <f>transport!J54</f>
        <v>0</v>
      </c>
      <c r="K10" s="443">
        <f>transport!K54</f>
        <v>0</v>
      </c>
      <c r="L10" s="443">
        <f>transport!L54</f>
        <v>0</v>
      </c>
      <c r="M10" s="443">
        <f>transport!M54</f>
        <v>13.630337371993454</v>
      </c>
      <c r="N10" s="443">
        <f>transport!N54</f>
        <v>0</v>
      </c>
      <c r="O10" s="443">
        <f>transport!O54</f>
        <v>0</v>
      </c>
      <c r="P10" s="444">
        <f>transport!P54</f>
        <v>0</v>
      </c>
      <c r="Q10" s="442">
        <f t="shared" si="0"/>
        <v>138.36129221892386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213.85744926677498</v>
      </c>
      <c r="C14" s="450"/>
      <c r="D14" s="450">
        <f>'SEAP template'!E25</f>
        <v>466.25346167423999</v>
      </c>
      <c r="E14" s="450"/>
      <c r="F14" s="450"/>
      <c r="G14" s="450"/>
      <c r="H14" s="450"/>
      <c r="I14" s="450"/>
      <c r="J14" s="450"/>
      <c r="K14" s="450"/>
      <c r="L14" s="450"/>
      <c r="M14" s="450"/>
      <c r="N14" s="450"/>
      <c r="O14" s="450"/>
      <c r="P14" s="451"/>
      <c r="Q14" s="442">
        <f t="shared" si="0"/>
        <v>680.11091094101494</v>
      </c>
    </row>
    <row r="15" spans="1:17" s="454" customFormat="1">
      <c r="A15" s="452" t="s">
        <v>515</v>
      </c>
      <c r="B15" s="453">
        <f ca="1">SUM(B4:B14)</f>
        <v>68936.057548852303</v>
      </c>
      <c r="C15" s="453">
        <f t="shared" ref="C15:Q15" ca="1" si="1">SUM(C4:C14)</f>
        <v>16282.5000013026</v>
      </c>
      <c r="D15" s="453">
        <f t="shared" ca="1" si="1"/>
        <v>126255.14043964766</v>
      </c>
      <c r="E15" s="453">
        <f t="shared" ca="1" si="1"/>
        <v>1772.2138590998045</v>
      </c>
      <c r="F15" s="453">
        <f t="shared" ca="1" si="1"/>
        <v>32507.731514398838</v>
      </c>
      <c r="G15" s="453">
        <f t="shared" si="1"/>
        <v>28033.953995978114</v>
      </c>
      <c r="H15" s="453">
        <f t="shared" si="1"/>
        <v>5732.9540639333063</v>
      </c>
      <c r="I15" s="453">
        <f t="shared" si="1"/>
        <v>0</v>
      </c>
      <c r="J15" s="453">
        <f t="shared" si="1"/>
        <v>376.60432849024295</v>
      </c>
      <c r="K15" s="453">
        <f t="shared" si="1"/>
        <v>0</v>
      </c>
      <c r="L15" s="453">
        <f t="shared" ca="1" si="1"/>
        <v>0</v>
      </c>
      <c r="M15" s="453">
        <f t="shared" si="1"/>
        <v>3631.3962672234256</v>
      </c>
      <c r="N15" s="453">
        <f t="shared" ca="1" si="1"/>
        <v>5572.9595036538394</v>
      </c>
      <c r="O15" s="453">
        <f t="shared" si="1"/>
        <v>278.68349504125155</v>
      </c>
      <c r="P15" s="453">
        <f t="shared" si="1"/>
        <v>400.15979546010078</v>
      </c>
      <c r="Q15" s="453">
        <f t="shared" ca="1" si="1"/>
        <v>289780.3548130815</v>
      </c>
    </row>
    <row r="17" spans="1:17">
      <c r="A17" s="455" t="s">
        <v>516</v>
      </c>
      <c r="B17" s="732">
        <f ca="1">huishoudens!B10</f>
        <v>0.1989709443003719</v>
      </c>
      <c r="C17" s="732">
        <f ca="1">huishoudens!C10</f>
        <v>0.19589815430949406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2737.6175754327733</v>
      </c>
      <c r="C22" s="443">
        <f t="shared" ref="C22:C32" ca="1" si="3">C4*$C$17</f>
        <v>0</v>
      </c>
      <c r="D22" s="443">
        <f t="shared" ref="D22:D32" si="4">D4*$D$17</f>
        <v>4575.5348510450431</v>
      </c>
      <c r="E22" s="443">
        <f t="shared" ref="E22:E32" si="5">E4*$E$17</f>
        <v>296.38280956851247</v>
      </c>
      <c r="F22" s="443">
        <f t="shared" ref="F22:F32" si="6">F4*$F$17</f>
        <v>4416.3646682513199</v>
      </c>
      <c r="G22" s="443">
        <f t="shared" ref="G22:G32" si="7">G4*$G$17</f>
        <v>0</v>
      </c>
      <c r="H22" s="443">
        <f t="shared" ref="H22:H32" si="8">H4*$H$17</f>
        <v>0</v>
      </c>
      <c r="I22" s="443">
        <f t="shared" ref="I22:I32" si="9">I4*$I$17</f>
        <v>0</v>
      </c>
      <c r="J22" s="443">
        <f t="shared" ref="J22:J32" si="10">J4*$J$17</f>
        <v>37.477965071132388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12063.37786936878</v>
      </c>
    </row>
    <row r="23" spans="1:17">
      <c r="A23" s="442" t="s">
        <v>149</v>
      </c>
      <c r="B23" s="443">
        <f t="shared" ca="1" si="2"/>
        <v>1487.8214671235517</v>
      </c>
      <c r="C23" s="443">
        <f t="shared" ca="1" si="3"/>
        <v>0</v>
      </c>
      <c r="D23" s="443">
        <f t="shared" ca="1" si="4"/>
        <v>1575.0793633305132</v>
      </c>
      <c r="E23" s="443">
        <f t="shared" ca="1" si="5"/>
        <v>1.9652557613317423</v>
      </c>
      <c r="F23" s="443">
        <f t="shared" ca="1" si="6"/>
        <v>342.62636018314402</v>
      </c>
      <c r="G23" s="443">
        <f t="shared" si="7"/>
        <v>0</v>
      </c>
      <c r="H23" s="443">
        <f t="shared" si="8"/>
        <v>0</v>
      </c>
      <c r="I23" s="443">
        <f t="shared" si="9"/>
        <v>0</v>
      </c>
      <c r="J23" s="443">
        <f t="shared" si="10"/>
        <v>2.5421051962539803E-3</v>
      </c>
      <c r="K23" s="443">
        <f t="shared" si="11"/>
        <v>0</v>
      </c>
      <c r="L23" s="443">
        <f t="shared" ca="1" si="12"/>
        <v>0</v>
      </c>
      <c r="M23" s="443">
        <f t="shared" si="13"/>
        <v>0</v>
      </c>
      <c r="N23" s="443">
        <f t="shared" ca="1" si="14"/>
        <v>0</v>
      </c>
      <c r="O23" s="443">
        <f t="shared" si="15"/>
        <v>0</v>
      </c>
      <c r="P23" s="444">
        <f t="shared" si="16"/>
        <v>0</v>
      </c>
      <c r="Q23" s="442">
        <f t="shared" ref="Q23:Q31" ca="1" si="17">SUM(B23:P23)</f>
        <v>3407.4949885037372</v>
      </c>
    </row>
    <row r="24" spans="1:17">
      <c r="A24" s="442" t="s">
        <v>187</v>
      </c>
      <c r="B24" s="443">
        <f t="shared" ca="1" si="2"/>
        <v>102.37174466820714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102.37174466820714</v>
      </c>
    </row>
    <row r="25" spans="1:17">
      <c r="A25" s="442" t="s">
        <v>105</v>
      </c>
      <c r="B25" s="443">
        <f t="shared" ca="1" si="2"/>
        <v>243.19095124750427</v>
      </c>
      <c r="C25" s="443">
        <f t="shared" ca="1" si="3"/>
        <v>3189.7116977995138</v>
      </c>
      <c r="D25" s="443">
        <f t="shared" si="4"/>
        <v>200.65960268470445</v>
      </c>
      <c r="E25" s="443">
        <f t="shared" si="5"/>
        <v>9.3560148391506743</v>
      </c>
      <c r="F25" s="443">
        <f t="shared" si="6"/>
        <v>1130.6644059555929</v>
      </c>
      <c r="G25" s="443">
        <f t="shared" si="7"/>
        <v>0</v>
      </c>
      <c r="H25" s="443">
        <f t="shared" si="8"/>
        <v>0</v>
      </c>
      <c r="I25" s="443">
        <f t="shared" si="9"/>
        <v>0</v>
      </c>
      <c r="J25" s="443">
        <f t="shared" si="10"/>
        <v>93.913446003220201</v>
      </c>
      <c r="K25" s="443">
        <f t="shared" si="11"/>
        <v>0</v>
      </c>
      <c r="L25" s="443">
        <f t="shared" si="12"/>
        <v>0</v>
      </c>
      <c r="M25" s="443">
        <f t="shared" si="13"/>
        <v>0</v>
      </c>
      <c r="N25" s="443">
        <f t="shared" si="14"/>
        <v>0</v>
      </c>
      <c r="O25" s="443">
        <f t="shared" si="15"/>
        <v>0</v>
      </c>
      <c r="P25" s="444">
        <f t="shared" si="16"/>
        <v>0</v>
      </c>
      <c r="Q25" s="442">
        <f t="shared" ca="1" si="17"/>
        <v>4867.496118529687</v>
      </c>
    </row>
    <row r="26" spans="1:17">
      <c r="A26" s="442" t="s">
        <v>569</v>
      </c>
      <c r="B26" s="443">
        <f t="shared" ca="1" si="2"/>
        <v>9078.1394965916588</v>
      </c>
      <c r="C26" s="443">
        <f t="shared" ca="1" si="3"/>
        <v>0</v>
      </c>
      <c r="D26" s="443">
        <f t="shared" si="4"/>
        <v>19033.557672701842</v>
      </c>
      <c r="E26" s="443">
        <f t="shared" si="5"/>
        <v>85.486958956391419</v>
      </c>
      <c r="F26" s="443">
        <f t="shared" si="6"/>
        <v>2789.9088799544343</v>
      </c>
      <c r="G26" s="443">
        <f t="shared" si="7"/>
        <v>0</v>
      </c>
      <c r="H26" s="443">
        <f t="shared" si="8"/>
        <v>0</v>
      </c>
      <c r="I26" s="443">
        <f t="shared" si="9"/>
        <v>0</v>
      </c>
      <c r="J26" s="443">
        <f t="shared" si="10"/>
        <v>1.9239791059971501</v>
      </c>
      <c r="K26" s="443">
        <f t="shared" si="11"/>
        <v>0</v>
      </c>
      <c r="L26" s="443">
        <f t="shared" si="12"/>
        <v>0</v>
      </c>
      <c r="M26" s="443">
        <f t="shared" si="13"/>
        <v>0</v>
      </c>
      <c r="N26" s="443">
        <f t="shared" si="14"/>
        <v>0</v>
      </c>
      <c r="O26" s="443">
        <f t="shared" si="15"/>
        <v>0</v>
      </c>
      <c r="P26" s="444">
        <f t="shared" si="16"/>
        <v>0</v>
      </c>
      <c r="Q26" s="442">
        <f t="shared" ca="1" si="17"/>
        <v>30989.016987310322</v>
      </c>
    </row>
    <row r="27" spans="1:17" s="448" customFormat="1">
      <c r="A27" s="446" t="s">
        <v>521</v>
      </c>
      <c r="B27" s="726">
        <f t="shared" ca="1" si="2"/>
        <v>23.989849742064433</v>
      </c>
      <c r="C27" s="447">
        <f t="shared" ca="1" si="3"/>
        <v>0</v>
      </c>
      <c r="D27" s="447">
        <f t="shared" si="4"/>
        <v>24.523679788530721</v>
      </c>
      <c r="E27" s="447">
        <f t="shared" si="5"/>
        <v>9.1015068902692846</v>
      </c>
      <c r="F27" s="447">
        <f t="shared" si="6"/>
        <v>0</v>
      </c>
      <c r="G27" s="447">
        <f t="shared" si="7"/>
        <v>7452.5542265175191</v>
      </c>
      <c r="H27" s="447">
        <f t="shared" si="8"/>
        <v>1427.5055619193934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8937.6748248577769</v>
      </c>
    </row>
    <row r="28" spans="1:17" ht="16.5" customHeight="1">
      <c r="A28" s="442" t="s">
        <v>511</v>
      </c>
      <c r="B28" s="443">
        <f t="shared" ca="1" si="2"/>
        <v>0.58996340788597879</v>
      </c>
      <c r="C28" s="443">
        <f t="shared" ca="1" si="3"/>
        <v>0</v>
      </c>
      <c r="D28" s="443">
        <f t="shared" si="4"/>
        <v>0</v>
      </c>
      <c r="E28" s="443">
        <f t="shared" si="5"/>
        <v>0</v>
      </c>
      <c r="F28" s="443">
        <f t="shared" si="6"/>
        <v>0</v>
      </c>
      <c r="G28" s="443">
        <f t="shared" si="7"/>
        <v>32.511490408637641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33.101453816523623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42.551418626279094</v>
      </c>
      <c r="C32" s="443">
        <f t="shared" ca="1" si="3"/>
        <v>0</v>
      </c>
      <c r="D32" s="443">
        <f t="shared" si="4"/>
        <v>94.183199258196481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136.73461788447557</v>
      </c>
    </row>
    <row r="33" spans="1:17" s="454" customFormat="1">
      <c r="A33" s="452" t="s">
        <v>515</v>
      </c>
      <c r="B33" s="453">
        <f ca="1">SUM(B22:B32)</f>
        <v>13716.272466839922</v>
      </c>
      <c r="C33" s="453">
        <f t="shared" ref="C33:Q33" ca="1" si="19">SUM(C22:C32)</f>
        <v>3189.7116977995138</v>
      </c>
      <c r="D33" s="453">
        <f t="shared" ca="1" si="19"/>
        <v>25503.53836880883</v>
      </c>
      <c r="E33" s="453">
        <f t="shared" ca="1" si="19"/>
        <v>402.29254601565555</v>
      </c>
      <c r="F33" s="453">
        <f t="shared" ca="1" si="19"/>
        <v>8679.5643143444904</v>
      </c>
      <c r="G33" s="453">
        <f t="shared" si="19"/>
        <v>7485.0657169261567</v>
      </c>
      <c r="H33" s="453">
        <f t="shared" si="19"/>
        <v>1427.5055619193934</v>
      </c>
      <c r="I33" s="453">
        <f t="shared" si="19"/>
        <v>0</v>
      </c>
      <c r="J33" s="453">
        <f t="shared" si="19"/>
        <v>133.31793228554599</v>
      </c>
      <c r="K33" s="453">
        <f t="shared" si="19"/>
        <v>0</v>
      </c>
      <c r="L33" s="453">
        <f t="shared" ca="1" si="19"/>
        <v>0</v>
      </c>
      <c r="M33" s="453">
        <f t="shared" si="19"/>
        <v>0</v>
      </c>
      <c r="N33" s="453">
        <f t="shared" ca="1" si="19"/>
        <v>0</v>
      </c>
      <c r="O33" s="453">
        <f t="shared" si="19"/>
        <v>0</v>
      </c>
      <c r="P33" s="453">
        <f t="shared" si="19"/>
        <v>0</v>
      </c>
      <c r="Q33" s="453">
        <f t="shared" ca="1" si="19"/>
        <v>60537.268604939512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5619.9807616941944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11018.3333342148</v>
      </c>
      <c r="D8" s="967">
        <f>'SEAP template'!D76</f>
        <v>10685.500810591349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2158.4711637394525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5619.9807616941944</v>
      </c>
      <c r="C10" s="969">
        <f>SUM(C4:C9)</f>
        <v>11018.3333342148</v>
      </c>
      <c r="D10" s="969">
        <f t="shared" ref="D10:H10" si="0">SUM(D8:D9)</f>
        <v>10685.500810591349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2158.4711637394525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0.1989709443003719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16282.5000013026</v>
      </c>
      <c r="D17" s="968">
        <f>'SEAP template'!D87</f>
        <v>15790.651969304523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3189.7116977995138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16282.5000013026</v>
      </c>
      <c r="D20" s="969">
        <f t="shared" ref="D20:H20" si="2">SUM(D17:D19)</f>
        <v>15790.651969304523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3189.7116977995138</v>
      </c>
    </row>
    <row r="21" spans="1:16">
      <c r="B21" s="836"/>
    </row>
    <row r="22" spans="1:16">
      <c r="A22" s="455" t="s">
        <v>677</v>
      </c>
      <c r="B22" s="732" t="s">
        <v>675</v>
      </c>
      <c r="C22" s="732">
        <f ca="1">'EF ele_warmte'!B22</f>
        <v>0.19589815430949406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0.1989709443003719</v>
      </c>
      <c r="C17" s="492">
        <f ca="1">'EF ele_warmte'!B22</f>
        <v>0.19589815430949406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2022-10-04T13:59:07Z</dcterms:modified>
</cp:coreProperties>
</file>