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E5FF92E4-4F9A-4770-A03B-1EC34771BBEE}"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7" i="18"/>
  <c r="E9"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Q37" i="18"/>
  <c r="R37" i="18"/>
  <c r="J9" i="18"/>
  <c r="U37" i="18"/>
  <c r="T37" i="18"/>
  <c r="I9"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D20" i="18"/>
  <c r="G12" i="18"/>
  <c r="F12" i="18"/>
  <c r="E12" i="18"/>
  <c r="D12" i="18"/>
  <c r="C12" i="18"/>
  <c r="L10" i="18"/>
  <c r="K10" i="18"/>
  <c r="G10" i="18"/>
  <c r="D10" i="18"/>
  <c r="B6" i="18"/>
  <c r="B5" i="18"/>
  <c r="B4" i="18"/>
  <c r="B46" i="18"/>
  <c r="F50" i="18"/>
  <c r="F20" i="18"/>
  <c r="B17" i="18"/>
  <c r="C46" i="18"/>
  <c r="B49" i="18"/>
  <c r="C8" i="18"/>
  <c r="G20" i="18"/>
  <c r="K20" i="18"/>
  <c r="B10" i="18"/>
  <c r="O9" i="18"/>
  <c r="O19" i="18"/>
  <c r="O18" i="18"/>
  <c r="B20" i="18"/>
  <c r="I49" i="18"/>
  <c r="H8" i="18"/>
  <c r="H10" i="18"/>
  <c r="E49" i="18"/>
  <c r="E8" i="18"/>
  <c r="E10" i="18"/>
  <c r="D49" i="18"/>
  <c r="F49" i="18"/>
  <c r="N6" i="17"/>
  <c r="L6" i="17"/>
  <c r="F6" i="17"/>
  <c r="D6" i="17"/>
  <c r="C6" i="17"/>
  <c r="N16" i="16"/>
  <c r="L16" i="16"/>
  <c r="F16" i="16"/>
  <c r="D16" i="16"/>
  <c r="C16" i="16"/>
  <c r="B16" i="16"/>
  <c r="B13" i="15"/>
  <c r="H49" i="18"/>
  <c r="C49" i="18"/>
  <c r="J8" i="18"/>
  <c r="C50" i="18"/>
  <c r="H50" i="18"/>
  <c r="G50" i="18"/>
  <c r="I17" i="18"/>
  <c r="I50" i="18"/>
  <c r="H17" i="18"/>
  <c r="H20" i="18"/>
  <c r="D50" i="18"/>
  <c r="E50" i="18"/>
  <c r="E17" i="18"/>
  <c r="E20" i="18"/>
  <c r="B50" i="18"/>
  <c r="C17" i="18"/>
  <c r="C20" i="18"/>
  <c r="G49"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<sst xmlns="http://schemas.openxmlformats.org/spreadsheetml/2006/main" count="2502" uniqueCount="946">
  <si>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</si>
  <si>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</si>
  <si>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</si>
  <si>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</si>
  <si>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</si>
  <si>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</si>
  <si>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</si>
  <si>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</si>
  <si>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</si>
  <si>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</si>
  <si>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</si>
  <si>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</si>
  <si>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</si>
  <si>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</si>
  <si>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</si>
  <si>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</si>
  <si>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</si>
  <si>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</si>
  <si>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</si>
  <si>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</si>
  <si>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</si>
  <si>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</si>
  <si>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</si>
  <si>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</si>
  <si>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</si>
  <si>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</si>
  <si>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</si>
  <si>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</si>
  <si>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</si>
  <si>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</si>
  <si>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</si>
  <si>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</si>
  <si>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</si>
  <si>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</si>
  <si>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</si>
  <si>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</si>
  <si>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</si>
  <si>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</si>
  <si>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</si>
  <si>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</si>
  <si>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</si>
  <si>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</si>
  <si>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</si>
  <si>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</si>
  <si>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</si>
  <si>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</si>
  <si>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</si>
  <si>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</si>
  <si>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</si>
  <si>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</si>
  <si>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</si>
  <si>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</si>
  <si>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</si>
  <si>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</si>
  <si>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</si>
  <si>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</si>
  <si>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</si>
  <si>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</si>
  <si>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</si>
  <si>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</si>
  <si>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</si>
  <si>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</si>
  <si>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</si>
  <si>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</si>
  <si>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</si>
  <si>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</si>
  <si>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</si>
  <si>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</si>
  <si>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</si>
  <si>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</si>
  <si>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</si>
  <si>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</si>
  <si>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</si>
  <si>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</si>
  <si>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</si>
  <si>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</si>
  <si>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</si>
  <si>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</si>
  <si>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</si>
  <si>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</si>
  <si>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</si>
  <si>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</si>
  <si>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</si>
  <si>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</si>
  <si>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</si>
  <si>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</si>
  <si>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</si>
  <si>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</si>
  <si>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</si>
  <si>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</si>
  <si>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</si>
  <si>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</si>
  <si>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</si>
  <si>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</si>
  <si>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</si>
  <si>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</si>
  <si>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</si>
  <si>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</si>
  <si>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</si>
  <si>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</si>
  <si>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</si>
  <si>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</si>
  <si>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</si>
  <si>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</si>
  <si>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</si>
  <si>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</si>
  <si>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</si>
  <si>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</si>
  <si>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</si>
  <si>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</si>
  <si>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</si>
  <si>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</si>
  <si>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</si>
  <si>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</si>
  <si>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</si>
  <si>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</si>
  <si>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</si>
  <si>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</si>
  <si>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</si>
  <si>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</si>
  <si>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</si>
  <si>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</si>
  <si>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</si>
  <si>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</si>
  <si>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</si>
  <si>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</si>
  <si>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</si>
  <si>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</si>
  <si>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</si>
  <si>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</si>
  <si>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</si>
  <si>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</si>
  <si>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</si>
  <si>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</si>
  <si>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</si>
  <si>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</si>
  <si>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</si>
  <si>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</si>
  <si>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</si>
  <si>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</si>
  <si>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</si>
  <si>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</si>
  <si>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</si>
  <si>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</si>
  <si>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</si>
  <si>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</si>
  <si>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</si>
  <si>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</si>
  <si>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</si>
  <si>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</si>
  <si>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</si>
  <si>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</si>
  <si>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</si>
  <si>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</si>
  <si>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</si>
  <si>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</si>
  <si>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</si>
  <si>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</si>
  <si>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</si>
  <si>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</si>
  <si>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</si>
  <si>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</si>
  <si>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</si>
  <si>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</si>
  <si>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</si>
  <si>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</si>
  <si>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</si>
  <si>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</si>
  <si>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</si>
  <si>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</si>
  <si>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</si>
  <si>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</si>
  <si>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</si>
  <si>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</si>
  <si>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</si>
  <si>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</si>
  <si>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</si>
  <si>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</si>
  <si>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</si>
  <si>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</si>
  <si>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</si>
  <si>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</si>
  <si>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</si>
  <si>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</si>
  <si>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</si>
  <si>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</si>
  <si>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</si>
  <si>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</si>
  <si>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</si>
  <si>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</si>
  <si>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</si>
  <si>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</si>
  <si>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</si>
  <si>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</si>
  <si>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</si>
  <si>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</si>
  <si>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</si>
  <si>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</si>
  <si>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</si>
  <si>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</si>
  <si>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</si>
  <si>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</si>
  <si>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</si>
  <si>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</si>
  <si>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</si>
  <si>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</si>
  <si>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</si>
  <si>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</si>
  <si>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</si>
  <si>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</si>
  <si>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</si>
  <si>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</si>
  <si>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</si>
  <si>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</si>
  <si>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</si>
  <si>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</si>
  <si>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</si>
  <si>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</si>
  <si>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</si>
  <si>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</si>
  <si>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</si>
  <si>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</si>
  <si>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</si>
  <si>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</si>
  <si>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</si>
  <si>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</si>
  <si>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</si>
  <si>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</si>
  <si>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</si>
  <si>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</si>
  <si>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</si>
  <si>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</si>
  <si>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</si>
  <si>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</si>
  <si>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</si>
  <si>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</si>
  <si>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</si>
  <si>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</si>
  <si>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</si>
  <si>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</si>
  <si>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</si>
  <si>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</si>
  <si>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</si>
  <si>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</si>
  <si>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</si>
  <si>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</si>
  <si>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</si>
  <si>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</si>
  <si>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</si>
  <si>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</si>
  <si>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</si>
  <si>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</si>
  <si>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</si>
  <si>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</si>
  <si>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</si>
  <si>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</si>
  <si>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</si>
  <si>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</si>
  <si>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</si>
  <si>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</si>
  <si>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</si>
  <si>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</si>
  <si>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</si>
  <si>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</si>
  <si>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</si>
  <si>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</si>
  <si>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</si>
  <si>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</si>
  <si>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</si>
  <si>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</si>
  <si>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</si>
  <si>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</si>
  <si>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</si>
  <si>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</si>
  <si>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</si>
  <si>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</si>
  <si>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</si>
  <si>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</si>
  <si>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</si>
  <si>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</si>
  <si>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</si>
  <si>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</si>
  <si>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</si>
  <si>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</si>
  <si>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</si>
  <si>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</si>
  <si>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</si>
  <si>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</si>
  <si>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</si>
  <si>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</si>
  <si>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</si>
  <si>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</si>
  <si>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</si>
  <si>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</si>
  <si>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</si>
  <si>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</si>
  <si>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</si>
  <si>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</si>
  <si>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</si>
  <si>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</si>
  <si>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</si>
  <si>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</si>
  <si>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</si>
  <si>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</si>
  <si>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</si>
  <si>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</si>
  <si>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</si>
  <si>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</si>
  <si>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</si>
  <si>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</si>
  <si>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</si>
  <si>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</si>
  <si>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</si>
  <si>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</si>
  <si>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</si>
  <si>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</si>
  <si>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</si>
  <si>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</si>
  <si>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</si>
  <si>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</si>
  <si>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</si>
  <si>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</si>
  <si>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</si>
  <si>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</si>
  <si>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</si>
  <si>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</si>
  <si>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</si>
  <si>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</si>
  <si>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</si>
  <si>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</si>
  <si>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</si>
  <si>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</si>
  <si>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</si>
  <si>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</si>
  <si>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</si>
  <si>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</si>
  <si>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</si>
  <si>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</si>
  <si>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</si>
  <si>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</si>
  <si>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</si>
  <si>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</si>
  <si>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</si>
  <si>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</si>
  <si>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</si>
  <si>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</si>
  <si>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</si>
  <si>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</si>
  <si>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</si>
  <si>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</si>
  <si>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</si>
  <si>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</si>
  <si>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</si>
  <si>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</si>
  <si>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</si>
  <si>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</si>
  <si>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</si>
  <si>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</si>
  <si>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</si>
  <si>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</si>
  <si>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</si>
  <si>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</si>
  <si>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</si>
  <si>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</si>
  <si>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</si>
  <si>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</si>
  <si>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</si>
  <si>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</si>
  <si>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</si>
  <si>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</si>
  <si>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</si>
  <si>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</si>
  <si>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</si>
  <si>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</si>
  <si>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</si>
  <si>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</si>
  <si>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</si>
  <si>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</si>
  <si>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</si>
  <si>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</si>
  <si>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</si>
  <si>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</si>
  <si>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</si>
  <si>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</si>
  <si>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</si>
  <si>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</si>
  <si>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</si>
  <si>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</si>
  <si>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</si>
  <si>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</si>
  <si>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</si>
  <si>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</si>
  <si>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</si>
  <si>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</si>
  <si>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</si>
  <si>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</si>
  <si>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</si>
  <si>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</si>
  <si>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</si>
  <si>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</si>
  <si>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</si>
  <si>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</si>
  <si>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</si>
  <si>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</si>
  <si>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</si>
  <si>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</si>
  <si>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</si>
  <si>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</si>
  <si>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</si>
  <si>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</si>
  <si>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</si>
  <si>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</si>
  <si>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</si>
  <si>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</si>
  <si>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</si>
  <si>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</si>
  <si>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</si>
  <si>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</si>
  <si>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</si>
  <si>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</si>
  <si>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</si>
  <si>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</si>
  <si>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</si>
  <si>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</si>
  <si>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</si>
  <si>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</si>
  <si>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</si>
  <si>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</si>
  <si>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</si>
  <si>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</si>
  <si>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</si>
  <si>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</si>
  <si>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</si>
  <si>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</si>
  <si>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</si>
  <si>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</si>
  <si>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</si>
  <si>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</si>
  <si>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</si>
  <si>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</si>
  <si>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</si>
  <si>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</si>
  <si>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</si>
  <si>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</si>
  <si>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</si>
  <si>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</si>
  <si>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</si>
  <si>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</si>
  <si>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</si>
  <si>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</si>
  <si>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</si>
  <si>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</si>
  <si>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</si>
  <si>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</si>
  <si>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</si>
  <si>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</si>
  <si>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</si>
  <si>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</si>
  <si>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</si>
  <si>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</si>
  <si>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</si>
  <si>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</si>
  <si>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</si>
  <si>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</si>
  <si>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</si>
  <si>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</si>
  <si>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</si>
  <si>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</si>
  <si>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</si>
  <si>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</si>
  <si>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</si>
  <si>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</si>
  <si>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</si>
  <si>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</si>
  <si>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</si>
  <si>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</si>
  <si>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</si>
  <si>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</si>
  <si>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</si>
  <si>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</si>
  <si>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</si>
  <si>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</si>
  <si>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</si>
  <si>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</si>
  <si>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</si>
  <si>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</si>
  <si>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</si>
  <si>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</si>
  <si>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</si>
  <si>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</si>
  <si>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</si>
  <si>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</si>
  <si>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</si>
  <si>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</si>
  <si>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</si>
  <si>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</si>
  <si>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</si>
  <si>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</si>
  <si>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</si>
  <si>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</si>
  <si>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</si>
  <si>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</si>
  <si>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</si>
  <si>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</si>
  <si>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</si>
  <si>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</si>
  <si>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</si>
  <si>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</si>
  <si>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</si>
  <si>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</si>
  <si>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</si>
  <si>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</si>
  <si>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</si>
  <si>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</si>
  <si>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</si>
  <si>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</si>
  <si>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</si>
  <si>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</si>
  <si>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</si>
  <si>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</si>
  <si>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</si>
  <si>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</si>
  <si>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</si>
  <si>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</si>
  <si>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</si>
  <si>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</si>
  <si>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</si>
  <si>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</si>
  <si>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</si>
  <si>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</si>
  <si>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</si>
  <si>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</si>
  <si>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</si>
  <si>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</si>
  <si>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</si>
  <si>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</si>
  <si>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</si>
  <si>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</si>
  <si>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</si>
  <si>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</si>
  <si>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</si>
  <si>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</si>
  <si>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</si>
  <si>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</si>
  <si>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</si>
  <si>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</si>
  <si>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</si>
  <si>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</si>
  <si>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</si>
  <si>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</si>
  <si>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</si>
  <si>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</si>
  <si>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</si>
  <si>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</si>
  <si>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</si>
  <si>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</si>
  <si>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</si>
  <si>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</si>
  <si>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</si>
  <si>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</si>
  <si>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</si>
  <si>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</si>
  <si>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</si>
  <si>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</si>
  <si>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</si>
  <si>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</si>
  <si>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</si>
  <si>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</si>
  <si>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</si>
  <si>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</si>
  <si>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</si>
  <si>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</si>
  <si>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</si>
  <si>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</si>
  <si>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</si>
  <si>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</si>
  <si>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</si>
  <si>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</si>
  <si>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</si>
  <si>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</si>
  <si>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</si>
  <si>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</si>
  <si>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</si>
  <si>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</si>
  <si>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</si>
  <si>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</si>
  <si>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</si>
  <si>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</si>
  <si>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</si>
  <si>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</si>
  <si>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</si>
  <si>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</si>
  <si>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</si>
  <si>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</si>
  <si>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</si>
  <si>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</si>
  <si>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</si>
  <si>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</si>
  <si>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</si>
  <si>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</si>
  <si>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</si>
  <si>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</si>
  <si>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</si>
  <si>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</si>
  <si>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</si>
  <si>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</si>
  <si>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</si>
  <si>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</si>
  <si>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</si>
  <si>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</si>
  <si>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</si>
  <si>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</si>
  <si>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</si>
  <si>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</si>
  <si>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</si>
  <si>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</si>
  <si>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</si>
  <si>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</si>
  <si>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</si>
  <si>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</si>
  <si>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</si>
  <si>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</si>
  <si>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</si>
  <si>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</si>
  <si>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</si>
  <si>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</si>
  <si>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</si>
  <si>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</si>
  <si>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</si>
  <si>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</si>
  <si>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</si>
  <si>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</si>
  <si>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</si>
  <si>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</si>
  <si>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</si>
  <si>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</si>
  <si>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</si>
  <si>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</si>
  <si>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</si>
  <si>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</si>
  <si>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</si>
  <si>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</si>
  <si>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</si>
  <si>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</si>
  <si>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</si>
  <si>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</si>
  <si>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</si>
  <si>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</si>
  <si>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</si>
  <si>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</si>
  <si>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</si>
  <si>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</si>
  <si>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</si>
  <si>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</si>
  <si>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</si>
  <si>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</si>
  <si>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</si>
  <si>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</si>
  <si>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</si>
  <si>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</si>
  <si>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</si>
  <si>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</si>
  <si>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</si>
  <si>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</si>
  <si>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</si>
  <si>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</si>
  <si>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</si>
  <si>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</si>
  <si>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</si>
  <si>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</si>
  <si>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</si>
  <si>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</si>
  <si>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</si>
  <si>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</si>
  <si>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</si>
  <si>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</si>
  <si>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</si>
  <si>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</si>
  <si>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</si>
  <si>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</si>
  <si>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</si>
  <si>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</si>
  <si>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</si>
  <si>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</si>
  <si>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</si>
  <si>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</si>
  <si>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</si>
  <si>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</si>
  <si>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</si>
  <si>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</si>
  <si>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</si>
  <si>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</si>
  <si>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</si>
  <si>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</si>
  <si>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</si>
  <si>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</si>
  <si>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</si>
  <si>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</si>
  <si>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</si>
  <si>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</si>
  <si>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</si>
  <si>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</si>
  <si>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</si>
  <si>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</si>
  <si>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</si>
  <si>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</si>
  <si>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</si>
  <si>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</si>
  <si>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</si>
  <si>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</si>
  <si>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</si>
  <si>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</si>
  <si>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</si>
  <si>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</si>
  <si>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</si>
  <si>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</si>
  <si>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</si>
  <si>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</si>
  <si>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</si>
  <si>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</si>
  <si>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</si>
  <si>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</si>
  <si>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</si>
  <si>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</si>
  <si>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</si>
  <si>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</si>
  <si>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</si>
  <si>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</si>
  <si>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</si>
  <si>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</si>
  <si>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</si>
  <si>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</si>
  <si>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</si>
  <si>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</si>
  <si>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</si>
  <si>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</si>
  <si>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</si>
  <si>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</si>
  <si>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</si>
  <si>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</si>
  <si>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</si>
  <si>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</si>
  <si>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</si>
  <si>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</si>
  <si>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</si>
  <si>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</si>
  <si>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</si>
  <si>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</si>
  <si>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</si>
  <si>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</si>
  <si>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</si>
  <si>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</si>
  <si>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</si>
  <si>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</si>
  <si>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</si>
  <si>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</si>
  <si>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</si>
  <si>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</si>
  <si>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</si>
  <si>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</si>
  <si>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</si>
  <si>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</si>
  <si>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</si>
  <si>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</si>
  <si>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</si>
  <si>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</si>
  <si>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</si>
  <si>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</si>
  <si>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</si>
  <si>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</si>
  <si>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</si>
  <si>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</si>
  <si>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</si>
  <si>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</si>
  <si>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</si>
  <si>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</si>
  <si>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</si>
  <si>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</si>
  <si>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</si>
  <si>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</si>
  <si>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</si>
  <si>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</si>
  <si>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</si>
  <si>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</si>
  <si>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</si>
  <si>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</si>
  <si>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</si>
  <si>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</si>
  <si>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</si>
  <si>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</si>
  <si>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</si>
  <si>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</si>
  <si>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</si>
  <si>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</si>
  <si>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</si>
  <si>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</si>
  <si>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</si>
  <si>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</si>
  <si>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</si>
  <si>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</si>
  <si>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</si>
  <si>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</si>
  <si>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</si>
  <si>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</si>
  <si>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</si>
  <si>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</si>
  <si>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</si>
  <si>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</si>
  <si>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</si>
  <si>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</si>
  <si>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</si>
  <si>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</si>
  <si>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</si>
  <si>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</si>
  <si>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</si>
  <si>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</si>
  <si>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</si>
  <si>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</si>
  <si>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</si>
  <si>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</si>
  <si>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</si>
  <si>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</si>
  <si>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</si>
  <si>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</si>
  <si>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</si>
  <si>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</si>
  <si>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</si>
  <si>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</si>
  <si>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</si>
  <si>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</si>
  <si>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</si>
  <si>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</si>
  <si>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</si>
  <si>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</si>
  <si>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</si>
  <si>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</si>
  <si>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</si>
  <si>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</si>
  <si>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</si>
  <si>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</si>
  <si>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</si>
  <si>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</si>
  <si>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</si>
  <si>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</si>
  <si>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</si>
  <si>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</si>
  <si>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</si>
  <si>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</si>
  <si>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</si>
  <si>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</si>
  <si>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</si>
  <si>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</si>
  <si>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</si>
  <si>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</si>
  <si>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</si>
  <si>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</si>
  <si>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</si>
  <si>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</si>
  <si>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</si>
  <si>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</si>
  <si>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</si>
  <si>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</si>
  <si>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</si>
  <si>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</si>
  <si>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</si>
  <si>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</si>
  <si>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</si>
  <si>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</si>
  <si>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</si>
  <si>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</si>
  <si>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</si>
  <si>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</si>
  <si>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</si>
  <si>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</si>
  <si>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</si>
  <si>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</si>
  <si>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</si>
  <si>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</si>
  <si>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</si>
  <si>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</si>
  <si>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</si>
  <si>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</si>
  <si>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</si>
  <si>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</si>
  <si>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</si>
  <si>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</si>
  <si>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</si>
  <si>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</si>
  <si>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</si>
  <si>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</si>
  <si>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</si>
  <si>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</si>
  <si>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</si>
  <si>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</si>
  <si>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</si>
  <si>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</si>
  <si>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</si>
  <si>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</si>
  <si>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</si>
  <si>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</si>
  <si>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</si>
  <si>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</si>
  <si>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</si>
  <si>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</si>
  <si>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</si>
  <si>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</si>
  <si>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</si>
  <si>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</si>
  <si>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</si>
  <si>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</si>
  <si>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</si>
  <si>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</si>
  <si>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</si>
  <si>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</si>
  <si>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</si>
  <si>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</si>
  <si>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</si>
  <si>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</si>
  <si>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</si>
  <si>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</si>
  <si>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</si>
  <si>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</si>
  <si>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</si>
  <si>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</si>
  <si>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</si>
  <si>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</si>
  <si>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</si>
  <si>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</si>
  <si>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</si>
  <si>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</si>
  <si>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</si>
  <si>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</si>
  <si>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</si>
  <si>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</si>
  <si>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</si>
  <si>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</si>
  <si>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</si>
  <si>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31005</t>
  </si>
  <si>
    <t>BRUGGE</t>
  </si>
  <si>
    <t>Paarden&amp;pony's 200 - 600 kg</t>
  </si>
  <si>
    <t>Paarden&amp;pony's &lt; 200 kg</t>
  </si>
  <si>
    <t>vloeibaar gas (MWh)</t>
  </si>
  <si>
    <t>stirlingmotor</t>
  </si>
  <si>
    <t>IMEWO</t>
  </si>
  <si>
    <t>interne verbrandingsmotor</t>
  </si>
  <si>
    <t>WKK interne verbrandinsgmotor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</si>
</sst>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EC8A38D8-0209-4E70-AB7F-27BEF0F0EA06}"/>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31005</v>
      </c>
      <c r="B6" s="384"/>
      <c r="C6" s="385"/>
    </row>
    <row r="7" spans="1:7" s="382" customFormat="1" ht="15.75" customHeight="1">
      <c r="A7" s="386" t="str">
        <f>txtMunicipality</f>
        <v>BRUGGE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0.19193834724704623</v>
      </c>
      <c r="C17" s="496">
        <f ca="1">'EF ele_warmte'!B22</f>
        <v>0.23355473554735551</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0.19193834724704623</v>
      </c>
      <c r="C29" s="497">
        <f ca="1">'EF ele_warmte'!B22</f>
        <v>0.23355473554735551</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52549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4596</v>
      </c>
      <c r="C14" s="327"/>
      <c r="D14" s="327"/>
      <c r="E14" s="327"/>
      <c r="F14" s="327"/>
    </row>
    <row r="15" spans="1:6">
      <c r="A15" s="1258" t="s">
        <v>177</v>
      </c>
      <c r="B15" s="1259">
        <v>753</v>
      </c>
      <c r="C15" s="327"/>
      <c r="D15" s="327"/>
      <c r="E15" s="327"/>
      <c r="F15" s="327"/>
    </row>
    <row r="16" spans="1:6">
      <c r="A16" s="1258" t="s">
        <v>6</v>
      </c>
      <c r="B16" s="1259">
        <v>1263</v>
      </c>
      <c r="C16" s="327"/>
      <c r="D16" s="327"/>
      <c r="E16" s="327"/>
      <c r="F16" s="327"/>
    </row>
    <row r="17" spans="1:6">
      <c r="A17" s="1258" t="s">
        <v>7</v>
      </c>
      <c r="B17" s="1259">
        <v>1385</v>
      </c>
      <c r="C17" s="327"/>
      <c r="D17" s="327"/>
      <c r="E17" s="327"/>
      <c r="F17" s="327"/>
    </row>
    <row r="18" spans="1:6">
      <c r="A18" s="1258" t="s">
        <v>8</v>
      </c>
      <c r="B18" s="1259">
        <v>1939</v>
      </c>
      <c r="C18" s="327"/>
      <c r="D18" s="327"/>
      <c r="E18" s="327"/>
      <c r="F18" s="327"/>
    </row>
    <row r="19" spans="1:6">
      <c r="A19" s="1258" t="s">
        <v>9</v>
      </c>
      <c r="B19" s="1259">
        <v>1854</v>
      </c>
      <c r="C19" s="327"/>
      <c r="D19" s="327"/>
      <c r="E19" s="327"/>
      <c r="F19" s="327"/>
    </row>
    <row r="20" spans="1:6">
      <c r="A20" s="1258" t="s">
        <v>10</v>
      </c>
      <c r="B20" s="1259">
        <v>1865</v>
      </c>
      <c r="C20" s="327"/>
      <c r="D20" s="327"/>
      <c r="E20" s="327"/>
      <c r="F20" s="327"/>
    </row>
    <row r="21" spans="1:6">
      <c r="A21" s="1258" t="s">
        <v>11</v>
      </c>
      <c r="B21" s="1259">
        <v>3386</v>
      </c>
      <c r="C21" s="327"/>
      <c r="D21" s="327"/>
      <c r="E21" s="327"/>
      <c r="F21" s="327"/>
    </row>
    <row r="22" spans="1:6">
      <c r="A22" s="1258" t="s">
        <v>12</v>
      </c>
      <c r="B22" s="1259">
        <v>17597</v>
      </c>
      <c r="C22" s="327"/>
      <c r="D22" s="327"/>
      <c r="E22" s="327"/>
      <c r="F22" s="327"/>
    </row>
    <row r="23" spans="1:6">
      <c r="A23" s="1258" t="s">
        <v>13</v>
      </c>
      <c r="B23" s="1259">
        <v>245</v>
      </c>
      <c r="C23" s="327"/>
      <c r="D23" s="327"/>
      <c r="E23" s="327"/>
      <c r="F23" s="327"/>
    </row>
    <row r="24" spans="1:6">
      <c r="A24" s="1258" t="s">
        <v>14</v>
      </c>
      <c r="B24" s="1259">
        <v>11</v>
      </c>
      <c r="C24" s="327"/>
      <c r="D24" s="327"/>
      <c r="E24" s="327"/>
      <c r="F24" s="327"/>
    </row>
    <row r="25" spans="1:6">
      <c r="A25" s="1258" t="s">
        <v>15</v>
      </c>
      <c r="B25" s="1259">
        <v>700</v>
      </c>
      <c r="C25" s="327"/>
      <c r="D25" s="327"/>
      <c r="E25" s="327"/>
      <c r="F25" s="327"/>
    </row>
    <row r="26" spans="1:6">
      <c r="A26" s="1258" t="s">
        <v>16</v>
      </c>
      <c r="B26" s="1259">
        <v>780</v>
      </c>
      <c r="C26" s="327"/>
      <c r="D26" s="327"/>
      <c r="E26" s="327"/>
      <c r="F26" s="327"/>
    </row>
    <row r="27" spans="1:6">
      <c r="A27" s="1258" t="s">
        <v>17</v>
      </c>
      <c r="B27" s="1259">
        <v>118</v>
      </c>
      <c r="C27" s="327"/>
      <c r="D27" s="327"/>
      <c r="E27" s="327"/>
      <c r="F27" s="327"/>
    </row>
    <row r="28" spans="1:6">
      <c r="A28" s="1258" t="s">
        <v>18</v>
      </c>
      <c r="B28" s="1260">
        <v>173442</v>
      </c>
      <c r="C28" s="327"/>
      <c r="D28" s="327"/>
      <c r="E28" s="327"/>
      <c r="F28" s="327"/>
    </row>
    <row r="29" spans="1:6">
      <c r="A29" s="1258" t="s">
        <v>939</v>
      </c>
      <c r="B29" s="1260">
        <v>348</v>
      </c>
      <c r="C29" s="327"/>
      <c r="D29" s="327"/>
      <c r="E29" s="327"/>
      <c r="F29" s="327"/>
    </row>
    <row r="30" spans="1:6">
      <c r="A30" s="1253" t="s">
        <v>940</v>
      </c>
      <c r="B30" s="1261">
        <v>76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9</v>
      </c>
      <c r="F35" s="1259">
        <v>751198.231305697</v>
      </c>
    </row>
    <row r="36" spans="1:6">
      <c r="A36" s="1258" t="s">
        <v>24</v>
      </c>
      <c r="B36" s="1258" t="s">
        <v>26</v>
      </c>
      <c r="C36" s="1259">
        <v>9</v>
      </c>
      <c r="D36" s="1259">
        <v>1787398.24363103</v>
      </c>
      <c r="E36" s="1259">
        <v>22</v>
      </c>
      <c r="F36" s="1259">
        <v>793223.49254284101</v>
      </c>
    </row>
    <row r="37" spans="1:6">
      <c r="A37" s="1258" t="s">
        <v>24</v>
      </c>
      <c r="B37" s="1258" t="s">
        <v>27</v>
      </c>
      <c r="C37" s="1259">
        <v>0</v>
      </c>
      <c r="D37" s="1259">
        <v>0</v>
      </c>
      <c r="E37" s="1259">
        <v>0</v>
      </c>
      <c r="F37" s="1259">
        <v>0</v>
      </c>
    </row>
    <row r="38" spans="1:6">
      <c r="A38" s="1258" t="s">
        <v>24</v>
      </c>
      <c r="B38" s="1258" t="s">
        <v>28</v>
      </c>
      <c r="C38" s="1259">
        <v>5</v>
      </c>
      <c r="D38" s="1259">
        <v>1401796.3660901899</v>
      </c>
      <c r="E38" s="1259">
        <v>12</v>
      </c>
      <c r="F38" s="1259">
        <v>288371.05904351699</v>
      </c>
    </row>
    <row r="39" spans="1:6">
      <c r="A39" s="1258" t="s">
        <v>29</v>
      </c>
      <c r="B39" s="1258" t="s">
        <v>30</v>
      </c>
      <c r="C39" s="1259">
        <v>43499</v>
      </c>
      <c r="D39" s="1259">
        <v>723029881.53750098</v>
      </c>
      <c r="E39" s="1259">
        <v>53115</v>
      </c>
      <c r="F39" s="1259">
        <v>192416772.72077101</v>
      </c>
    </row>
    <row r="40" spans="1:6">
      <c r="A40" s="1258" t="s">
        <v>29</v>
      </c>
      <c r="B40" s="1258" t="s">
        <v>28</v>
      </c>
      <c r="C40" s="1259">
        <v>0</v>
      </c>
      <c r="D40" s="1259">
        <v>0</v>
      </c>
      <c r="E40" s="1259">
        <v>1</v>
      </c>
      <c r="F40" s="1259">
        <v>9123.9193107055999</v>
      </c>
    </row>
    <row r="41" spans="1:6">
      <c r="A41" s="1258" t="s">
        <v>31</v>
      </c>
      <c r="B41" s="1258" t="s">
        <v>32</v>
      </c>
      <c r="C41" s="1259">
        <v>391</v>
      </c>
      <c r="D41" s="1259">
        <v>11246005.9583099</v>
      </c>
      <c r="E41" s="1259">
        <v>790</v>
      </c>
      <c r="F41" s="1259">
        <v>13679226.0360552</v>
      </c>
    </row>
    <row r="42" spans="1:6">
      <c r="A42" s="1258" t="s">
        <v>31</v>
      </c>
      <c r="B42" s="1258" t="s">
        <v>33</v>
      </c>
      <c r="C42" s="1259">
        <v>3</v>
      </c>
      <c r="D42" s="1259">
        <v>187734.66317818101</v>
      </c>
      <c r="E42" s="1259">
        <v>4</v>
      </c>
      <c r="F42" s="1259">
        <v>3191501.58014597</v>
      </c>
    </row>
    <row r="43" spans="1:6">
      <c r="A43" s="1258" t="s">
        <v>31</v>
      </c>
      <c r="B43" s="1258" t="s">
        <v>34</v>
      </c>
      <c r="C43" s="1259">
        <v>0</v>
      </c>
      <c r="D43" s="1259">
        <v>0</v>
      </c>
      <c r="E43" s="1259">
        <v>0</v>
      </c>
      <c r="F43" s="1259">
        <v>0</v>
      </c>
    </row>
    <row r="44" spans="1:6">
      <c r="A44" s="1258" t="s">
        <v>31</v>
      </c>
      <c r="B44" s="1258" t="s">
        <v>35</v>
      </c>
      <c r="C44" s="1259">
        <v>23</v>
      </c>
      <c r="D44" s="1259">
        <v>6461730.3413013499</v>
      </c>
      <c r="E44" s="1259">
        <v>93</v>
      </c>
      <c r="F44" s="1259">
        <v>4926770.4063774897</v>
      </c>
    </row>
    <row r="45" spans="1:6">
      <c r="A45" s="1258" t="s">
        <v>31</v>
      </c>
      <c r="B45" s="1258" t="s">
        <v>36</v>
      </c>
      <c r="C45" s="1259">
        <v>3</v>
      </c>
      <c r="D45" s="1259">
        <v>60593.963761166</v>
      </c>
      <c r="E45" s="1259">
        <v>15</v>
      </c>
      <c r="F45" s="1259">
        <v>2636501.83473494</v>
      </c>
    </row>
    <row r="46" spans="1:6">
      <c r="A46" s="1258" t="s">
        <v>31</v>
      </c>
      <c r="B46" s="1258" t="s">
        <v>37</v>
      </c>
      <c r="C46" s="1259">
        <v>0</v>
      </c>
      <c r="D46" s="1259">
        <v>0</v>
      </c>
      <c r="E46" s="1259">
        <v>0</v>
      </c>
      <c r="F46" s="1259">
        <v>0</v>
      </c>
    </row>
    <row r="47" spans="1:6">
      <c r="A47" s="1258" t="s">
        <v>31</v>
      </c>
      <c r="B47" s="1258" t="s">
        <v>38</v>
      </c>
      <c r="C47" s="1259">
        <v>47</v>
      </c>
      <c r="D47" s="1259">
        <v>1962025.7598327999</v>
      </c>
      <c r="E47" s="1259">
        <v>55</v>
      </c>
      <c r="F47" s="1259">
        <v>3880533.9259944898</v>
      </c>
    </row>
    <row r="48" spans="1:6">
      <c r="A48" s="1258" t="s">
        <v>31</v>
      </c>
      <c r="B48" s="1258" t="s">
        <v>28</v>
      </c>
      <c r="C48" s="1259">
        <v>136</v>
      </c>
      <c r="D48" s="1259">
        <v>130885619.90242399</v>
      </c>
      <c r="E48" s="1259">
        <v>151</v>
      </c>
      <c r="F48" s="1259">
        <v>53970829.632370003</v>
      </c>
    </row>
    <row r="49" spans="1:6">
      <c r="A49" s="1258" t="s">
        <v>31</v>
      </c>
      <c r="B49" s="1258" t="s">
        <v>39</v>
      </c>
      <c r="C49" s="1259">
        <v>17</v>
      </c>
      <c r="D49" s="1259">
        <v>320849.72766689101</v>
      </c>
      <c r="E49" s="1259">
        <v>32</v>
      </c>
      <c r="F49" s="1259">
        <v>303391.22759298497</v>
      </c>
    </row>
    <row r="50" spans="1:6">
      <c r="A50" s="1258" t="s">
        <v>31</v>
      </c>
      <c r="B50" s="1258" t="s">
        <v>40</v>
      </c>
      <c r="C50" s="1259">
        <v>106</v>
      </c>
      <c r="D50" s="1259">
        <v>19824809.7773824</v>
      </c>
      <c r="E50" s="1259">
        <v>134</v>
      </c>
      <c r="F50" s="1259">
        <v>21139505.0083481</v>
      </c>
    </row>
    <row r="51" spans="1:6">
      <c r="A51" s="1258" t="s">
        <v>41</v>
      </c>
      <c r="B51" s="1258" t="s">
        <v>42</v>
      </c>
      <c r="C51" s="1259">
        <v>133</v>
      </c>
      <c r="D51" s="1259">
        <v>17613152.635140501</v>
      </c>
      <c r="E51" s="1259">
        <v>329</v>
      </c>
      <c r="F51" s="1259">
        <v>7705694.0197868897</v>
      </c>
    </row>
    <row r="52" spans="1:6">
      <c r="A52" s="1258" t="s">
        <v>41</v>
      </c>
      <c r="B52" s="1258" t="s">
        <v>28</v>
      </c>
      <c r="C52" s="1259">
        <v>15</v>
      </c>
      <c r="D52" s="1259">
        <v>671611.41278443299</v>
      </c>
      <c r="E52" s="1259">
        <v>29</v>
      </c>
      <c r="F52" s="1259">
        <v>978022.16456090997</v>
      </c>
    </row>
    <row r="53" spans="1:6">
      <c r="A53" s="1258" t="s">
        <v>43</v>
      </c>
      <c r="B53" s="1258" t="s">
        <v>44</v>
      </c>
      <c r="C53" s="1259">
        <v>1025</v>
      </c>
      <c r="D53" s="1259">
        <v>33155266.849498499</v>
      </c>
      <c r="E53" s="1259">
        <v>1661</v>
      </c>
      <c r="F53" s="1259">
        <v>9723805.2683180291</v>
      </c>
    </row>
    <row r="54" spans="1:6">
      <c r="A54" s="1258" t="s">
        <v>45</v>
      </c>
      <c r="B54" s="1258" t="s">
        <v>46</v>
      </c>
      <c r="C54" s="1259">
        <v>0</v>
      </c>
      <c r="D54" s="1259">
        <v>0</v>
      </c>
      <c r="E54" s="1259">
        <v>2</v>
      </c>
      <c r="F54" s="1259">
        <v>8400681</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493</v>
      </c>
      <c r="D57" s="1259">
        <v>62898555.2961035</v>
      </c>
      <c r="E57" s="1259">
        <v>700</v>
      </c>
      <c r="F57" s="1259">
        <v>30949470.5627097</v>
      </c>
    </row>
    <row r="58" spans="1:6">
      <c r="A58" s="1258" t="s">
        <v>48</v>
      </c>
      <c r="B58" s="1258" t="s">
        <v>50</v>
      </c>
      <c r="C58" s="1259">
        <v>323</v>
      </c>
      <c r="D58" s="1259">
        <v>44828888.993939802</v>
      </c>
      <c r="E58" s="1259">
        <v>408</v>
      </c>
      <c r="F58" s="1259">
        <v>29104361.403246999</v>
      </c>
    </row>
    <row r="59" spans="1:6">
      <c r="A59" s="1258" t="s">
        <v>48</v>
      </c>
      <c r="B59" s="1258" t="s">
        <v>51</v>
      </c>
      <c r="C59" s="1259">
        <v>1287</v>
      </c>
      <c r="D59" s="1259">
        <v>54897920.253795102</v>
      </c>
      <c r="E59" s="1259">
        <v>2093</v>
      </c>
      <c r="F59" s="1259">
        <v>79132478.036280006</v>
      </c>
    </row>
    <row r="60" spans="1:6">
      <c r="A60" s="1258" t="s">
        <v>48</v>
      </c>
      <c r="B60" s="1258" t="s">
        <v>52</v>
      </c>
      <c r="C60" s="1259">
        <v>928</v>
      </c>
      <c r="D60" s="1259">
        <v>72090729.627941906</v>
      </c>
      <c r="E60" s="1259">
        <v>1110</v>
      </c>
      <c r="F60" s="1259">
        <v>46748728.839010902</v>
      </c>
    </row>
    <row r="61" spans="1:6">
      <c r="A61" s="1258" t="s">
        <v>48</v>
      </c>
      <c r="B61" s="1258" t="s">
        <v>53</v>
      </c>
      <c r="C61" s="1259">
        <v>1689</v>
      </c>
      <c r="D61" s="1259">
        <v>117891785.411302</v>
      </c>
      <c r="E61" s="1259">
        <v>3382</v>
      </c>
      <c r="F61" s="1259">
        <v>108971824.062277</v>
      </c>
    </row>
    <row r="62" spans="1:6">
      <c r="A62" s="1258" t="s">
        <v>48</v>
      </c>
      <c r="B62" s="1258" t="s">
        <v>54</v>
      </c>
      <c r="C62" s="1259">
        <v>120</v>
      </c>
      <c r="D62" s="1259">
        <v>31884403.319839999</v>
      </c>
      <c r="E62" s="1259">
        <v>160</v>
      </c>
      <c r="F62" s="1259">
        <v>9626055.1627887692</v>
      </c>
    </row>
    <row r="63" spans="1:6">
      <c r="A63" s="1258" t="s">
        <v>48</v>
      </c>
      <c r="B63" s="1258" t="s">
        <v>28</v>
      </c>
      <c r="C63" s="1259">
        <v>406</v>
      </c>
      <c r="D63" s="1259">
        <v>44019569.040067598</v>
      </c>
      <c r="E63" s="1259">
        <v>340</v>
      </c>
      <c r="F63" s="1259">
        <v>18832493.944781199</v>
      </c>
    </row>
    <row r="64" spans="1:6">
      <c r="A64" s="1258" t="s">
        <v>55</v>
      </c>
      <c r="B64" s="1258" t="s">
        <v>56</v>
      </c>
      <c r="C64" s="1259">
        <v>0</v>
      </c>
      <c r="D64" s="1259">
        <v>0</v>
      </c>
      <c r="E64" s="1259">
        <v>0</v>
      </c>
      <c r="F64" s="1259">
        <v>0</v>
      </c>
    </row>
    <row r="65" spans="1:6">
      <c r="A65" s="1258" t="s">
        <v>55</v>
      </c>
      <c r="B65" s="1258" t="s">
        <v>28</v>
      </c>
      <c r="C65" s="1259">
        <v>18</v>
      </c>
      <c r="D65" s="1259">
        <v>1775517.44822047</v>
      </c>
      <c r="E65" s="1259">
        <v>15</v>
      </c>
      <c r="F65" s="1259">
        <v>1351659.2061382299</v>
      </c>
    </row>
    <row r="66" spans="1:6">
      <c r="A66" s="1258" t="s">
        <v>55</v>
      </c>
      <c r="B66" s="1258" t="s">
        <v>57</v>
      </c>
      <c r="C66" s="1259">
        <v>4</v>
      </c>
      <c r="D66" s="1259">
        <v>42932.271298065003</v>
      </c>
      <c r="E66" s="1259">
        <v>10</v>
      </c>
      <c r="F66" s="1259">
        <v>77379.683418699002</v>
      </c>
    </row>
    <row r="67" spans="1:6">
      <c r="A67" s="1258" t="s">
        <v>55</v>
      </c>
      <c r="B67" s="1258" t="s">
        <v>58</v>
      </c>
      <c r="C67" s="1259">
        <v>0</v>
      </c>
      <c r="D67" s="1259">
        <v>0</v>
      </c>
      <c r="E67" s="1259">
        <v>0</v>
      </c>
      <c r="F67" s="1259">
        <v>0</v>
      </c>
    </row>
    <row r="68" spans="1:6">
      <c r="A68" s="1253" t="s">
        <v>55</v>
      </c>
      <c r="B68" s="1253" t="s">
        <v>59</v>
      </c>
      <c r="C68" s="1261">
        <v>19</v>
      </c>
      <c r="D68" s="1261">
        <v>1345233.1437113299</v>
      </c>
      <c r="E68" s="1261">
        <v>78</v>
      </c>
      <c r="F68" s="1261">
        <v>2977993.5458733798</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565993470</v>
      </c>
      <c r="E73" s="445"/>
      <c r="F73" s="327"/>
    </row>
    <row r="74" spans="1:6">
      <c r="A74" s="1258" t="s">
        <v>63</v>
      </c>
      <c r="B74" s="1258" t="s">
        <v>724</v>
      </c>
      <c r="C74" s="1271" t="s">
        <v>718</v>
      </c>
      <c r="D74" s="1259">
        <v>56750731.760449097</v>
      </c>
      <c r="E74" s="445"/>
      <c r="F74" s="327"/>
    </row>
    <row r="75" spans="1:6">
      <c r="A75" s="1258" t="s">
        <v>64</v>
      </c>
      <c r="B75" s="1258" t="s">
        <v>723</v>
      </c>
      <c r="C75" s="1271" t="s">
        <v>719</v>
      </c>
      <c r="D75" s="1259">
        <v>148955438</v>
      </c>
      <c r="E75" s="445"/>
      <c r="F75" s="327"/>
    </row>
    <row r="76" spans="1:6">
      <c r="A76" s="1258" t="s">
        <v>64</v>
      </c>
      <c r="B76" s="1258" t="s">
        <v>724</v>
      </c>
      <c r="C76" s="1271" t="s">
        <v>720</v>
      </c>
      <c r="D76" s="1259">
        <v>5975988.7604490984</v>
      </c>
      <c r="E76" s="445"/>
      <c r="F76" s="327"/>
    </row>
    <row r="77" spans="1:6">
      <c r="A77" s="1258" t="s">
        <v>65</v>
      </c>
      <c r="B77" s="1258" t="s">
        <v>723</v>
      </c>
      <c r="C77" s="1271" t="s">
        <v>721</v>
      </c>
      <c r="D77" s="1259">
        <v>84772691</v>
      </c>
      <c r="E77" s="445"/>
      <c r="F77" s="327"/>
    </row>
    <row r="78" spans="1:6">
      <c r="A78" s="1253" t="s">
        <v>65</v>
      </c>
      <c r="B78" s="1253" t="s">
        <v>724</v>
      </c>
      <c r="C78" s="1253" t="s">
        <v>722</v>
      </c>
      <c r="D78" s="1261">
        <v>13452727</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6660526.4791018041</v>
      </c>
      <c r="C83" s="445"/>
      <c r="D83" s="327"/>
      <c r="E83" s="327"/>
      <c r="F83" s="327"/>
    </row>
    <row r="84" spans="1:6">
      <c r="A84" s="1253" t="s">
        <v>324</v>
      </c>
      <c r="B84" s="1261">
        <v>231827.94711172584</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61252.301403525344</v>
      </c>
      <c r="C90" s="327"/>
      <c r="D90" s="327"/>
      <c r="E90" s="327"/>
      <c r="F90" s="327"/>
    </row>
    <row r="91" spans="1:6">
      <c r="A91" s="1258" t="s">
        <v>67</v>
      </c>
      <c r="B91" s="1259">
        <v>10158.129220196062</v>
      </c>
      <c r="C91" s="327"/>
      <c r="D91" s="327"/>
      <c r="E91" s="327"/>
      <c r="F91" s="327"/>
    </row>
    <row r="92" spans="1:6">
      <c r="A92" s="1253" t="s">
        <v>68</v>
      </c>
      <c r="B92" s="1254">
        <v>15047.843150013188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33975</v>
      </c>
      <c r="C97" s="327"/>
      <c r="D97" s="327"/>
      <c r="E97" s="327"/>
      <c r="F97" s="327"/>
    </row>
    <row r="98" spans="1:6">
      <c r="A98" s="1258" t="s">
        <v>71</v>
      </c>
      <c r="B98" s="1259">
        <v>8</v>
      </c>
      <c r="C98" s="327"/>
      <c r="D98" s="327"/>
      <c r="E98" s="327"/>
      <c r="F98" s="327"/>
    </row>
    <row r="99" spans="1:6">
      <c r="A99" s="1258" t="s">
        <v>72</v>
      </c>
      <c r="B99" s="1259">
        <v>191</v>
      </c>
      <c r="C99" s="327"/>
      <c r="D99" s="327"/>
      <c r="E99" s="327"/>
      <c r="F99" s="327"/>
    </row>
    <row r="100" spans="1:6">
      <c r="A100" s="1258" t="s">
        <v>73</v>
      </c>
      <c r="B100" s="1259">
        <v>3941</v>
      </c>
      <c r="C100" s="327"/>
      <c r="D100" s="327"/>
      <c r="E100" s="327"/>
      <c r="F100" s="327"/>
    </row>
    <row r="101" spans="1:6">
      <c r="A101" s="1258" t="s">
        <v>74</v>
      </c>
      <c r="B101" s="1259">
        <v>356</v>
      </c>
      <c r="C101" s="327"/>
      <c r="D101" s="327"/>
      <c r="E101" s="327"/>
      <c r="F101" s="327"/>
    </row>
    <row r="102" spans="1:6">
      <c r="A102" s="1258" t="s">
        <v>75</v>
      </c>
      <c r="B102" s="1259">
        <v>1147</v>
      </c>
      <c r="C102" s="327"/>
      <c r="D102" s="327"/>
      <c r="E102" s="327"/>
      <c r="F102" s="327"/>
    </row>
    <row r="103" spans="1:6">
      <c r="A103" s="1258" t="s">
        <v>76</v>
      </c>
      <c r="B103" s="1259">
        <v>613</v>
      </c>
      <c r="C103" s="327"/>
      <c r="D103" s="327"/>
      <c r="E103" s="327"/>
      <c r="F103" s="327"/>
    </row>
    <row r="104" spans="1:6">
      <c r="A104" s="1258" t="s">
        <v>77</v>
      </c>
      <c r="B104" s="1259">
        <v>8219</v>
      </c>
      <c r="C104" s="327"/>
      <c r="D104" s="327"/>
      <c r="E104" s="327"/>
      <c r="F104" s="327"/>
    </row>
    <row r="105" spans="1:6">
      <c r="A105" s="1253" t="s">
        <v>78</v>
      </c>
      <c r="B105" s="1261">
        <v>33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3</v>
      </c>
      <c r="C110" s="327"/>
      <c r="D110" s="327"/>
      <c r="E110" s="327"/>
      <c r="F110" s="327"/>
    </row>
    <row r="111" spans="1:6">
      <c r="A111" s="1276" t="s">
        <v>663</v>
      </c>
      <c r="B111" s="1277">
        <v>1</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18</v>
      </c>
      <c r="C123" s="1259">
        <v>38</v>
      </c>
      <c r="D123" s="327"/>
      <c r="E123" s="327"/>
      <c r="F123" s="327"/>
    </row>
    <row r="124" spans="1:6">
      <c r="A124" s="1258" t="s">
        <v>88</v>
      </c>
      <c r="B124" s="1259">
        <v>1</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208</v>
      </c>
      <c r="C129" s="327"/>
      <c r="D129" s="327"/>
      <c r="E129" s="327"/>
      <c r="F129" s="327"/>
    </row>
    <row r="130" spans="1:6">
      <c r="A130" s="1258" t="s">
        <v>284</v>
      </c>
      <c r="B130" s="1259">
        <v>7</v>
      </c>
      <c r="C130" s="327"/>
      <c r="D130" s="327"/>
      <c r="E130" s="327"/>
      <c r="F130" s="327"/>
    </row>
    <row r="131" spans="1:6">
      <c r="A131" s="1258" t="s">
        <v>285</v>
      </c>
      <c r="B131" s="1259">
        <v>16</v>
      </c>
      <c r="C131" s="327"/>
      <c r="D131" s="327"/>
      <c r="E131" s="327"/>
      <c r="F131" s="327"/>
    </row>
    <row r="132" spans="1:6">
      <c r="A132" s="1253" t="s">
        <v>286</v>
      </c>
      <c r="B132" s="1254">
        <v>8</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657461.27518637374</v>
      </c>
      <c r="C3" s="44" t="s">
        <v>163</v>
      </c>
      <c r="D3" s="44"/>
      <c r="E3" s="157"/>
      <c r="F3" s="44"/>
      <c r="G3" s="44"/>
      <c r="H3" s="44"/>
      <c r="I3" s="44"/>
      <c r="J3" s="44"/>
      <c r="K3" s="97"/>
    </row>
    <row r="4" spans="1:11">
      <c r="A4" s="352" t="s">
        <v>164</v>
      </c>
      <c r="B4" s="50">
        <f>IF(ISERROR('SEAP template'!B78+'SEAP template'!C78),0,'SEAP template'!B78+'SEAP template'!C78)</f>
        <v>86487.523773734603</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6.8314760147601481</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0.19193834724704623</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13.512809699525569</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57.857142857142861</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0.23355473554735551</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8400.6810000000005</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8400.6810000000005</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0.19193834724704623</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1612.4128268896636</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192425.89664008174</v>
      </c>
      <c r="C5" s="18">
        <f>IF(ISERROR('Eigen informatie GS &amp; warmtenet'!B57),0,'Eigen informatie GS &amp; warmtenet'!B57)</f>
        <v>0</v>
      </c>
      <c r="D5" s="31">
        <f>(SUM(HH_hh_gas_kWh,HH_rest_gas_kWh)/1000)*0.902</f>
        <v>652172.95314682589</v>
      </c>
      <c r="E5" s="18">
        <f>B32*B41</f>
        <v>5824.2923062942509</v>
      </c>
      <c r="F5" s="18">
        <f>B36*B45</f>
        <v>177565.76277516186</v>
      </c>
      <c r="G5" s="19"/>
      <c r="H5" s="18"/>
      <c r="I5" s="18"/>
      <c r="J5" s="18">
        <f>B35*B44+C35*C44</f>
        <v>3221.8688935050191</v>
      </c>
      <c r="K5" s="18"/>
      <c r="L5" s="18"/>
      <c r="M5" s="18"/>
      <c r="N5" s="18">
        <f>B34*B43+C34*C43</f>
        <v>71024.510173382994</v>
      </c>
      <c r="O5" s="18">
        <f>B52*B53*B54</f>
        <v>386.14333333333337</v>
      </c>
      <c r="P5" s="18">
        <f>B60*B61*B62/1000-B60*B61*B62/1000/B63</f>
        <v>514.79999999999995</v>
      </c>
    </row>
    <row r="6" spans="1:16">
      <c r="A6" s="17" t="s">
        <v>597</v>
      </c>
      <c r="B6" s="731">
        <f>kWh_PV_kleiner_dan_10kW</f>
        <v>10158.129220196062</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202584.02586027782</v>
      </c>
      <c r="C8" s="22">
        <f>C5</f>
        <v>0</v>
      </c>
      <c r="D8" s="22">
        <f>D5</f>
        <v>652172.95314682589</v>
      </c>
      <c r="E8" s="22">
        <f>E5</f>
        <v>5824.2923062942509</v>
      </c>
      <c r="F8" s="22">
        <f>F5</f>
        <v>177565.76277516186</v>
      </c>
      <c r="G8" s="22"/>
      <c r="H8" s="22"/>
      <c r="I8" s="22"/>
      <c r="J8" s="22">
        <f>J5</f>
        <v>3221.8688935050191</v>
      </c>
      <c r="K8" s="22"/>
      <c r="L8" s="22">
        <f>L5</f>
        <v>0</v>
      </c>
      <c r="M8" s="22">
        <f>M5</f>
        <v>0</v>
      </c>
      <c r="N8" s="22">
        <f>N5</f>
        <v>71024.510173382994</v>
      </c>
      <c r="O8" s="22">
        <f>O5</f>
        <v>386.14333333333337</v>
      </c>
      <c r="P8" s="22">
        <f>P5</f>
        <v>514.79999999999995</v>
      </c>
    </row>
    <row r="9" spans="1:16">
      <c r="B9" s="20"/>
      <c r="C9" s="20"/>
      <c r="D9" s="258"/>
      <c r="E9" s="20"/>
      <c r="F9" s="20"/>
      <c r="G9" s="20"/>
      <c r="H9" s="20"/>
      <c r="I9" s="20"/>
      <c r="J9" s="20"/>
      <c r="K9" s="20"/>
      <c r="L9" s="20"/>
      <c r="M9" s="20"/>
      <c r="N9" s="20"/>
      <c r="O9" s="20"/>
      <c r="P9" s="20"/>
    </row>
    <row r="10" spans="1:16">
      <c r="A10" s="25" t="s">
        <v>207</v>
      </c>
      <c r="B10" s="26">
        <f ca="1">'EF ele_warmte'!B12</f>
        <v>0.19193834724704623</v>
      </c>
      <c r="C10" s="26">
        <f ca="1">'EF ele_warmte'!B22</f>
        <v>0.23355473554735551</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38883.643102274596</v>
      </c>
      <c r="C12" s="24">
        <f ca="1">C10*C8</f>
        <v>0</v>
      </c>
      <c r="D12" s="24">
        <f>D8*D10</f>
        <v>131738.93653565884</v>
      </c>
      <c r="E12" s="24">
        <f>E10*E8</f>
        <v>1322.1143535287949</v>
      </c>
      <c r="F12" s="24">
        <f>F10*F8</f>
        <v>47410.058660968221</v>
      </c>
      <c r="G12" s="24"/>
      <c r="H12" s="24"/>
      <c r="I12" s="24"/>
      <c r="J12" s="24">
        <f>J10*J8</f>
        <v>1140.5415883007768</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52549</v>
      </c>
      <c r="C26" s="37"/>
      <c r="D26" s="228"/>
    </row>
    <row r="27" spans="1:5" s="16" customFormat="1">
      <c r="A27" s="230" t="s">
        <v>623</v>
      </c>
      <c r="B27" s="38">
        <f>SUM(HH_hh_gas_aantal,HH_rest_gas_aantal)</f>
        <v>43499</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41324.050000000003</v>
      </c>
      <c r="C31" s="35" t="s">
        <v>104</v>
      </c>
      <c r="D31" s="174"/>
    </row>
    <row r="32" spans="1:5">
      <c r="A32" s="171" t="s">
        <v>72</v>
      </c>
      <c r="B32" s="34">
        <f>IF((B21*($B$26-($B$27-0.05*$B$27)-$B$60))&lt;0,0,B21*($B$26-($B$27-0.05*$B$27)-$B$60))</f>
        <v>275.1933229380648</v>
      </c>
      <c r="C32" s="35" t="s">
        <v>104</v>
      </c>
      <c r="D32" s="174"/>
    </row>
    <row r="33" spans="1:6">
      <c r="A33" s="171" t="s">
        <v>73</v>
      </c>
      <c r="B33" s="34">
        <f>IF((B22*($B$26-($B$27-0.05*$B$27)-$B$60))&lt;0,0,B22*($B$26-($B$27-0.05*$B$27)-$B$60))</f>
        <v>1852.373820974153</v>
      </c>
      <c r="C33" s="35" t="s">
        <v>104</v>
      </c>
      <c r="D33" s="174"/>
    </row>
    <row r="34" spans="1:6">
      <c r="A34" s="171" t="s">
        <v>74</v>
      </c>
      <c r="B34" s="34">
        <f>IF((B24*($B$26-($B$27-0.05*$B$27)-$B$60))&lt;0,0,B24*($B$26-($B$27-0.05*$B$27)-$B$60))</f>
        <v>469.80104550135377</v>
      </c>
      <c r="C34" s="34">
        <f>B26*C24</f>
        <v>10746.392816682077</v>
      </c>
      <c r="D34" s="233"/>
    </row>
    <row r="35" spans="1:6">
      <c r="A35" s="171" t="s">
        <v>76</v>
      </c>
      <c r="B35" s="34">
        <f>IF((B19*($B$26-($B$27-0.05*$B$27)-$B$60))&lt;0,0,B19*($B$26-($B$27-0.05*$B$27)-$B$60))</f>
        <v>174.65716144083558</v>
      </c>
      <c r="C35" s="34">
        <f>B35/2</f>
        <v>87.32858072041779</v>
      </c>
      <c r="D35" s="233"/>
    </row>
    <row r="36" spans="1:6">
      <c r="A36" s="171" t="s">
        <v>77</v>
      </c>
      <c r="B36" s="34">
        <f>IF((B18*($B$26-($B$27-0.05*$B$27)-$B$60))&lt;0,0,B18*($B$26-($B$27-0.05*$B$27)-$B$60))</f>
        <v>8425.924649145587</v>
      </c>
      <c r="C36" s="35" t="s">
        <v>104</v>
      </c>
      <c r="D36" s="174"/>
    </row>
    <row r="37" spans="1:6">
      <c r="A37" s="171" t="s">
        <v>78</v>
      </c>
      <c r="B37" s="34">
        <f>B60</f>
        <v>27</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247</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27</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323365.41201109462</v>
      </c>
      <c r="C5" s="18">
        <f>IF(ISERROR('Eigen informatie GS &amp; warmtenet'!B58),0,'Eigen informatie GS &amp; warmtenet'!B58)</f>
        <v>0</v>
      </c>
      <c r="D5" s="31">
        <f>SUM(D6:D12)</f>
        <v>386517.69045257691</v>
      </c>
      <c r="E5" s="18">
        <f>SUM(E6:E12)</f>
        <v>3460.6897290527454</v>
      </c>
      <c r="F5" s="18">
        <f>SUM(F6:F12)</f>
        <v>65131.038893746845</v>
      </c>
      <c r="G5" s="19"/>
      <c r="H5" s="18"/>
      <c r="I5" s="18"/>
      <c r="J5" s="18">
        <f>SUM(J6:J12)</f>
        <v>0</v>
      </c>
      <c r="K5" s="18"/>
      <c r="L5" s="18"/>
      <c r="M5" s="18"/>
      <c r="N5" s="18">
        <f>SUM(N6:N12)</f>
        <v>17239.581319301102</v>
      </c>
      <c r="O5" s="18">
        <f>B38*B39*B40</f>
        <v>10.943333333333335</v>
      </c>
      <c r="P5" s="18">
        <f>B46*B47*B48/1000-B46*B47*B48/1000/B49</f>
        <v>305.06666666666666</v>
      </c>
      <c r="R5" s="33"/>
    </row>
    <row r="6" spans="1:18">
      <c r="A6" s="33" t="s">
        <v>53</v>
      </c>
      <c r="B6" s="38">
        <f>B26</f>
        <v>108971.82406227701</v>
      </c>
      <c r="C6" s="34"/>
      <c r="D6" s="38">
        <f>IF(ISERROR(TER_kantoor_gas_kWh/1000),0,TER_kantoor_gas_kWh/1000)*0.902</f>
        <v>106338.39044099441</v>
      </c>
      <c r="E6" s="34">
        <f>$C$26*'E Balans VL '!I12/100/3.6*1000000</f>
        <v>178.00875151343533</v>
      </c>
      <c r="F6" s="34">
        <f>$C$26*('E Balans VL '!L12+'E Balans VL '!N12)/100/3.6*1000000</f>
        <v>12802.231058198104</v>
      </c>
      <c r="G6" s="35"/>
      <c r="H6" s="34"/>
      <c r="I6" s="34"/>
      <c r="J6" s="34">
        <f>$C$26*('E Balans VL '!D12+'E Balans VL '!E12)/100/3.6*1000000</f>
        <v>0</v>
      </c>
      <c r="K6" s="34"/>
      <c r="L6" s="34"/>
      <c r="M6" s="34"/>
      <c r="N6" s="34">
        <f>$C$26*'E Balans VL '!Y12/100/3.6*1000000</f>
        <v>793.45425512665486</v>
      </c>
      <c r="O6" s="34"/>
      <c r="P6" s="34"/>
      <c r="R6" s="33"/>
    </row>
    <row r="7" spans="1:18">
      <c r="A7" s="33" t="s">
        <v>52</v>
      </c>
      <c r="B7" s="38">
        <f t="shared" ref="B7:B12" si="0">B27</f>
        <v>46748.728839010902</v>
      </c>
      <c r="C7" s="34"/>
      <c r="D7" s="38">
        <f>IF(ISERROR(TER_horeca_gas_kWh/1000),0,TER_horeca_gas_kWh/1000)*0.902</f>
        <v>65025.838124403606</v>
      </c>
      <c r="E7" s="34">
        <f>$C$27*'E Balans VL '!I9/100/3.6*1000000</f>
        <v>2418.6364794402725</v>
      </c>
      <c r="F7" s="34">
        <f>$C$27*('E Balans VL '!L9+'E Balans VL '!N9)/100/3.6*1000000</f>
        <v>10636.060958837536</v>
      </c>
      <c r="G7" s="35"/>
      <c r="H7" s="34"/>
      <c r="I7" s="34"/>
      <c r="J7" s="34">
        <f>$C$27*('E Balans VL '!D9+'E Balans VL '!E9)/100/3.6*1000000</f>
        <v>0</v>
      </c>
      <c r="K7" s="34"/>
      <c r="L7" s="34"/>
      <c r="M7" s="34"/>
      <c r="N7" s="34">
        <f>$C$27*'E Balans VL '!Y9/100/3.6*1000000</f>
        <v>4.9218240661595889</v>
      </c>
      <c r="O7" s="34"/>
      <c r="P7" s="34"/>
      <c r="R7" s="33"/>
    </row>
    <row r="8" spans="1:18">
      <c r="A8" s="6" t="s">
        <v>51</v>
      </c>
      <c r="B8" s="38">
        <f t="shared" si="0"/>
        <v>79132.478036280008</v>
      </c>
      <c r="C8" s="34"/>
      <c r="D8" s="38">
        <f>IF(ISERROR(TER_handel_gas_kWh/1000),0,TER_handel_gas_kWh/1000)*0.902</f>
        <v>49517.924068923181</v>
      </c>
      <c r="E8" s="34">
        <f>$C$28*'E Balans VL '!I13/100/3.6*1000000</f>
        <v>415.66280825574756</v>
      </c>
      <c r="F8" s="34">
        <f>$C$28*('E Balans VL '!L13+'E Balans VL '!N13)/100/3.6*1000000</f>
        <v>14919.122286791013</v>
      </c>
      <c r="G8" s="35"/>
      <c r="H8" s="34"/>
      <c r="I8" s="34"/>
      <c r="J8" s="34">
        <f>$C$28*('E Balans VL '!D13+'E Balans VL '!E13)/100/3.6*1000000</f>
        <v>0</v>
      </c>
      <c r="K8" s="34"/>
      <c r="L8" s="34"/>
      <c r="M8" s="34"/>
      <c r="N8" s="34">
        <f>$C$28*'E Balans VL '!Y13/100/3.6*1000000</f>
        <v>392.30274815490861</v>
      </c>
      <c r="O8" s="34"/>
      <c r="P8" s="34"/>
      <c r="R8" s="33"/>
    </row>
    <row r="9" spans="1:18">
      <c r="A9" s="33" t="s">
        <v>50</v>
      </c>
      <c r="B9" s="38">
        <f t="shared" si="0"/>
        <v>29104.361403247</v>
      </c>
      <c r="C9" s="34"/>
      <c r="D9" s="38">
        <f>IF(ISERROR(TER_gezond_gas_kWh/1000),0,TER_gezond_gas_kWh/1000)*0.902</f>
        <v>40435.657872533702</v>
      </c>
      <c r="E9" s="34">
        <f>$C$29*'E Balans VL '!I10/100/3.6*1000000</f>
        <v>25.837207403359102</v>
      </c>
      <c r="F9" s="34">
        <f>$C$29*('E Balans VL '!L10+'E Balans VL '!N10)/100/3.6*1000000</f>
        <v>9046.0780710990657</v>
      </c>
      <c r="G9" s="35"/>
      <c r="H9" s="34"/>
      <c r="I9" s="34"/>
      <c r="J9" s="34">
        <f>$C$29*('E Balans VL '!D10+'E Balans VL '!E10)/100/3.6*1000000</f>
        <v>0</v>
      </c>
      <c r="K9" s="34"/>
      <c r="L9" s="34"/>
      <c r="M9" s="34"/>
      <c r="N9" s="34">
        <f>$C$29*'E Balans VL '!Y10/100/3.6*1000000</f>
        <v>224.65633011804857</v>
      </c>
      <c r="O9" s="34"/>
      <c r="P9" s="34"/>
      <c r="R9" s="33"/>
    </row>
    <row r="10" spans="1:18">
      <c r="A10" s="33" t="s">
        <v>49</v>
      </c>
      <c r="B10" s="38">
        <f t="shared" si="0"/>
        <v>30949.470562709699</v>
      </c>
      <c r="C10" s="34"/>
      <c r="D10" s="38">
        <f>IF(ISERROR(TER_ander_gas_kWh/1000),0,TER_ander_gas_kWh/1000)*0.902</f>
        <v>56734.496877085359</v>
      </c>
      <c r="E10" s="34">
        <f>$C$30*'E Balans VL '!I14/100/3.6*1000000</f>
        <v>252.43734163979431</v>
      </c>
      <c r="F10" s="34">
        <f>$C$30*('E Balans VL '!L14+'E Balans VL '!N14)/100/3.6*1000000</f>
        <v>9021.1960572055887</v>
      </c>
      <c r="G10" s="35"/>
      <c r="H10" s="34"/>
      <c r="I10" s="34"/>
      <c r="J10" s="34">
        <f>$C$30*('E Balans VL '!D14+'E Balans VL '!E14)/100/3.6*1000000</f>
        <v>0</v>
      </c>
      <c r="K10" s="34"/>
      <c r="L10" s="34"/>
      <c r="M10" s="34"/>
      <c r="N10" s="34">
        <f>$C$30*'E Balans VL '!Y14/100/3.6*1000000</f>
        <v>14699.618900558469</v>
      </c>
      <c r="O10" s="34"/>
      <c r="P10" s="34"/>
      <c r="R10" s="33"/>
    </row>
    <row r="11" spans="1:18">
      <c r="A11" s="33" t="s">
        <v>54</v>
      </c>
      <c r="B11" s="38">
        <f t="shared" si="0"/>
        <v>9626.0551627887689</v>
      </c>
      <c r="C11" s="34"/>
      <c r="D11" s="38">
        <f>IF(ISERROR(TER_onderwijs_gas_kWh/1000),0,TER_onderwijs_gas_kWh/1000)*0.902</f>
        <v>28759.731794495681</v>
      </c>
      <c r="E11" s="34">
        <f>$C$31*'E Balans VL '!I11/100/3.6*1000000</f>
        <v>8.0306938978436389</v>
      </c>
      <c r="F11" s="34">
        <f>$C$31*('E Balans VL '!L11+'E Balans VL '!N11)/100/3.6*1000000</f>
        <v>5037.3278087290619</v>
      </c>
      <c r="G11" s="35"/>
      <c r="H11" s="34"/>
      <c r="I11" s="34"/>
      <c r="J11" s="34">
        <f>$C$31*('E Balans VL '!D11+'E Balans VL '!E11)/100/3.6*1000000</f>
        <v>0</v>
      </c>
      <c r="K11" s="34"/>
      <c r="L11" s="34"/>
      <c r="M11" s="34"/>
      <c r="N11" s="34">
        <f>$C$31*'E Balans VL '!Y11/100/3.6*1000000</f>
        <v>42.381431795710263</v>
      </c>
      <c r="O11" s="34"/>
      <c r="P11" s="34"/>
      <c r="R11" s="33"/>
    </row>
    <row r="12" spans="1:18">
      <c r="A12" s="33" t="s">
        <v>249</v>
      </c>
      <c r="B12" s="38">
        <f t="shared" si="0"/>
        <v>18832.493944781199</v>
      </c>
      <c r="C12" s="34"/>
      <c r="D12" s="38">
        <f>IF(ISERROR(TER_rest_gas_kWh/1000),0,TER_rest_gas_kWh/1000)*0.902</f>
        <v>39705.651274140975</v>
      </c>
      <c r="E12" s="34">
        <f>$C$32*'E Balans VL '!I8/100/3.6*1000000</f>
        <v>162.07644690229228</v>
      </c>
      <c r="F12" s="34">
        <f>$C$32*('E Balans VL '!L8+'E Balans VL '!N8)/100/3.6*1000000</f>
        <v>3669.0226528864778</v>
      </c>
      <c r="G12" s="35"/>
      <c r="H12" s="34"/>
      <c r="I12" s="34"/>
      <c r="J12" s="34">
        <f>$C$32*('E Balans VL '!D8+'E Balans VL '!E8)/100/3.6*1000000</f>
        <v>0</v>
      </c>
      <c r="K12" s="34"/>
      <c r="L12" s="34"/>
      <c r="M12" s="34"/>
      <c r="N12" s="34">
        <f>$C$32*'E Balans VL '!Y8/100/3.6*1000000</f>
        <v>1082.2458294811524</v>
      </c>
      <c r="O12" s="34"/>
      <c r="P12" s="34"/>
      <c r="R12" s="33"/>
    </row>
    <row r="13" spans="1:18">
      <c r="A13" s="17" t="s">
        <v>488</v>
      </c>
      <c r="B13" s="246">
        <f ca="1">'lokale energieproductie'!N39+'lokale energieproductie'!N32</f>
        <v>4.5</v>
      </c>
      <c r="C13" s="246">
        <f ca="1">'lokale energieproductie'!O39+'lokale energieproductie'!O32</f>
        <v>22.5</v>
      </c>
      <c r="D13" s="305">
        <f ca="1">('lokale energieproductie'!P32+'lokale energieproductie'!P39)*(-1)</f>
        <v>-30</v>
      </c>
      <c r="E13" s="247"/>
      <c r="F13" s="305">
        <f ca="1">('lokale energieproductie'!S32+'lokale energieproductie'!S39)*(-1)</f>
        <v>0</v>
      </c>
      <c r="G13" s="248"/>
      <c r="H13" s="247"/>
      <c r="I13" s="247"/>
      <c r="J13" s="247"/>
      <c r="K13" s="247"/>
      <c r="L13" s="305">
        <f ca="1">('lokale energieproductie'!U32+'lokale energieproductie'!T32+'lokale energieproductie'!U39+'lokale energieproductie'!T39)*(-1)</f>
        <v>0</v>
      </c>
      <c r="M13" s="247"/>
      <c r="N13" s="305">
        <f ca="1">('lokale energieproductie'!Q32+'lokale energieproductie'!R32+'lokale energieproductie'!V32+'lokale energieproductie'!Q39+'lokale energieproductie'!R39+'lokale energieproductie'!V39)*(-1)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323369.91201109462</v>
      </c>
      <c r="C16" s="22">
        <f t="shared" ca="1" si="1"/>
        <v>22.5</v>
      </c>
      <c r="D16" s="22">
        <f t="shared" ca="1" si="1"/>
        <v>386487.69045257691</v>
      </c>
      <c r="E16" s="22">
        <f t="shared" si="1"/>
        <v>3460.6897290527454</v>
      </c>
      <c r="F16" s="22">
        <f t="shared" ca="1" si="1"/>
        <v>65131.038893746845</v>
      </c>
      <c r="G16" s="22">
        <f t="shared" si="1"/>
        <v>0</v>
      </c>
      <c r="H16" s="22">
        <f t="shared" si="1"/>
        <v>0</v>
      </c>
      <c r="I16" s="22">
        <f t="shared" si="1"/>
        <v>0</v>
      </c>
      <c r="J16" s="22">
        <f t="shared" si="1"/>
        <v>0</v>
      </c>
      <c r="K16" s="22">
        <f t="shared" si="1"/>
        <v>0</v>
      </c>
      <c r="L16" s="22">
        <f t="shared" ca="1" si="1"/>
        <v>0</v>
      </c>
      <c r="M16" s="22">
        <f t="shared" si="1"/>
        <v>0</v>
      </c>
      <c r="N16" s="22">
        <f t="shared" ca="1" si="1"/>
        <v>17239.581319301102</v>
      </c>
      <c r="O16" s="22">
        <f>O5</f>
        <v>10.943333333333335</v>
      </c>
      <c r="P16" s="22">
        <f>P5</f>
        <v>305.06666666666666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0.19193834724704623</v>
      </c>
      <c r="C18" s="26">
        <f ca="1">'EF ele_warmte'!B22</f>
        <v>0.23355473554735551</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62067.086460832266</v>
      </c>
      <c r="C20" s="24">
        <f t="shared" ref="C20:P20" ca="1" si="2">C16*C18</f>
        <v>5.2549815498154988</v>
      </c>
      <c r="D20" s="24">
        <f t="shared" ca="1" si="2"/>
        <v>78070.513471420534</v>
      </c>
      <c r="E20" s="24">
        <f t="shared" si="2"/>
        <v>785.57656849497323</v>
      </c>
      <c r="F20" s="24">
        <f t="shared" ca="1" si="2"/>
        <v>17389.987384630407</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108971.82406227701</v>
      </c>
      <c r="C26" s="40">
        <f>IF(ISERROR(B26*3.6/1000000/'E Balans VL '!Z12*100),0,B26*3.6/1000000/'E Balans VL '!Z12*100)</f>
        <v>2.30966395181491</v>
      </c>
      <c r="D26" s="236" t="s">
        <v>660</v>
      </c>
      <c r="F26" s="6"/>
    </row>
    <row r="27" spans="1:18">
      <c r="A27" s="231" t="s">
        <v>52</v>
      </c>
      <c r="B27" s="34">
        <f>IF(ISERROR(TER_horeca_ele_kWh/1000),0,TER_horeca_ele_kWh/1000)</f>
        <v>46748.728839010902</v>
      </c>
      <c r="C27" s="40">
        <f>IF(ISERROR(B27*3.6/1000000/'E Balans VL '!Z9*100),0,B27*3.6/1000000/'E Balans VL '!Z9*100)</f>
        <v>3.6684402977586994</v>
      </c>
      <c r="D27" s="236" t="s">
        <v>660</v>
      </c>
      <c r="F27" s="6"/>
    </row>
    <row r="28" spans="1:18">
      <c r="A28" s="171" t="s">
        <v>51</v>
      </c>
      <c r="B28" s="34">
        <f>IF(ISERROR(TER_handel_ele_kWh/1000),0,TER_handel_ele_kWh/1000)</f>
        <v>79132.478036280008</v>
      </c>
      <c r="C28" s="40">
        <f>IF(ISERROR(B28*3.6/1000000/'E Balans VL '!Z13*100),0,B28*3.6/1000000/'E Balans VL '!Z13*100)</f>
        <v>2.2098887868075177</v>
      </c>
      <c r="D28" s="236" t="s">
        <v>660</v>
      </c>
      <c r="F28" s="6"/>
    </row>
    <row r="29" spans="1:18">
      <c r="A29" s="231" t="s">
        <v>50</v>
      </c>
      <c r="B29" s="34">
        <f>IF(ISERROR(TER_gezond_ele_kWh/1000),0,TER_gezond_ele_kWh/1000)</f>
        <v>29104.361403247</v>
      </c>
      <c r="C29" s="40">
        <f>IF(ISERROR(B29*3.6/1000000/'E Balans VL '!Z10*100),0,B29*3.6/1000000/'E Balans VL '!Z10*100)</f>
        <v>3.335340245452477</v>
      </c>
      <c r="D29" s="236" t="s">
        <v>660</v>
      </c>
      <c r="F29" s="6"/>
    </row>
    <row r="30" spans="1:18">
      <c r="A30" s="231" t="s">
        <v>49</v>
      </c>
      <c r="B30" s="34">
        <f>IF(ISERROR(TER_ander_ele_kWh/1000),0,TER_ander_ele_kWh/1000)</f>
        <v>30949.470562709699</v>
      </c>
      <c r="C30" s="40">
        <f>IF(ISERROR(B30*3.6/1000000/'E Balans VL '!Z14*100),0,B30*3.6/1000000/'E Balans VL '!Z14*100)</f>
        <v>2.307810484844993</v>
      </c>
      <c r="D30" s="236" t="s">
        <v>660</v>
      </c>
      <c r="F30" s="6"/>
    </row>
    <row r="31" spans="1:18">
      <c r="A31" s="231" t="s">
        <v>54</v>
      </c>
      <c r="B31" s="34">
        <f>IF(ISERROR(TER_onderwijs_ele_kWh/1000),0,TER_onderwijs_ele_kWh/1000)</f>
        <v>9626.0551627887689</v>
      </c>
      <c r="C31" s="40">
        <f>IF(ISERROR(B31*3.6/1000000/'E Balans VL '!Z11*100),0,B31*3.6/1000000/'E Balans VL '!Z11*100)</f>
        <v>2.7511477958916108</v>
      </c>
      <c r="D31" s="236" t="s">
        <v>660</v>
      </c>
    </row>
    <row r="32" spans="1:18">
      <c r="A32" s="231" t="s">
        <v>249</v>
      </c>
      <c r="B32" s="34">
        <f>IF(ISERROR(TER_rest_ele_kWh/1000),0,TER_rest_ele_kWh/1000)</f>
        <v>18832.493944781199</v>
      </c>
      <c r="C32" s="40">
        <f>IF(ISERROR(B32*3.6/1000000/'E Balans VL '!Z8*100),0,B32*3.6/1000000/'E Balans VL '!Z8*100)</f>
        <v>0.15516803720350281</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7</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16</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103728.25965161918</v>
      </c>
      <c r="C5" s="18">
        <f>IF(ISERROR('Eigen informatie GS &amp; warmtenet'!B59),0,'Eigen informatie GS &amp; warmtenet'!B59)</f>
        <v>0</v>
      </c>
      <c r="D5" s="31">
        <f>SUM(D6:D15)</f>
        <v>154196.33182465873</v>
      </c>
      <c r="E5" s="18">
        <f>SUM(E6:E15)</f>
        <v>1040.4938711599814</v>
      </c>
      <c r="F5" s="18">
        <f>SUM(F6:F15)</f>
        <v>25947.626070192615</v>
      </c>
      <c r="G5" s="19"/>
      <c r="H5" s="18"/>
      <c r="I5" s="18"/>
      <c r="J5" s="18">
        <f>SUM(J6:J15)</f>
        <v>370.98800308646531</v>
      </c>
      <c r="K5" s="18"/>
      <c r="L5" s="18"/>
      <c r="M5" s="18"/>
      <c r="N5" s="18">
        <f>SUM(N6:N15)</f>
        <v>4455.1332014158706</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4926.77040637749</v>
      </c>
      <c r="C8" s="34"/>
      <c r="D8" s="38">
        <f>IF( ISERROR(IND_metaal_Gas_kWH/1000),0,IND_metaal_Gas_kWH/1000)*0.902</f>
        <v>5828.4807678538173</v>
      </c>
      <c r="E8" s="34">
        <f>C30*'E Balans VL '!I18/100/3.6*1000000</f>
        <v>44.867210225985119</v>
      </c>
      <c r="F8" s="34">
        <f>C30*'E Balans VL '!L18/100/3.6*1000000+C30*'E Balans VL '!N18/100/3.6*1000000</f>
        <v>649.80360206411001</v>
      </c>
      <c r="G8" s="35"/>
      <c r="H8" s="34"/>
      <c r="I8" s="34"/>
      <c r="J8" s="41">
        <f>C30*'E Balans VL '!D18/100/3.6*1000000+C30*'E Balans VL '!E18/100/3.6*1000000</f>
        <v>80.79188125154748</v>
      </c>
      <c r="K8" s="34"/>
      <c r="L8" s="34"/>
      <c r="M8" s="34"/>
      <c r="N8" s="34">
        <f>C30*'E Balans VL '!Y18/100/3.6*1000000</f>
        <v>16.931352732195979</v>
      </c>
      <c r="O8" s="34"/>
      <c r="P8" s="34"/>
      <c r="R8" s="33"/>
    </row>
    <row r="9" spans="1:18">
      <c r="A9" s="6" t="s">
        <v>32</v>
      </c>
      <c r="B9" s="38">
        <f t="shared" si="0"/>
        <v>13679.226036055199</v>
      </c>
      <c r="C9" s="34"/>
      <c r="D9" s="38">
        <f>IF( ISERROR(IND_andere_gas_kWh/1000),0,IND_andere_gas_kWh/1000)*0.902</f>
        <v>10143.897374395528</v>
      </c>
      <c r="E9" s="34">
        <f>C31*'E Balans VL '!I19/100/3.6*1000000</f>
        <v>79.067970679648994</v>
      </c>
      <c r="F9" s="34">
        <f>C31*'E Balans VL '!L19/100/3.6*1000000+C31*'E Balans VL '!N19/100/3.6*1000000</f>
        <v>10882.482529992112</v>
      </c>
      <c r="G9" s="35"/>
      <c r="H9" s="34"/>
      <c r="I9" s="34"/>
      <c r="J9" s="41">
        <f>C31*'E Balans VL '!D19/100/3.6*1000000+C31*'E Balans VL '!E19/100/3.6*1000000</f>
        <v>1.2939028384716598</v>
      </c>
      <c r="K9" s="34"/>
      <c r="L9" s="34"/>
      <c r="M9" s="34"/>
      <c r="N9" s="34">
        <f>C31*'E Balans VL '!Y19/100/3.6*1000000</f>
        <v>1036.4083841617339</v>
      </c>
      <c r="O9" s="34"/>
      <c r="P9" s="34"/>
      <c r="R9" s="33"/>
    </row>
    <row r="10" spans="1:18">
      <c r="A10" s="6" t="s">
        <v>40</v>
      </c>
      <c r="B10" s="38">
        <f t="shared" si="0"/>
        <v>21139.5050083481</v>
      </c>
      <c r="C10" s="34"/>
      <c r="D10" s="38">
        <f>IF( ISERROR(IND_voed_gas_kWh/1000),0,IND_voed_gas_kWh/1000)*0.902</f>
        <v>17881.978419198927</v>
      </c>
      <c r="E10" s="34">
        <f>C32*'E Balans VL '!I20/100/3.6*1000000</f>
        <v>207.85663837588172</v>
      </c>
      <c r="F10" s="34">
        <f>C32*'E Balans VL '!L20/100/3.6*1000000+C32*'E Balans VL '!N20/100/3.6*1000000</f>
        <v>2347.8179576185444</v>
      </c>
      <c r="G10" s="35"/>
      <c r="H10" s="34"/>
      <c r="I10" s="34"/>
      <c r="J10" s="41">
        <f>C32*'E Balans VL '!D20/100/3.6*1000000+C32*'E Balans VL '!E20/100/3.6*1000000</f>
        <v>8.3320385995714646E-2</v>
      </c>
      <c r="K10" s="34"/>
      <c r="L10" s="34"/>
      <c r="M10" s="34"/>
      <c r="N10" s="34">
        <f>C32*'E Balans VL '!Y20/100/3.6*1000000</f>
        <v>313.02634381641883</v>
      </c>
      <c r="O10" s="34"/>
      <c r="P10" s="34"/>
      <c r="R10" s="33"/>
    </row>
    <row r="11" spans="1:18">
      <c r="A11" s="6" t="s">
        <v>39</v>
      </c>
      <c r="B11" s="38">
        <f t="shared" si="0"/>
        <v>303.39122759298499</v>
      </c>
      <c r="C11" s="34"/>
      <c r="D11" s="38">
        <f>IF( ISERROR(IND_textiel_gas_kWh/1000),0,IND_textiel_gas_kWh/1000)*0.902</f>
        <v>289.40645435553569</v>
      </c>
      <c r="E11" s="34">
        <f>C33*'E Balans VL '!I21/100/3.6*1000000</f>
        <v>0.59077316964361581</v>
      </c>
      <c r="F11" s="34">
        <f>C33*'E Balans VL '!L21/100/3.6*1000000+C33*'E Balans VL '!N21/100/3.6*1000000</f>
        <v>10.006838265416834</v>
      </c>
      <c r="G11" s="35"/>
      <c r="H11" s="34"/>
      <c r="I11" s="34"/>
      <c r="J11" s="41">
        <f>C33*'E Balans VL '!D21/100/3.6*1000000+C33*'E Balans VL '!E21/100/3.6*1000000</f>
        <v>0</v>
      </c>
      <c r="K11" s="34"/>
      <c r="L11" s="34"/>
      <c r="M11" s="34"/>
      <c r="N11" s="34">
        <f>C33*'E Balans VL '!Y21/100/3.6*1000000</f>
        <v>3.1469650028571881</v>
      </c>
      <c r="O11" s="34"/>
      <c r="P11" s="34"/>
      <c r="R11" s="33"/>
    </row>
    <row r="12" spans="1:18">
      <c r="A12" s="6" t="s">
        <v>36</v>
      </c>
      <c r="B12" s="38">
        <f t="shared" si="0"/>
        <v>2636.5018347349401</v>
      </c>
      <c r="C12" s="34"/>
      <c r="D12" s="38">
        <f>IF( ISERROR(IND_min_gas_kWh/1000),0,IND_min_gas_kWh/1000)*0.902</f>
        <v>54.655755312571735</v>
      </c>
      <c r="E12" s="34">
        <f>C34*'E Balans VL '!I22/100/3.6*1000000</f>
        <v>66.84001315256846</v>
      </c>
      <c r="F12" s="34">
        <f>C34*'E Balans VL '!L22/100/3.6*1000000+C34*'E Balans VL '!N22/100/3.6*1000000</f>
        <v>729.52924743631763</v>
      </c>
      <c r="G12" s="35"/>
      <c r="H12" s="34"/>
      <c r="I12" s="34"/>
      <c r="J12" s="41">
        <f>C34*'E Balans VL '!D22/100/3.6*1000000+C34*'E Balans VL '!E22/100/3.6*1000000</f>
        <v>17.411987924079472</v>
      </c>
      <c r="K12" s="34"/>
      <c r="L12" s="34"/>
      <c r="M12" s="34"/>
      <c r="N12" s="34">
        <f>C34*'E Balans VL '!Y22/100/3.6*1000000</f>
        <v>0</v>
      </c>
      <c r="O12" s="34"/>
      <c r="P12" s="34"/>
      <c r="R12" s="33"/>
    </row>
    <row r="13" spans="1:18">
      <c r="A13" s="6" t="s">
        <v>38</v>
      </c>
      <c r="B13" s="38">
        <f t="shared" si="0"/>
        <v>3880.5339259944899</v>
      </c>
      <c r="C13" s="34"/>
      <c r="D13" s="38">
        <f>IF( ISERROR(IND_papier_gas_kWh/1000),0,IND_papier_gas_kWh/1000)*0.902</f>
        <v>1769.7472353691855</v>
      </c>
      <c r="E13" s="34">
        <f>C35*'E Balans VL '!I23/100/3.6*1000000</f>
        <v>132.1766119298035</v>
      </c>
      <c r="F13" s="34">
        <f>C35*'E Balans VL '!L23/100/3.6*1000000+C35*'E Balans VL '!N23/100/3.6*1000000</f>
        <v>640.9731304034699</v>
      </c>
      <c r="G13" s="35"/>
      <c r="H13" s="34"/>
      <c r="I13" s="34"/>
      <c r="J13" s="41">
        <f>C35*'E Balans VL '!D23/100/3.6*1000000+C35*'E Balans VL '!E23/100/3.6*1000000</f>
        <v>0</v>
      </c>
      <c r="K13" s="34"/>
      <c r="L13" s="34"/>
      <c r="M13" s="34"/>
      <c r="N13" s="34">
        <f>C35*'E Balans VL '!Y23/100/3.6*1000000</f>
        <v>1427.9324169134227</v>
      </c>
      <c r="O13" s="34"/>
      <c r="P13" s="34"/>
      <c r="R13" s="33"/>
    </row>
    <row r="14" spans="1:18">
      <c r="A14" s="6" t="s">
        <v>33</v>
      </c>
      <c r="B14" s="38">
        <f t="shared" si="0"/>
        <v>3191.5015801459699</v>
      </c>
      <c r="C14" s="34"/>
      <c r="D14" s="38">
        <f>IF( ISERROR(IND_chemie_gas_kWh/1000),0,IND_chemie_gas_kWh/1000)*0.902</f>
        <v>169.3366661867193</v>
      </c>
      <c r="E14" s="34">
        <f>C36*'E Balans VL '!I24/100/3.6*1000000</f>
        <v>24.129458463651584</v>
      </c>
      <c r="F14" s="34">
        <f>C36*'E Balans VL '!L24/100/3.6*1000000+C36*'E Balans VL '!N24/100/3.6*1000000</f>
        <v>59.051603140157603</v>
      </c>
      <c r="G14" s="35"/>
      <c r="H14" s="34"/>
      <c r="I14" s="34"/>
      <c r="J14" s="41">
        <f>C36*'E Balans VL '!D24/100/3.6*1000000+C36*'E Balans VL '!E24/100/3.6*1000000</f>
        <v>0</v>
      </c>
      <c r="K14" s="34"/>
      <c r="L14" s="34"/>
      <c r="M14" s="34"/>
      <c r="N14" s="34">
        <f>C36*'E Balans VL '!Y24/100/3.6*1000000</f>
        <v>0.92545316174066916</v>
      </c>
      <c r="O14" s="34"/>
      <c r="P14" s="34"/>
      <c r="R14" s="33"/>
    </row>
    <row r="15" spans="1:18">
      <c r="A15" s="6" t="s">
        <v>259</v>
      </c>
      <c r="B15" s="38">
        <f t="shared" si="0"/>
        <v>53970.829632370005</v>
      </c>
      <c r="C15" s="34"/>
      <c r="D15" s="38">
        <f>IF( ISERROR(IND_rest_gas_kWh/1000),0,IND_rest_gas_kWh/1000)*0.902</f>
        <v>118058.82915198644</v>
      </c>
      <c r="E15" s="34">
        <f>C37*'E Balans VL '!I15/100/3.6*1000000</f>
        <v>484.96519516279841</v>
      </c>
      <c r="F15" s="34">
        <f>C37*'E Balans VL '!L15/100/3.6*1000000+C37*'E Balans VL '!N15/100/3.6*1000000</f>
        <v>10627.961161272484</v>
      </c>
      <c r="G15" s="35"/>
      <c r="H15" s="34"/>
      <c r="I15" s="34"/>
      <c r="J15" s="41">
        <f>C37*'E Balans VL '!D15/100/3.6*1000000+C37*'E Balans VL '!E15/100/3.6*1000000</f>
        <v>271.40691068637096</v>
      </c>
      <c r="K15" s="34"/>
      <c r="L15" s="34"/>
      <c r="M15" s="34"/>
      <c r="N15" s="34">
        <f>C37*'E Balans VL '!Y15/100/3.6*1000000</f>
        <v>1656.7622856275013</v>
      </c>
      <c r="O15" s="34"/>
      <c r="P15" s="34"/>
      <c r="R15" s="33"/>
    </row>
    <row r="16" spans="1:18">
      <c r="A16" s="17" t="s">
        <v>488</v>
      </c>
      <c r="B16" s="246">
        <f>'lokale energieproductie'!N38+'lokale energieproductie'!N31</f>
        <v>0</v>
      </c>
      <c r="C16" s="246">
        <f>'lokale energieproductie'!O38+'lokale energieproductie'!O31</f>
        <v>0</v>
      </c>
      <c r="D16" s="305">
        <f>('lokale energieproductie'!P31+'lokale energieproductie'!P38)*(-1)</f>
        <v>0</v>
      </c>
      <c r="E16" s="247"/>
      <c r="F16" s="305">
        <f>('lokale energieproductie'!S31+'lokale energieproductie'!S38)*(-1)</f>
        <v>0</v>
      </c>
      <c r="G16" s="248"/>
      <c r="H16" s="247"/>
      <c r="I16" s="247"/>
      <c r="J16" s="247"/>
      <c r="K16" s="247"/>
      <c r="L16" s="305">
        <f>('lokale energieproductie'!T31+'lokale energieproductie'!U31+'lokale energieproductie'!T38+'lokale energieproductie'!U38)*(-1)</f>
        <v>0</v>
      </c>
      <c r="M16" s="247"/>
      <c r="N16" s="305">
        <f>('lokale energieproductie'!Q31+'lokale energieproductie'!R31+'lokale energieproductie'!V31+'lokale energieproductie'!Q38+'lokale energieproductie'!R38+'lokale energieproductie'!V38)*(-1)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103728.25965161918</v>
      </c>
      <c r="C18" s="22">
        <f>C5+C16</f>
        <v>0</v>
      </c>
      <c r="D18" s="22">
        <f>MAX((D5+D16),0)</f>
        <v>154196.33182465873</v>
      </c>
      <c r="E18" s="22">
        <f>MAX((E5+E16),0)</f>
        <v>1040.4938711599814</v>
      </c>
      <c r="F18" s="22">
        <f>MAX((F5+F16),0)</f>
        <v>25947.626070192615</v>
      </c>
      <c r="G18" s="22"/>
      <c r="H18" s="22"/>
      <c r="I18" s="22"/>
      <c r="J18" s="22">
        <f>MAX((J5+J16),0)</f>
        <v>370.98800308646531</v>
      </c>
      <c r="K18" s="22"/>
      <c r="L18" s="22">
        <f>MAX((L5+L16),0)</f>
        <v>0</v>
      </c>
      <c r="M18" s="22"/>
      <c r="N18" s="22">
        <f>MAX((N5+N16),0)</f>
        <v>4455.1332014158706</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0.19193834724704623</v>
      </c>
      <c r="C20" s="26">
        <f ca="1">'EF ele_warmte'!B22</f>
        <v>0.23355473554735551</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19909.430720344259</v>
      </c>
      <c r="C22" s="24">
        <f ca="1">C18*C20</f>
        <v>0</v>
      </c>
      <c r="D22" s="24">
        <f>D18*D20</f>
        <v>31147.659028581067</v>
      </c>
      <c r="E22" s="24">
        <f>E18*E20</f>
        <v>236.19210875331578</v>
      </c>
      <c r="F22" s="24">
        <f>F18*F20</f>
        <v>6928.0161607414284</v>
      </c>
      <c r="G22" s="24"/>
      <c r="H22" s="24"/>
      <c r="I22" s="24"/>
      <c r="J22" s="24">
        <f>J18*J20</f>
        <v>131.32975309260871</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4926.77040637749</v>
      </c>
      <c r="C30" s="40">
        <f>IF(ISERROR(B30*3.6/1000000/'E Balans VL '!Z18*100),0,B30*3.6/1000000/'E Balans VL '!Z18*100)</f>
        <v>0.27414182808385967</v>
      </c>
      <c r="D30" s="236" t="s">
        <v>660</v>
      </c>
    </row>
    <row r="31" spans="1:18">
      <c r="A31" s="6" t="s">
        <v>32</v>
      </c>
      <c r="B31" s="38">
        <f>IF( ISERROR(IND_ander_ele_kWh/1000),0,IND_ander_ele_kWh/1000)</f>
        <v>13679.226036055199</v>
      </c>
      <c r="C31" s="40">
        <f>IF(ISERROR(B31*3.6/1000000/'E Balans VL '!Z19*100),0,B31*3.6/1000000/'E Balans VL '!Z19*100)</f>
        <v>0.63591129262771007</v>
      </c>
      <c r="D31" s="236" t="s">
        <v>660</v>
      </c>
    </row>
    <row r="32" spans="1:18">
      <c r="A32" s="171" t="s">
        <v>40</v>
      </c>
      <c r="B32" s="38">
        <f>IF( ISERROR(IND_voed_ele_kWh/1000),0,IND_voed_ele_kWh/1000)</f>
        <v>21139.5050083481</v>
      </c>
      <c r="C32" s="40">
        <f>IF(ISERROR(B32*3.6/1000000/'E Balans VL '!Z20*100),0,B32*3.6/1000000/'E Balans VL '!Z20*100)</f>
        <v>0.74723880900667217</v>
      </c>
      <c r="D32" s="236" t="s">
        <v>660</v>
      </c>
    </row>
    <row r="33" spans="1:5">
      <c r="A33" s="171" t="s">
        <v>39</v>
      </c>
      <c r="B33" s="38">
        <f>IF( ISERROR(IND_textiel_ele_kWh/1000),0,IND_textiel_ele_kWh/1000)</f>
        <v>303.39122759298499</v>
      </c>
      <c r="C33" s="40">
        <f>IF(ISERROR(B33*3.6/1000000/'E Balans VL '!Z21*100),0,B33*3.6/1000000/'E Balans VL '!Z21*100)</f>
        <v>4.0977588925691311E-2</v>
      </c>
      <c r="D33" s="236" t="s">
        <v>660</v>
      </c>
    </row>
    <row r="34" spans="1:5">
      <c r="A34" s="171" t="s">
        <v>36</v>
      </c>
      <c r="B34" s="38">
        <f>IF( ISERROR(IND_min_ele_kWh/1000),0,IND_min_ele_kWh/1000)</f>
        <v>2636.5018347349401</v>
      </c>
      <c r="C34" s="40">
        <f>IF(ISERROR(B34*3.6/1000000/'E Balans VL '!Z22*100),0,B34*3.6/1000000/'E Balans VL '!Z22*100)</f>
        <v>0.52986252194172456</v>
      </c>
      <c r="D34" s="236" t="s">
        <v>660</v>
      </c>
    </row>
    <row r="35" spans="1:5">
      <c r="A35" s="171" t="s">
        <v>38</v>
      </c>
      <c r="B35" s="38">
        <f>IF( ISERROR(IND_papier_ele_kWh/1000),0,IND_papier_ele_kWh/1000)</f>
        <v>3880.5339259944899</v>
      </c>
      <c r="C35" s="40">
        <f>IF(ISERROR(B35*3.6/1000000/'E Balans VL '!Z22*100),0,B35*3.6/1000000/'E Balans VL '!Z22*100)</f>
        <v>0.77987789176508437</v>
      </c>
      <c r="D35" s="236" t="s">
        <v>660</v>
      </c>
    </row>
    <row r="36" spans="1:5">
      <c r="A36" s="171" t="s">
        <v>33</v>
      </c>
      <c r="B36" s="38">
        <f>IF( ISERROR(IND_chemie_ele_kWh/1000),0,IND_chemie_ele_kWh/1000)</f>
        <v>3191.5015801459699</v>
      </c>
      <c r="C36" s="40">
        <f>IF(ISERROR(B36*3.6/1000000/'E Balans VL '!Z24*100),0,B36*3.6/1000000/'E Balans VL '!Z24*100)</f>
        <v>7.859144079113084E-2</v>
      </c>
      <c r="D36" s="236" t="s">
        <v>660</v>
      </c>
    </row>
    <row r="37" spans="1:5">
      <c r="A37" s="171" t="s">
        <v>259</v>
      </c>
      <c r="B37" s="38">
        <f>IF( ISERROR(IND_rest_ele_kWh/1000),0,IND_rest_ele_kWh/1000)</f>
        <v>53970.829632370005</v>
      </c>
      <c r="C37" s="40">
        <f>IF(ISERROR(B37*3.6/1000000/'E Balans VL '!Z15*100),0,B37*3.6/1000000/'E Balans VL '!Z15*100)</f>
        <v>0.40755949069567199</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8683.7161843477988</v>
      </c>
      <c r="C5" s="18">
        <f>'Eigen informatie GS &amp; warmtenet'!B60</f>
        <v>0</v>
      </c>
      <c r="D5" s="31">
        <f>IF(ISERROR(SUM(LB_lb_gas_kWh,LB_rest_gas_kWh)/1000),0,SUM(LB_lb_gas_kWh,LB_rest_gas_kWh)/1000)*0.902</f>
        <v>16492.85717122829</v>
      </c>
      <c r="E5" s="18">
        <f>B17*'E Balans VL '!I25/3.6*1000000/100</f>
        <v>85.753277829777929</v>
      </c>
      <c r="F5" s="18">
        <f>B17*('E Balans VL '!L25/3.6*1000000+'E Balans VL '!N25/3.6*1000000)/100</f>
        <v>28971.174884650522</v>
      </c>
      <c r="G5" s="19"/>
      <c r="H5" s="18"/>
      <c r="I5" s="18"/>
      <c r="J5" s="18">
        <f>('E Balans VL '!D25+'E Balans VL '!E25)/3.6*1000000*landbouw!B17/100</f>
        <v>866.37130571115051</v>
      </c>
      <c r="K5" s="18"/>
      <c r="L5" s="18">
        <f>L6*(-1)</f>
        <v>0</v>
      </c>
      <c r="M5" s="18"/>
      <c r="N5" s="18">
        <f>N6*(-1)</f>
        <v>0</v>
      </c>
      <c r="O5" s="18"/>
      <c r="P5" s="18"/>
      <c r="R5" s="33"/>
    </row>
    <row r="6" spans="1:18">
      <c r="A6" s="17" t="s">
        <v>488</v>
      </c>
      <c r="B6" s="18" t="s">
        <v>204</v>
      </c>
      <c r="C6" s="18">
        <f>'lokale energieproductie'!O40+'lokale energieproductie'!O33</f>
        <v>35.357142857142861</v>
      </c>
      <c r="D6" s="305">
        <f>('lokale energieproductie'!P33+'lokale energieproductie'!P40)*(-1)</f>
        <v>-70.714285714285722</v>
      </c>
      <c r="E6" s="247"/>
      <c r="F6" s="305">
        <f>('lokale energieproductie'!S33+'lokale energieproductie'!S40)*(-1)</f>
        <v>0</v>
      </c>
      <c r="G6" s="248"/>
      <c r="H6" s="247"/>
      <c r="I6" s="247"/>
      <c r="J6" s="247"/>
      <c r="K6" s="247"/>
      <c r="L6" s="305">
        <f>('lokale energieproductie'!T33+'lokale energieproductie'!U33+'lokale energieproductie'!T40+'lokale energieproductie'!U40)*(-1)</f>
        <v>0</v>
      </c>
      <c r="M6" s="247"/>
      <c r="N6" s="305">
        <f>('lokale energieproductie'!V33+'lokale energieproductie'!R33+'lokale energieproductie'!Q33+'lokale energieproductie'!Q40+'lokale energieproductie'!R40+'lokale energieproductie'!V40)*(-1)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8683.7161843477988</v>
      </c>
      <c r="C8" s="22">
        <f>C5+C6</f>
        <v>35.357142857142861</v>
      </c>
      <c r="D8" s="22">
        <f>MAX((D5+D6),0)</f>
        <v>16422.142885514004</v>
      </c>
      <c r="E8" s="22">
        <f>MAX((E5+E6),0)</f>
        <v>85.753277829777929</v>
      </c>
      <c r="F8" s="22">
        <f>MAX((F5+F6),0)</f>
        <v>28971.174884650522</v>
      </c>
      <c r="G8" s="22"/>
      <c r="H8" s="22"/>
      <c r="I8" s="22"/>
      <c r="J8" s="22">
        <f>MAX((J5+J6),0)</f>
        <v>866.37130571115051</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0.19193834724704623</v>
      </c>
      <c r="C10" s="32">
        <f ca="1">'EF ele_warmte'!B22</f>
        <v>0.23355473554735551</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1666.7381323861432</v>
      </c>
      <c r="C12" s="24">
        <f ca="1">C8*C10</f>
        <v>8.2578281497100701</v>
      </c>
      <c r="D12" s="24">
        <f>D8*D10</f>
        <v>3317.2728628738291</v>
      </c>
      <c r="E12" s="24">
        <f>E8*E10</f>
        <v>19.465994067359592</v>
      </c>
      <c r="F12" s="24">
        <f>F8*F10</f>
        <v>7735.3036942016897</v>
      </c>
      <c r="G12" s="24"/>
      <c r="H12" s="24"/>
      <c r="I12" s="24"/>
      <c r="J12" s="24">
        <f>J8*J10</f>
        <v>306.69544222174727</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1.1756364100118459</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528.09663709254858</v>
      </c>
      <c r="C26" s="246">
        <f>B26*'GWP N2O_CH4'!B5</f>
        <v>11090.02937894352</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167.15338135731207</v>
      </c>
      <c r="C27" s="246">
        <f>B27*'GWP N2O_CH4'!B5</f>
        <v>3510.2210085035535</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9.2366656504400151</v>
      </c>
      <c r="C28" s="246">
        <f>B28*'GWP N2O_CH4'!B4</f>
        <v>2863.3663516364045</v>
      </c>
      <c r="D28" s="51"/>
    </row>
    <row r="29" spans="1:4">
      <c r="A29" s="42" t="s">
        <v>266</v>
      </c>
      <c r="B29" s="246">
        <f>B34*'ha_N2O bodem landbouw'!B4</f>
        <v>25.348616869629588</v>
      </c>
      <c r="C29" s="246">
        <f>B29*'GWP N2O_CH4'!B4</f>
        <v>7858.0712295851717</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6.8433285735769499E-3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1.1802836268796774E-4</v>
      </c>
      <c r="C5" s="433" t="s">
        <v>204</v>
      </c>
      <c r="D5" s="418">
        <f>SUM(D6:D11)</f>
        <v>1.4710491818397675E-4</v>
      </c>
      <c r="E5" s="418">
        <f>SUM(E6:E11)</f>
        <v>9.5863115660388964E-3</v>
      </c>
      <c r="F5" s="431" t="s">
        <v>204</v>
      </c>
      <c r="G5" s="418">
        <f>SUM(G6:G11)</f>
        <v>2.2223168193944951</v>
      </c>
      <c r="H5" s="418">
        <f>SUM(H6:H11)</f>
        <v>0.37640841737291247</v>
      </c>
      <c r="I5" s="433" t="s">
        <v>204</v>
      </c>
      <c r="J5" s="433" t="s">
        <v>204</v>
      </c>
      <c r="K5" s="433" t="s">
        <v>204</v>
      </c>
      <c r="L5" s="433" t="s">
        <v>204</v>
      </c>
      <c r="M5" s="418">
        <f>SUM(M6:M11)</f>
        <v>0.11612500046682185</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7.9467351534049472E-5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9.216767099127082E-5</v>
      </c>
      <c r="E6" s="421">
        <f>vkm_GW_PW*SUMIFS(TableVerdeelsleutelVkm[LPG],TableVerdeelsleutelVkm[Voertuigtype],"Lichte voertuigen")*SUMIFS(TableECFTransport[EnergieConsumptieFactor (PJ per km)],TableECFTransport[Index],CONCATENATE($A6,"_LPG_LPG"))</f>
        <v>5.9656746204671488E-3</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0.94061832717943106</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0.23784785082566801</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5.2748224905762586E-2</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3.3218883703682906E-6</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0.54950985135635122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1.7125456711547483E-5</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2.4451504808992518E-2</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2.1836025249939491E-5</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4.1275950580704205E-5</v>
      </c>
      <c r="E8" s="421">
        <f>vkm_NGW_PW*SUMIFS(TableVerdeelsleutelVkm[LPG],TableVerdeelsleutelVkm[Voertuigtype],"Lichte voertuigen")*SUMIFS(TableECFTransport[EnergieConsumptieFactor (PJ per km)],TableECFTransport[Index],CONCATENATE($A8,"_LPG_LPG"))</f>
        <v>2.5248977530724285E-3</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0.37642476821917481</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0.10137990661222444</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2.1393051643910383E-2</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3.4980284745195997E-7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7.4202547160984483E-2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2.1766916674060267E-6</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3.3017797867144817E-3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1.2265843036025195E-5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1.3661296612001725E-5</v>
      </c>
      <c r="E10" s="421">
        <f>vkm_SW_PW*SUMIFS(TableVerdeelsleutelVkm[LPG],TableVerdeelsleutelVkm[Voertuigtype],"Lichte voertuigen")*SUMIFS(TableECFTransport[EnergieConsumptieFactor (PJ per km)],TableECFTransport[Index],CONCATENATE($A10,"_LPG_LPG"))</f>
        <v>1.095739192499318E-3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0.1595437780461611</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3.715717937267058E-2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8.80101508410208E-3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7.8745165013332799E-7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0.12201754743239243</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4.1784139704976871E-6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5.4294242373398053E-3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32.785656302213262</v>
      </c>
      <c r="C14" s="22"/>
      <c r="D14" s="22">
        <f t="shared" ref="D14:M14" si="0">((D5)*10^9/3600)+D12</f>
        <v>40.862477273326874</v>
      </c>
      <c r="E14" s="22">
        <f t="shared" si="0"/>
        <v>2662.8643238996938</v>
      </c>
      <c r="F14" s="22"/>
      <c r="G14" s="22">
        <f t="shared" si="0"/>
        <v>617310.2276095819</v>
      </c>
      <c r="H14" s="22">
        <f t="shared" si="0"/>
        <v>104557.8937146979</v>
      </c>
      <c r="I14" s="22"/>
      <c r="J14" s="22"/>
      <c r="K14" s="22"/>
      <c r="L14" s="22"/>
      <c r="M14" s="22">
        <f t="shared" si="0"/>
        <v>32256.94457411718</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0.19193834724704623</v>
      </c>
      <c r="C16" s="57">
        <f ca="1">'EF ele_warmte'!B22</f>
        <v>0.23355473554735551</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6.2928246840565185</v>
      </c>
      <c r="C18" s="24"/>
      <c r="D18" s="24">
        <f t="shared" ref="D18:M18" si="1">D14*D16</f>
        <v>8.2542204092120297</v>
      </c>
      <c r="E18" s="24">
        <f t="shared" si="1"/>
        <v>604.47020152523055</v>
      </c>
      <c r="F18" s="24"/>
      <c r="G18" s="24">
        <f t="shared" si="1"/>
        <v>164821.83077175837</v>
      </c>
      <c r="H18" s="24">
        <f t="shared" si="1"/>
        <v>26034.915534959779</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3.3771223958905814E-3</v>
      </c>
      <c r="C50" s="316">
        <f t="shared" ref="C50:P50" si="2">SUM(C51:C52)</f>
        <v>0</v>
      </c>
      <c r="D50" s="316">
        <f t="shared" si="2"/>
        <v>0</v>
      </c>
      <c r="E50" s="316">
        <f t="shared" si="2"/>
        <v>0</v>
      </c>
      <c r="F50" s="316">
        <f t="shared" si="2"/>
        <v>0</v>
      </c>
      <c r="G50" s="316">
        <f t="shared" si="2"/>
        <v>8.6806635728049059E-2</v>
      </c>
      <c r="H50" s="316">
        <f t="shared" si="2"/>
        <v>0</v>
      </c>
      <c r="I50" s="316">
        <f t="shared" si="2"/>
        <v>0</v>
      </c>
      <c r="J50" s="316">
        <f t="shared" si="2"/>
        <v>0</v>
      </c>
      <c r="K50" s="316">
        <f t="shared" si="2"/>
        <v>0</v>
      </c>
      <c r="L50" s="316">
        <f t="shared" si="2"/>
        <v>0</v>
      </c>
      <c r="M50" s="316">
        <f t="shared" si="2"/>
        <v>3.8367608463864985E-3</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4.3522574704278041E-4</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8.6806635728049059E-2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3.8367608463864985E-3</v>
      </c>
      <c r="N51" s="318"/>
      <c r="O51" s="318"/>
      <c r="P51" s="321"/>
    </row>
    <row r="52" spans="1:18">
      <c r="A52" s="4" t="s">
        <v>318</v>
      </c>
      <c r="B52" s="322">
        <f>vkm_tram*SUMIFS(TableECFTransport[EnergieConsumptieFactor (PJ per km)],TableECFTransport[Index],"Tram_gemiddeld_Electric_Electric")</f>
        <v>2.9418966488478008E-3</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938.08955441405044</v>
      </c>
      <c r="C54" s="22">
        <f t="shared" ref="C54:P54" si="3">(C50)*10^9/3600</f>
        <v>0</v>
      </c>
      <c r="D54" s="22">
        <f t="shared" si="3"/>
        <v>0</v>
      </c>
      <c r="E54" s="22">
        <f t="shared" si="3"/>
        <v>0</v>
      </c>
      <c r="F54" s="22">
        <f t="shared" si="3"/>
        <v>0</v>
      </c>
      <c r="G54" s="22">
        <f t="shared" si="3"/>
        <v>24112.954368902516</v>
      </c>
      <c r="H54" s="22">
        <f t="shared" si="3"/>
        <v>0</v>
      </c>
      <c r="I54" s="22">
        <f t="shared" si="3"/>
        <v>0</v>
      </c>
      <c r="J54" s="22">
        <f t="shared" si="3"/>
        <v>0</v>
      </c>
      <c r="K54" s="22">
        <f t="shared" si="3"/>
        <v>0</v>
      </c>
      <c r="L54" s="22">
        <f t="shared" si="3"/>
        <v>0</v>
      </c>
      <c r="M54" s="22">
        <f t="shared" si="3"/>
        <v>1065.7669017740272</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0.19193834724704623</v>
      </c>
      <c r="C56" s="57">
        <f ca="1">'EF ele_warmte'!B22</f>
        <v>0.23355473554735551</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180.05535864395088</v>
      </c>
      <c r="C58" s="24">
        <f t="shared" ref="C58:P58" ca="1" si="4">C54*C56</f>
        <v>0</v>
      </c>
      <c r="D58" s="24">
        <f t="shared" si="4"/>
        <v>0</v>
      </c>
      <c r="E58" s="24">
        <f t="shared" si="4"/>
        <v>0</v>
      </c>
      <c r="F58" s="24">
        <f t="shared" si="4"/>
        <v>0</v>
      </c>
      <c r="G58" s="24">
        <f t="shared" si="4"/>
        <v>6438.1588164969717</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topLeftCell="F1" zoomScale="65" zoomScaleNormal="65" workbookViewId="0">
      <selection activeCell="A28" sqref="A28:XFD30"/>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61252.301403525344</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25205.972370209252</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N30</f>
        <v>29.25</v>
      </c>
      <c r="C8" s="544">
        <f>B49</f>
        <v>33.819188191881921</v>
      </c>
      <c r="D8" s="931"/>
      <c r="E8" s="931">
        <f>E49</f>
        <v>0</v>
      </c>
      <c r="F8" s="932"/>
      <c r="G8" s="545"/>
      <c r="H8" s="931">
        <f>I49</f>
        <v>0</v>
      </c>
      <c r="I8" s="931">
        <f>G49+F49</f>
        <v>0</v>
      </c>
      <c r="J8" s="931">
        <f>H49+D49+C49</f>
        <v>0</v>
      </c>
      <c r="K8" s="931"/>
      <c r="L8" s="931"/>
      <c r="M8" s="931"/>
      <c r="N8" s="546"/>
      <c r="O8" s="547">
        <f>C8*$C$12+D8*$D$12+E8*$E$12+F8*$F$12+G8*$G$12+H8*$H$12+I8*$I$12+J8*$J$12</f>
        <v>6.8314760147601481</v>
      </c>
      <c r="P8" s="1206"/>
      <c r="Q8" s="1207"/>
      <c r="S8" s="968"/>
      <c r="T8" s="1227"/>
      <c r="U8" s="1227"/>
    </row>
    <row r="9" spans="1:21" s="532" customFormat="1" ht="17.45" customHeight="1" thickBot="1">
      <c r="A9" s="548" t="s">
        <v>237</v>
      </c>
      <c r="B9" s="933">
        <f>N37+'Eigen informatie GS &amp; warmtenet'!B12</f>
        <v>0</v>
      </c>
      <c r="C9" s="549">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86487.523773734603</v>
      </c>
      <c r="C10" s="556">
        <f t="shared" ref="C10:L10" si="0">SUM(C8:C9)</f>
        <v>33.819188191881921</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6.8314760147601481</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O30</f>
        <v>57.857142857142861</v>
      </c>
      <c r="C17" s="568">
        <f>B50</f>
        <v>66.895097522403802</v>
      </c>
      <c r="D17" s="569"/>
      <c r="E17" s="569">
        <f>E50</f>
        <v>0</v>
      </c>
      <c r="F17" s="570"/>
      <c r="G17" s="571"/>
      <c r="H17" s="568">
        <f>I50</f>
        <v>0</v>
      </c>
      <c r="I17" s="569">
        <f>G50+F50</f>
        <v>0</v>
      </c>
      <c r="J17" s="569">
        <f>H50+D50+C50</f>
        <v>0</v>
      </c>
      <c r="K17" s="569"/>
      <c r="L17" s="569"/>
      <c r="M17" s="569"/>
      <c r="N17" s="938"/>
      <c r="O17" s="572">
        <f>C17*$C$22+E17*$E$22+H17*$H$22+I17*$I$22+J17*$J$22+D17*$D$22+F17*$F$22+G17*$G$22+K17*$K$22+L17*$L$22</f>
        <v>13.512809699525569</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57.857142857142861</v>
      </c>
      <c r="C20" s="555">
        <f>SUM(C17:C19)</f>
        <v>66.895097522403802</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13.512809699525569</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63.75" hidden="1">
      <c r="A28" s="580"/>
      <c r="B28" s="740">
        <v>31005</v>
      </c>
      <c r="C28" s="740">
        <v>8200</v>
      </c>
      <c r="D28" s="628"/>
      <c r="E28" s="627"/>
      <c r="F28" s="627"/>
      <c r="G28" s="627" t="s">
        <v>942</v>
      </c>
      <c r="H28" s="627" t="s">
        <v>942</v>
      </c>
      <c r="I28" s="627"/>
      <c r="J28" s="739"/>
      <c r="K28" s="739"/>
      <c r="L28" s="627" t="s">
        <v>943</v>
      </c>
      <c r="M28" s="627">
        <v>1</v>
      </c>
      <c r="N28" s="627">
        <v>4.5</v>
      </c>
      <c r="O28" s="627">
        <v>22.5</v>
      </c>
      <c r="P28" s="627">
        <v>30</v>
      </c>
      <c r="Q28" s="627">
        <v>0</v>
      </c>
      <c r="R28" s="627">
        <v>0</v>
      </c>
      <c r="S28" s="627">
        <v>0</v>
      </c>
      <c r="T28" s="627">
        <v>0</v>
      </c>
      <c r="U28" s="627">
        <v>0</v>
      </c>
      <c r="V28" s="627">
        <v>0</v>
      </c>
      <c r="W28" s="627"/>
      <c r="X28" s="627"/>
      <c r="Y28" s="627">
        <v>1600</v>
      </c>
      <c r="Z28" s="627" t="s">
        <v>49</v>
      </c>
      <c r="AA28" s="629" t="s">
        <v>149</v>
      </c>
    </row>
    <row r="29" spans="1:27" s="581" customFormat="1" ht="25.5" hidden="1">
      <c r="A29" s="580"/>
      <c r="B29" s="740">
        <v>31005</v>
      </c>
      <c r="C29" s="740">
        <v>8000</v>
      </c>
      <c r="D29" s="628"/>
      <c r="E29" s="627"/>
      <c r="F29" s="627"/>
      <c r="G29" s="627" t="s">
        <v>944</v>
      </c>
      <c r="H29" s="627" t="s">
        <v>945</v>
      </c>
      <c r="I29" s="627"/>
      <c r="J29" s="739"/>
      <c r="K29" s="739"/>
      <c r="L29" s="627" t="s">
        <v>943</v>
      </c>
      <c r="M29" s="627">
        <v>5.5</v>
      </c>
      <c r="N29" s="627">
        <v>24.75</v>
      </c>
      <c r="O29" s="627">
        <v>35.357142857142861</v>
      </c>
      <c r="P29" s="627">
        <v>70.714285714285722</v>
      </c>
      <c r="Q29" s="627">
        <v>0</v>
      </c>
      <c r="R29" s="627">
        <v>0</v>
      </c>
      <c r="S29" s="627">
        <v>0</v>
      </c>
      <c r="T29" s="627">
        <v>0</v>
      </c>
      <c r="U29" s="627">
        <v>0</v>
      </c>
      <c r="V29" s="627">
        <v>0</v>
      </c>
      <c r="W29" s="627"/>
      <c r="X29" s="627"/>
      <c r="Y29" s="627">
        <v>10</v>
      </c>
      <c r="Z29" s="627" t="s">
        <v>105</v>
      </c>
      <c r="AA29" s="629" t="s">
        <v>105</v>
      </c>
    </row>
    <row r="30" spans="1:27" s="563" customFormat="1" hidden="1">
      <c r="A30" s="583" t="s">
        <v>269</v>
      </c>
      <c r="B30" s="584"/>
      <c r="C30" s="584"/>
      <c r="D30" s="584"/>
      <c r="E30" s="584"/>
      <c r="F30" s="584"/>
      <c r="G30" s="584"/>
      <c r="H30" s="584"/>
      <c r="I30" s="584"/>
      <c r="J30" s="584"/>
      <c r="K30" s="584"/>
      <c r="L30" s="585"/>
      <c r="M30" s="585">
        <f>SUM(M28:M29)</f>
        <v>6.5</v>
      </c>
      <c r="N30" s="585">
        <f>SUM(N28:N29)</f>
        <v>29.25</v>
      </c>
      <c r="O30" s="585">
        <f>SUM(O28:O29)</f>
        <v>57.857142857142861</v>
      </c>
      <c r="P30" s="585">
        <f>SUM(P28:P29)</f>
        <v>100.71428571428572</v>
      </c>
      <c r="Q30" s="585">
        <f>SUM(Q28:Q29)</f>
        <v>0</v>
      </c>
      <c r="R30" s="585">
        <f>SUM(R28:R29)</f>
        <v>0</v>
      </c>
      <c r="S30" s="585">
        <f>SUM(S28:S29)</f>
        <v>0</v>
      </c>
      <c r="T30" s="585">
        <f>SUM(T28:T29)</f>
        <v>0</v>
      </c>
      <c r="U30" s="585">
        <f>SUM(U28:U29)</f>
        <v>0</v>
      </c>
      <c r="V30" s="585">
        <f>SUM(V28:V29)</f>
        <v>0</v>
      </c>
      <c r="W30" s="585">
        <f>SUM(W28:W29)</f>
        <v>0</v>
      </c>
      <c r="X30" s="585"/>
      <c r="Y30" s="586"/>
      <c r="Z30" s="586"/>
      <c r="AA30" s="587"/>
    </row>
    <row r="31" spans="1:27" s="563" customFormat="1">
      <c r="A31" s="583" t="s">
        <v>276</v>
      </c>
      <c r="B31" s="584"/>
      <c r="C31" s="584"/>
      <c r="D31" s="584"/>
      <c r="E31" s="584"/>
      <c r="F31" s="584"/>
      <c r="G31" s="584"/>
      <c r="H31" s="584"/>
      <c r="I31" s="584"/>
      <c r="J31" s="584"/>
      <c r="K31" s="584"/>
      <c r="L31" s="585"/>
      <c r="M31" s="585">
        <f>SUMIF($AA$28:$AA$29,"industrie",M28:M29)</f>
        <v>0</v>
      </c>
      <c r="N31" s="585">
        <f>SUMIF($AA$28:$AA$29,"industrie",N28:N29)</f>
        <v>0</v>
      </c>
      <c r="O31" s="585">
        <f>SUMIF($AA$28:$AA$29,"industrie",O28:O29)</f>
        <v>0</v>
      </c>
      <c r="P31" s="585">
        <f>SUMIF($AA$28:$AA$29,"industrie",P28:P29)</f>
        <v>0</v>
      </c>
      <c r="Q31" s="585">
        <f>SUMIF($AA$28:$AA$29,"industrie",Q28:Q29)</f>
        <v>0</v>
      </c>
      <c r="R31" s="585">
        <f>SUMIF($AA$28:$AA$29,"industrie",R28:R29)</f>
        <v>0</v>
      </c>
      <c r="S31" s="585">
        <f>SUMIF($AA$28:$AA$29,"industrie",S28:S29)</f>
        <v>0</v>
      </c>
      <c r="T31" s="585">
        <f>SUMIF($AA$28:$AA$29,"industrie",T28:T29)</f>
        <v>0</v>
      </c>
      <c r="U31" s="585">
        <f>SUMIF($AA$28:$AA$29,"industrie",U28:U29)</f>
        <v>0</v>
      </c>
      <c r="V31" s="585">
        <f>SUMIF($AA$28:$AA$29,"industrie",V28:V29)</f>
        <v>0</v>
      </c>
      <c r="W31" s="585">
        <f>SUMIF($AA$28:$AA$29,"industrie",W28:W29)</f>
        <v>0</v>
      </c>
      <c r="X31" s="585"/>
      <c r="Y31" s="586"/>
      <c r="Z31" s="586"/>
      <c r="AA31" s="587"/>
    </row>
    <row r="32" spans="1:27" s="563" customFormat="1">
      <c r="A32" s="583" t="s">
        <v>277</v>
      </c>
      <c r="B32" s="584"/>
      <c r="C32" s="584"/>
      <c r="D32" s="584"/>
      <c r="E32" s="584"/>
      <c r="F32" s="584"/>
      <c r="G32" s="584"/>
      <c r="H32" s="584"/>
      <c r="I32" s="584"/>
      <c r="J32" s="584"/>
      <c r="K32" s="584"/>
      <c r="L32" s="585"/>
      <c r="M32" s="585">
        <f ca="1">SUMIF($AA$28:AD29,"tertiair",M28:M29)</f>
        <v>1</v>
      </c>
      <c r="N32" s="585">
        <f ca="1">SUMIF($AA$28:AE29,"tertiair",N28:N29)</f>
        <v>4.5</v>
      </c>
      <c r="O32" s="585">
        <f ca="1">SUMIF($AA$28:AF29,"tertiair",O28:O29)</f>
        <v>22.5</v>
      </c>
      <c r="P32" s="585">
        <f ca="1">SUMIF($AA$28:AG29,"tertiair",P28:P29)</f>
        <v>30</v>
      </c>
      <c r="Q32" s="585">
        <f ca="1">SUMIF($AA$28:AH29,"tertiair",Q28:Q29)</f>
        <v>0</v>
      </c>
      <c r="R32" s="585">
        <f ca="1">SUMIF($AA$28:AI29,"tertiair",R28:R29)</f>
        <v>0</v>
      </c>
      <c r="S32" s="585">
        <f ca="1">SUMIF($AA$28:AJ29,"tertiair",S28:S29)</f>
        <v>0</v>
      </c>
      <c r="T32" s="585">
        <f ca="1">SUMIF($AA$28:AK29,"tertiair",T28:T29)</f>
        <v>0</v>
      </c>
      <c r="U32" s="585">
        <f ca="1">SUMIF($AA$28:AL29,"tertiair",U28:U29)</f>
        <v>0</v>
      </c>
      <c r="V32" s="585">
        <f ca="1">SUMIF($AA$28:AM29,"tertiair",V28:V29)</f>
        <v>0</v>
      </c>
      <c r="W32" s="585">
        <f ca="1">SUMIF($AA$28:AN29,"tertiair",W28:W29)</f>
        <v>0</v>
      </c>
      <c r="X32" s="585"/>
      <c r="Y32" s="586"/>
      <c r="Z32" s="586"/>
      <c r="AA32" s="587"/>
    </row>
    <row r="33" spans="1:28" s="563" customFormat="1" ht="15.75" thickBot="1">
      <c r="A33" s="588" t="s">
        <v>278</v>
      </c>
      <c r="B33" s="589"/>
      <c r="C33" s="589"/>
      <c r="D33" s="589"/>
      <c r="E33" s="589"/>
      <c r="F33" s="589"/>
      <c r="G33" s="589"/>
      <c r="H33" s="589"/>
      <c r="I33" s="589"/>
      <c r="J33" s="589"/>
      <c r="K33" s="589"/>
      <c r="L33" s="590"/>
      <c r="M33" s="590">
        <f>SUMIF($AA$28:$AA$29,"landbouw",M28:M29)</f>
        <v>5.5</v>
      </c>
      <c r="N33" s="590">
        <f>SUMIF($AA$28:$AA$29,"landbouw",N28:N29)</f>
        <v>24.75</v>
      </c>
      <c r="O33" s="590">
        <f>SUMIF($AA$28:$AA$29,"landbouw",O28:O29)</f>
        <v>35.357142857142861</v>
      </c>
      <c r="P33" s="590">
        <f>SUMIF($AA$28:$AA$29,"landbouw",P28:P29)</f>
        <v>70.714285714285722</v>
      </c>
      <c r="Q33" s="590">
        <f>SUMIF($AA$28:$AA$29,"landbouw",Q28:Q29)</f>
        <v>0</v>
      </c>
      <c r="R33" s="590">
        <f>SUMIF($AA$28:$AA$29,"landbouw",R28:R29)</f>
        <v>0</v>
      </c>
      <c r="S33" s="590">
        <f>SUMIF($AA$28:$AA$29,"landbouw",S28:S29)</f>
        <v>0</v>
      </c>
      <c r="T33" s="590">
        <f>SUMIF($AA$28:$AA$29,"landbouw",T28:T29)</f>
        <v>0</v>
      </c>
      <c r="U33" s="590">
        <f>SUMIF($AA$28:$AA$29,"landbouw",U28:U29)</f>
        <v>0</v>
      </c>
      <c r="V33" s="590">
        <f>SUMIF($AA$28:$AA$29,"landbouw",V28:V29)</f>
        <v>0</v>
      </c>
      <c r="W33" s="590">
        <f>SUMIF($AA$28:$AA$29,"landbouw",W28:W29)</f>
        <v>0</v>
      </c>
      <c r="X33" s="590"/>
      <c r="Y33" s="591"/>
      <c r="Z33" s="591"/>
      <c r="AA33" s="592"/>
    </row>
    <row r="34" spans="1:28" s="532" customFormat="1" ht="15.75" thickBot="1">
      <c r="A34" s="593"/>
      <c r="B34" s="594"/>
      <c r="C34" s="594"/>
      <c r="D34" s="594"/>
      <c r="E34" s="594"/>
      <c r="F34" s="594"/>
      <c r="G34" s="594"/>
      <c r="H34" s="594"/>
      <c r="I34" s="594"/>
      <c r="J34" s="594"/>
      <c r="K34" s="594"/>
      <c r="L34" s="577"/>
      <c r="M34" s="577"/>
      <c r="N34" s="577"/>
      <c r="O34" s="578"/>
      <c r="P34" s="578"/>
    </row>
    <row r="35" spans="1:28" s="532" customFormat="1" ht="45">
      <c r="A35" s="595" t="s">
        <v>270</v>
      </c>
      <c r="B35" s="624" t="s">
        <v>89</v>
      </c>
      <c r="C35" s="624" t="s">
        <v>90</v>
      </c>
      <c r="D35" s="624"/>
      <c r="E35" s="624"/>
      <c r="F35" s="624"/>
      <c r="G35" s="624" t="s">
        <v>91</v>
      </c>
      <c r="H35" s="624" t="s">
        <v>92</v>
      </c>
      <c r="I35" s="624"/>
      <c r="J35" s="624"/>
      <c r="K35" s="624"/>
      <c r="L35" s="624" t="s">
        <v>93</v>
      </c>
      <c r="M35" s="625" t="s">
        <v>287</v>
      </c>
      <c r="N35" s="625" t="s">
        <v>94</v>
      </c>
      <c r="O35" s="625" t="s">
        <v>95</v>
      </c>
      <c r="P35" s="625" t="s">
        <v>533</v>
      </c>
      <c r="Q35" s="625" t="s">
        <v>96</v>
      </c>
      <c r="R35" s="625" t="s">
        <v>97</v>
      </c>
      <c r="S35" s="625" t="s">
        <v>98</v>
      </c>
      <c r="T35" s="625" t="s">
        <v>99</v>
      </c>
      <c r="U35" s="625" t="s">
        <v>100</v>
      </c>
      <c r="V35" s="625" t="s">
        <v>101</v>
      </c>
      <c r="W35" s="624" t="s">
        <v>102</v>
      </c>
      <c r="X35" s="624" t="s">
        <v>941</v>
      </c>
      <c r="Y35" s="624" t="s">
        <v>288</v>
      </c>
      <c r="Z35" s="624" t="s">
        <v>103</v>
      </c>
      <c r="AA35" s="626" t="s">
        <v>289</v>
      </c>
    </row>
    <row r="36" spans="1:28" s="596" customFormat="1" ht="12.75" hidden="1">
      <c r="A36" s="582"/>
      <c r="B36" s="740"/>
      <c r="C36" s="740"/>
      <c r="D36" s="630"/>
      <c r="E36" s="630"/>
      <c r="F36" s="630"/>
      <c r="G36" s="630"/>
      <c r="H36" s="630"/>
      <c r="I36" s="630"/>
      <c r="J36" s="739"/>
      <c r="K36" s="739"/>
      <c r="L36" s="630"/>
      <c r="M36" s="630"/>
      <c r="N36" s="630"/>
      <c r="O36" s="630"/>
      <c r="P36" s="630"/>
      <c r="Q36" s="630"/>
      <c r="R36" s="630"/>
      <c r="S36" s="630"/>
      <c r="T36" s="630"/>
      <c r="U36" s="630"/>
      <c r="V36" s="630"/>
      <c r="W36" s="630"/>
      <c r="X36" s="630"/>
      <c r="Y36" s="630"/>
      <c r="Z36" s="630"/>
      <c r="AA36" s="631"/>
    </row>
    <row r="37" spans="1:28" s="563" customFormat="1" hidden="1">
      <c r="A37" s="583" t="s">
        <v>269</v>
      </c>
      <c r="B37" s="584"/>
      <c r="C37" s="584"/>
      <c r="D37" s="584"/>
      <c r="E37" s="584"/>
      <c r="F37" s="584"/>
      <c r="G37" s="584"/>
      <c r="H37" s="584"/>
      <c r="I37" s="584"/>
      <c r="J37" s="584"/>
      <c r="K37" s="584"/>
      <c r="L37" s="585"/>
      <c r="M37" s="585">
        <f>SUM(M36:M36)</f>
        <v>0</v>
      </c>
      <c r="N37" s="585">
        <f>SUM(N36:N36)</f>
        <v>0</v>
      </c>
      <c r="O37" s="585">
        <f>SUM(O36:O36)</f>
        <v>0</v>
      </c>
      <c r="P37" s="585">
        <f>SUM(P36:P36)</f>
        <v>0</v>
      </c>
      <c r="Q37" s="585">
        <f>SUM(Q36:Q36)</f>
        <v>0</v>
      </c>
      <c r="R37" s="585">
        <f>SUM(R36:R36)</f>
        <v>0</v>
      </c>
      <c r="S37" s="585">
        <f>SUM(S36:S36)</f>
        <v>0</v>
      </c>
      <c r="T37" s="585">
        <f>SUM(T36:T36)</f>
        <v>0</v>
      </c>
      <c r="U37" s="585">
        <f>SUM(U36:U36)</f>
        <v>0</v>
      </c>
      <c r="V37" s="585">
        <f>SUM(V36:V36)</f>
        <v>0</v>
      </c>
      <c r="W37" s="585">
        <f>SUM(W36:W36)</f>
        <v>0</v>
      </c>
      <c r="X37" s="585"/>
      <c r="Y37" s="586"/>
      <c r="Z37" s="586"/>
      <c r="AA37" s="587"/>
    </row>
    <row r="38" spans="1:28" s="563" customFormat="1">
      <c r="A38" s="583" t="s">
        <v>276</v>
      </c>
      <c r="B38" s="584"/>
      <c r="C38" s="584"/>
      <c r="D38" s="584"/>
      <c r="E38" s="584"/>
      <c r="F38" s="584"/>
      <c r="G38" s="584"/>
      <c r="H38" s="584"/>
      <c r="I38" s="584"/>
      <c r="J38" s="584"/>
      <c r="K38" s="584"/>
      <c r="L38" s="585"/>
      <c r="M38" s="585">
        <f>SUMIF($AA$36:$AA$36,"industrie",M36:M36)</f>
        <v>0</v>
      </c>
      <c r="N38" s="585">
        <f>SUMIF($AA$36:$AA$36,"industrie",N36:N36)</f>
        <v>0</v>
      </c>
      <c r="O38" s="585">
        <f>SUMIF($AA$36:$AA$36,"industrie",O36:O36)</f>
        <v>0</v>
      </c>
      <c r="P38" s="585">
        <f>SUMIF($AA$36:$AA$36,"industrie",P36:P36)</f>
        <v>0</v>
      </c>
      <c r="Q38" s="585">
        <f>SUMIF($AA$36:$AA$36,"industrie",Q36:Q36)</f>
        <v>0</v>
      </c>
      <c r="R38" s="585">
        <f>SUMIF($AA$36:$AA$36,"industrie",R36:R36)</f>
        <v>0</v>
      </c>
      <c r="S38" s="585">
        <f>SUMIF($AA$36:$AA$36,"industrie",S36:S36)</f>
        <v>0</v>
      </c>
      <c r="T38" s="585">
        <f>SUMIF($AA$36:$AA$36,"industrie",T36:T36)</f>
        <v>0</v>
      </c>
      <c r="U38" s="585">
        <f>SUMIF($AA$36:$AA$36,"industrie",U36:U36)</f>
        <v>0</v>
      </c>
      <c r="V38" s="585">
        <f>SUMIF($AA$36:$AA$36,"industrie",V36:V36)</f>
        <v>0</v>
      </c>
      <c r="W38" s="585">
        <f>SUMIF($AA$36:$AA$36,"industrie",W36:W36)</f>
        <v>0</v>
      </c>
      <c r="X38" s="585"/>
      <c r="Y38" s="586"/>
      <c r="Z38" s="586"/>
      <c r="AA38" s="587"/>
    </row>
    <row r="39" spans="1:28" s="563" customFormat="1">
      <c r="A39" s="583" t="s">
        <v>277</v>
      </c>
      <c r="B39" s="584"/>
      <c r="C39" s="584"/>
      <c r="D39" s="584"/>
      <c r="E39" s="584"/>
      <c r="F39" s="584"/>
      <c r="G39" s="584"/>
      <c r="H39" s="584"/>
      <c r="I39" s="584"/>
      <c r="J39" s="584"/>
      <c r="K39" s="584"/>
      <c r="L39" s="585"/>
      <c r="M39" s="585">
        <f>SUMIF($AA$36:$AA$37,"tertiair",M36:M37)</f>
        <v>0</v>
      </c>
      <c r="N39" s="585">
        <f>SUMIF($AA$36:$AA$37,"tertiair",N36:N37)</f>
        <v>0</v>
      </c>
      <c r="O39" s="585">
        <f>SUMIF($AA$36:$AA$37,"tertiair",O36:O37)</f>
        <v>0</v>
      </c>
      <c r="P39" s="585">
        <f>SUMIF($AA$36:$AA$37,"tertiair",P36:P37)</f>
        <v>0</v>
      </c>
      <c r="Q39" s="585">
        <f>SUMIF($AA$36:$AA$37,"tertiair",Q36:Q37)</f>
        <v>0</v>
      </c>
      <c r="R39" s="585">
        <f>SUMIF($AA$36:$AA$37,"tertiair",R36:R37)</f>
        <v>0</v>
      </c>
      <c r="S39" s="585">
        <f>SUMIF($AA$36:$AA$37,"tertiair",S36:S37)</f>
        <v>0</v>
      </c>
      <c r="T39" s="585">
        <f>SUMIF($AA$36:$AA$37,"tertiair",T36:T37)</f>
        <v>0</v>
      </c>
      <c r="U39" s="585">
        <f>SUMIF($AA$36:$AA$37,"tertiair",U36:U37)</f>
        <v>0</v>
      </c>
      <c r="V39" s="585">
        <f>SUMIF($AA$36:$AA$37,"tertiair",V36:V37)</f>
        <v>0</v>
      </c>
      <c r="W39" s="585">
        <f>SUMIF($AA$36:$AA$37,"tertiair",W36:W37)</f>
        <v>0</v>
      </c>
      <c r="X39" s="585"/>
      <c r="Y39" s="586"/>
      <c r="Z39" s="586"/>
      <c r="AA39" s="587"/>
    </row>
    <row r="40" spans="1:28" s="563" customFormat="1" ht="15.75" thickBot="1">
      <c r="A40" s="588" t="s">
        <v>278</v>
      </c>
      <c r="B40" s="589"/>
      <c r="C40" s="589"/>
      <c r="D40" s="589"/>
      <c r="E40" s="589"/>
      <c r="F40" s="589"/>
      <c r="G40" s="589"/>
      <c r="H40" s="589"/>
      <c r="I40" s="589"/>
      <c r="J40" s="589"/>
      <c r="K40" s="589"/>
      <c r="L40" s="590"/>
      <c r="M40" s="590">
        <f>SUMIF($AA$36:$AA$38,"landbouw",M36:M38)</f>
        <v>0</v>
      </c>
      <c r="N40" s="590">
        <f>SUMIF($AA$36:$AA$38,"landbouw",N36:N38)</f>
        <v>0</v>
      </c>
      <c r="O40" s="590">
        <f>SUMIF($AA$36:$AA$38,"landbouw",O36:O38)</f>
        <v>0</v>
      </c>
      <c r="P40" s="590">
        <f>SUMIF($AA$36:$AA$38,"landbouw",P36:P38)</f>
        <v>0</v>
      </c>
      <c r="Q40" s="590">
        <f>SUMIF($AA$36:$AA$38,"landbouw",Q36:Q38)</f>
        <v>0</v>
      </c>
      <c r="R40" s="590">
        <f>SUMIF($AA$36:$AA$38,"landbouw",R36:R38)</f>
        <v>0</v>
      </c>
      <c r="S40" s="590">
        <f>SUMIF($AA$36:$AA$38,"landbouw",S36:S38)</f>
        <v>0</v>
      </c>
      <c r="T40" s="590">
        <f>SUMIF($AA$36:$AA$38,"landbouw",T36:T38)</f>
        <v>0</v>
      </c>
      <c r="U40" s="590">
        <f>SUMIF($AA$36:$AA$38,"landbouw",U36:U38)</f>
        <v>0</v>
      </c>
      <c r="V40" s="590">
        <f>SUMIF($AA$36:$AA$38,"landbouw",V36:V38)</f>
        <v>0</v>
      </c>
      <c r="W40" s="590">
        <f>SUMIF($AA$36:$AA$38,"landbouw",W36:W38)</f>
        <v>0</v>
      </c>
      <c r="X40" s="590"/>
      <c r="Y40" s="591"/>
      <c r="Z40" s="591"/>
      <c r="AA40" s="592"/>
    </row>
    <row r="41" spans="1:28" s="597" customForma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row>
    <row r="42" spans="1:28" s="597" customFormat="1" ht="15.75" thickBot="1">
      <c r="A42" s="593"/>
      <c r="B42" s="577"/>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row>
    <row r="43" spans="1:28">
      <c r="A43" s="598" t="s">
        <v>271</v>
      </c>
      <c r="B43" s="599"/>
      <c r="C43" s="599"/>
      <c r="D43" s="599"/>
      <c r="E43" s="599"/>
      <c r="F43" s="599"/>
      <c r="G43" s="599"/>
      <c r="H43" s="599"/>
      <c r="I43" s="600"/>
      <c r="J43" s="601"/>
      <c r="K43" s="601"/>
      <c r="L43" s="602"/>
      <c r="M43" s="602"/>
      <c r="N43" s="602"/>
      <c r="O43" s="602"/>
      <c r="P43" s="602"/>
    </row>
    <row r="44" spans="1:28">
      <c r="A44" s="604"/>
      <c r="B44" s="594"/>
      <c r="C44" s="594"/>
      <c r="D44" s="594"/>
      <c r="E44" s="594"/>
      <c r="F44" s="594"/>
      <c r="G44" s="594"/>
      <c r="H44" s="594"/>
      <c r="I44" s="605"/>
      <c r="J44" s="594"/>
      <c r="K44" s="594"/>
      <c r="L44" s="602"/>
      <c r="M44" s="602"/>
      <c r="N44" s="602"/>
      <c r="O44" s="602"/>
      <c r="P44" s="602"/>
    </row>
    <row r="45" spans="1:28">
      <c r="A45" s="606"/>
      <c r="B45" s="607" t="s">
        <v>272</v>
      </c>
      <c r="C45" s="607" t="s">
        <v>273</v>
      </c>
      <c r="D45" s="607"/>
      <c r="E45" s="607"/>
      <c r="F45" s="607"/>
      <c r="G45" s="607"/>
      <c r="H45" s="607"/>
      <c r="I45" s="608"/>
      <c r="J45" s="607"/>
      <c r="K45" s="607"/>
      <c r="L45" s="607"/>
      <c r="M45" s="607"/>
      <c r="N45" s="607"/>
      <c r="O45" s="607"/>
      <c r="P45" s="602"/>
    </row>
    <row r="46" spans="1:28">
      <c r="A46" s="604" t="s">
        <v>269</v>
      </c>
      <c r="B46" s="609">
        <f>IF(ISERROR(O30/(O30+N30)),0,O30/(O30+N30))</f>
        <v>0.66420664206642066</v>
      </c>
      <c r="C46" s="610">
        <f>IF(ISERROR(N30/(O30+N30)),0,N30/(N30+O30))</f>
        <v>0.33579335793357934</v>
      </c>
      <c r="D46" s="577"/>
      <c r="E46" s="577"/>
      <c r="F46" s="577"/>
      <c r="G46" s="577"/>
      <c r="H46" s="577"/>
      <c r="I46" s="611"/>
      <c r="J46" s="577"/>
      <c r="K46" s="577"/>
      <c r="L46" s="612"/>
      <c r="M46" s="612"/>
      <c r="N46" s="612"/>
      <c r="O46" s="612"/>
      <c r="P46" s="602"/>
    </row>
    <row r="47" spans="1:28">
      <c r="A47" s="604"/>
      <c r="B47" s="613"/>
      <c r="C47" s="613"/>
      <c r="D47" s="613"/>
      <c r="E47" s="613"/>
      <c r="F47" s="613"/>
      <c r="G47" s="613"/>
      <c r="H47" s="613"/>
      <c r="I47" s="614"/>
      <c r="J47" s="613"/>
      <c r="K47" s="613"/>
      <c r="L47" s="615"/>
      <c r="M47" s="615"/>
      <c r="N47" s="615"/>
      <c r="O47" s="615"/>
      <c r="P47" s="602"/>
    </row>
    <row r="48" spans="1:28" ht="30">
      <c r="A48" s="616"/>
      <c r="B48" s="617" t="s">
        <v>533</v>
      </c>
      <c r="C48" s="617" t="s">
        <v>96</v>
      </c>
      <c r="D48" s="617" t="s">
        <v>97</v>
      </c>
      <c r="E48" s="617" t="s">
        <v>98</v>
      </c>
      <c r="F48" s="617" t="s">
        <v>99</v>
      </c>
      <c r="G48" s="617" t="s">
        <v>100</v>
      </c>
      <c r="H48" s="617" t="s">
        <v>101</v>
      </c>
      <c r="I48" s="618" t="s">
        <v>102</v>
      </c>
      <c r="J48" s="607"/>
      <c r="K48" s="607"/>
      <c r="L48" s="615"/>
      <c r="M48" s="615"/>
      <c r="N48" s="615"/>
      <c r="O48" s="602"/>
      <c r="P48" s="602"/>
    </row>
    <row r="49" spans="1:16">
      <c r="A49" s="606" t="s">
        <v>274</v>
      </c>
      <c r="B49" s="619">
        <f t="shared" ref="B49:I49" si="2">$C$46*P30</f>
        <v>33.819188191881921</v>
      </c>
      <c r="C49" s="619">
        <f t="shared" si="2"/>
        <v>0</v>
      </c>
      <c r="D49" s="619">
        <f t="shared" si="2"/>
        <v>0</v>
      </c>
      <c r="E49" s="619">
        <f t="shared" si="2"/>
        <v>0</v>
      </c>
      <c r="F49" s="619">
        <f t="shared" si="2"/>
        <v>0</v>
      </c>
      <c r="G49" s="619">
        <f t="shared" si="2"/>
        <v>0</v>
      </c>
      <c r="H49" s="619">
        <f t="shared" si="2"/>
        <v>0</v>
      </c>
      <c r="I49" s="620">
        <f t="shared" si="2"/>
        <v>0</v>
      </c>
      <c r="J49" s="577"/>
      <c r="K49" s="577"/>
      <c r="L49" s="615"/>
      <c r="M49" s="615"/>
      <c r="N49" s="615"/>
      <c r="O49" s="602"/>
      <c r="P49" s="602"/>
    </row>
    <row r="50" spans="1:16" ht="15.75" thickBot="1">
      <c r="A50" s="621" t="s">
        <v>275</v>
      </c>
      <c r="B50" s="622">
        <f t="shared" ref="B50:I50" si="3">$B$46*P30</f>
        <v>66.895097522403802</v>
      </c>
      <c r="C50" s="622">
        <f t="shared" si="3"/>
        <v>0</v>
      </c>
      <c r="D50" s="622">
        <f t="shared" si="3"/>
        <v>0</v>
      </c>
      <c r="E50" s="622">
        <f t="shared" si="3"/>
        <v>0</v>
      </c>
      <c r="F50" s="622">
        <f t="shared" si="3"/>
        <v>0</v>
      </c>
      <c r="G50" s="622">
        <f t="shared" si="3"/>
        <v>0</v>
      </c>
      <c r="H50" s="622">
        <f t="shared" si="3"/>
        <v>0</v>
      </c>
      <c r="I50" s="623">
        <f t="shared" si="3"/>
        <v>0</v>
      </c>
      <c r="J50" s="577"/>
      <c r="K50" s="577"/>
      <c r="L50" s="615"/>
      <c r="M50" s="615"/>
      <c r="N50" s="615"/>
      <c r="O50" s="602"/>
      <c r="P50" s="602"/>
    </row>
    <row r="51" spans="1:16">
      <c r="J51" s="561"/>
      <c r="K51" s="561"/>
      <c r="L51" s="561"/>
      <c r="M51" s="561"/>
      <c r="N51" s="561"/>
    </row>
    <row r="52" spans="1:16">
      <c r="J52" s="561"/>
      <c r="K52" s="561"/>
      <c r="L52" s="561"/>
      <c r="M52" s="561"/>
      <c r="N52"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331770.59301109461</v>
      </c>
      <c r="D10" s="639">
        <f ca="1">tertiair!C16</f>
        <v>22.5</v>
      </c>
      <c r="E10" s="639">
        <f ca="1">tertiair!D16</f>
        <v>386487.69045257691</v>
      </c>
      <c r="F10" s="639">
        <f>tertiair!E16</f>
        <v>3460.6897290527454</v>
      </c>
      <c r="G10" s="639">
        <f ca="1">tertiair!F16</f>
        <v>65131.038893746845</v>
      </c>
      <c r="H10" s="639">
        <f>tertiair!G16</f>
        <v>0</v>
      </c>
      <c r="I10" s="639">
        <f>tertiair!H16</f>
        <v>0</v>
      </c>
      <c r="J10" s="639">
        <f>tertiair!I16</f>
        <v>0</v>
      </c>
      <c r="K10" s="639">
        <f>tertiair!J16</f>
        <v>0</v>
      </c>
      <c r="L10" s="639">
        <f>tertiair!K16</f>
        <v>0</v>
      </c>
      <c r="M10" s="639">
        <f ca="1">tertiair!L16</f>
        <v>0</v>
      </c>
      <c r="N10" s="639">
        <f>tertiair!M16</f>
        <v>0</v>
      </c>
      <c r="O10" s="639">
        <f ca="1">tertiair!N16</f>
        <v>17239.581319301102</v>
      </c>
      <c r="P10" s="639">
        <f>tertiair!O16</f>
        <v>10.943333333333335</v>
      </c>
      <c r="Q10" s="640">
        <f>tertiair!P16</f>
        <v>305.06666666666666</v>
      </c>
      <c r="R10" s="642">
        <f ca="1">SUM(C10:Q10)</f>
        <v>804428.10340577224</v>
      </c>
      <c r="S10" s="68"/>
    </row>
    <row r="11" spans="1:19" s="443" customFormat="1">
      <c r="A11" s="753" t="s">
        <v>214</v>
      </c>
      <c r="B11" s="758"/>
      <c r="C11" s="639">
        <f>huishoudens!B8</f>
        <v>202584.02586027782</v>
      </c>
      <c r="D11" s="639">
        <f>huishoudens!C8</f>
        <v>0</v>
      </c>
      <c r="E11" s="639">
        <f>huishoudens!D8</f>
        <v>652172.95314682589</v>
      </c>
      <c r="F11" s="639">
        <f>huishoudens!E8</f>
        <v>5824.2923062942509</v>
      </c>
      <c r="G11" s="639">
        <f>huishoudens!F8</f>
        <v>177565.76277516186</v>
      </c>
      <c r="H11" s="639">
        <f>huishoudens!G8</f>
        <v>0</v>
      </c>
      <c r="I11" s="639">
        <f>huishoudens!H8</f>
        <v>0</v>
      </c>
      <c r="J11" s="639">
        <f>huishoudens!I8</f>
        <v>0</v>
      </c>
      <c r="K11" s="639">
        <f>huishoudens!J8</f>
        <v>3221.8688935050191</v>
      </c>
      <c r="L11" s="639">
        <f>huishoudens!K8</f>
        <v>0</v>
      </c>
      <c r="M11" s="639">
        <f>huishoudens!L8</f>
        <v>0</v>
      </c>
      <c r="N11" s="639">
        <f>huishoudens!M8</f>
        <v>0</v>
      </c>
      <c r="O11" s="639">
        <f>huishoudens!N8</f>
        <v>71024.510173382994</v>
      </c>
      <c r="P11" s="639">
        <f>huishoudens!O8</f>
        <v>386.14333333333337</v>
      </c>
      <c r="Q11" s="640">
        <f>huishoudens!P8</f>
        <v>514.79999999999995</v>
      </c>
      <c r="R11" s="642">
        <f>SUM(C11:Q11)</f>
        <v>1113294.3564887813</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103728.25965161918</v>
      </c>
      <c r="D13" s="639">
        <f>industrie!C18</f>
        <v>0</v>
      </c>
      <c r="E13" s="639">
        <f>industrie!D18</f>
        <v>154196.33182465873</v>
      </c>
      <c r="F13" s="639">
        <f>industrie!E18</f>
        <v>1040.4938711599814</v>
      </c>
      <c r="G13" s="639">
        <f>industrie!F18</f>
        <v>25947.626070192615</v>
      </c>
      <c r="H13" s="639">
        <f>industrie!G18</f>
        <v>0</v>
      </c>
      <c r="I13" s="639">
        <f>industrie!H18</f>
        <v>0</v>
      </c>
      <c r="J13" s="639">
        <f>industrie!I18</f>
        <v>0</v>
      </c>
      <c r="K13" s="639">
        <f>industrie!J18</f>
        <v>370.98800308646531</v>
      </c>
      <c r="L13" s="639">
        <f>industrie!K18</f>
        <v>0</v>
      </c>
      <c r="M13" s="639">
        <f>industrie!L18</f>
        <v>0</v>
      </c>
      <c r="N13" s="639">
        <f>industrie!M18</f>
        <v>0</v>
      </c>
      <c r="O13" s="639">
        <f>industrie!N18</f>
        <v>4455.1332014158706</v>
      </c>
      <c r="P13" s="639">
        <f>industrie!O18</f>
        <v>0</v>
      </c>
      <c r="Q13" s="640">
        <f>industrie!P18</f>
        <v>0</v>
      </c>
      <c r="R13" s="642">
        <f>SUM(C13:Q13)</f>
        <v>289738.83262213285</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638082.87852299167</v>
      </c>
      <c r="D16" s="672">
        <f t="shared" ref="D16:R16" ca="1" si="0">SUM(D9:D15)</f>
        <v>22.5</v>
      </c>
      <c r="E16" s="672">
        <f t="shared" ca="1" si="0"/>
        <v>1192856.9754240615</v>
      </c>
      <c r="F16" s="672">
        <f t="shared" si="0"/>
        <v>10325.475906506977</v>
      </c>
      <c r="G16" s="672">
        <f t="shared" ca="1" si="0"/>
        <v>268644.42773910135</v>
      </c>
      <c r="H16" s="672">
        <f t="shared" si="0"/>
        <v>0</v>
      </c>
      <c r="I16" s="672">
        <f t="shared" si="0"/>
        <v>0</v>
      </c>
      <c r="J16" s="672">
        <f t="shared" si="0"/>
        <v>0</v>
      </c>
      <c r="K16" s="672">
        <f t="shared" si="0"/>
        <v>3592.8568965914842</v>
      </c>
      <c r="L16" s="672">
        <f t="shared" si="0"/>
        <v>0</v>
      </c>
      <c r="M16" s="672">
        <f t="shared" ca="1" si="0"/>
        <v>0</v>
      </c>
      <c r="N16" s="672">
        <f t="shared" si="0"/>
        <v>0</v>
      </c>
      <c r="O16" s="672">
        <f t="shared" ca="1" si="0"/>
        <v>92719.224694099961</v>
      </c>
      <c r="P16" s="672">
        <f t="shared" si="0"/>
        <v>397.0866666666667</v>
      </c>
      <c r="Q16" s="672">
        <f t="shared" si="0"/>
        <v>819.86666666666656</v>
      </c>
      <c r="R16" s="672">
        <f t="shared" ca="1" si="0"/>
        <v>2207461.2925166865</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938.08955441405044</v>
      </c>
      <c r="D19" s="639">
        <f>transport!C54</f>
        <v>0</v>
      </c>
      <c r="E19" s="639">
        <f>transport!D54</f>
        <v>0</v>
      </c>
      <c r="F19" s="639">
        <f>transport!E54</f>
        <v>0</v>
      </c>
      <c r="G19" s="639">
        <f>transport!F54</f>
        <v>0</v>
      </c>
      <c r="H19" s="639">
        <f>transport!G54</f>
        <v>24112.954368902516</v>
      </c>
      <c r="I19" s="639">
        <f>transport!H54</f>
        <v>0</v>
      </c>
      <c r="J19" s="639">
        <f>transport!I54</f>
        <v>0</v>
      </c>
      <c r="K19" s="639">
        <f>transport!J54</f>
        <v>0</v>
      </c>
      <c r="L19" s="639">
        <f>transport!K54</f>
        <v>0</v>
      </c>
      <c r="M19" s="639">
        <f>transport!L54</f>
        <v>0</v>
      </c>
      <c r="N19" s="639">
        <f>transport!M54</f>
        <v>1065.7669017740272</v>
      </c>
      <c r="O19" s="639">
        <f>transport!N54</f>
        <v>0</v>
      </c>
      <c r="P19" s="639">
        <f>transport!O54</f>
        <v>0</v>
      </c>
      <c r="Q19" s="640">
        <f>transport!P54</f>
        <v>0</v>
      </c>
      <c r="R19" s="642">
        <f>SUM(C19:Q19)</f>
        <v>26116.810825090593</v>
      </c>
      <c r="S19" s="68"/>
    </row>
    <row r="20" spans="1:19" s="443" customFormat="1">
      <c r="A20" s="753" t="s">
        <v>296</v>
      </c>
      <c r="B20" s="758"/>
      <c r="C20" s="639">
        <f>transport!B14</f>
        <v>32.785656302213262</v>
      </c>
      <c r="D20" s="639">
        <f>transport!C14</f>
        <v>0</v>
      </c>
      <c r="E20" s="639">
        <f>transport!D14</f>
        <v>40.862477273326874</v>
      </c>
      <c r="F20" s="639">
        <f>transport!E14</f>
        <v>2662.8643238996938</v>
      </c>
      <c r="G20" s="639">
        <f>transport!F14</f>
        <v>0</v>
      </c>
      <c r="H20" s="639">
        <f>transport!G14</f>
        <v>617310.2276095819</v>
      </c>
      <c r="I20" s="639">
        <f>transport!H14</f>
        <v>104557.8937146979</v>
      </c>
      <c r="J20" s="639">
        <f>transport!I14</f>
        <v>0</v>
      </c>
      <c r="K20" s="639">
        <f>transport!J14</f>
        <v>0</v>
      </c>
      <c r="L20" s="639">
        <f>transport!K14</f>
        <v>0</v>
      </c>
      <c r="M20" s="639">
        <f>transport!L14</f>
        <v>0</v>
      </c>
      <c r="N20" s="639">
        <f>transport!M14</f>
        <v>32256.94457411718</v>
      </c>
      <c r="O20" s="639">
        <f>transport!N14</f>
        <v>0</v>
      </c>
      <c r="P20" s="639">
        <f>transport!O14</f>
        <v>0</v>
      </c>
      <c r="Q20" s="640">
        <f>transport!P14</f>
        <v>0</v>
      </c>
      <c r="R20" s="642">
        <f>SUM(C20:Q20)</f>
        <v>756861.57835587219</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970.87521071626372</v>
      </c>
      <c r="D22" s="756">
        <f t="shared" ref="D22:R22" si="1">SUM(D18:D21)</f>
        <v>0</v>
      </c>
      <c r="E22" s="756">
        <f t="shared" si="1"/>
        <v>40.862477273326874</v>
      </c>
      <c r="F22" s="756">
        <f t="shared" si="1"/>
        <v>2662.8643238996938</v>
      </c>
      <c r="G22" s="756">
        <f t="shared" si="1"/>
        <v>0</v>
      </c>
      <c r="H22" s="756">
        <f t="shared" si="1"/>
        <v>641423.18197848438</v>
      </c>
      <c r="I22" s="756">
        <f t="shared" si="1"/>
        <v>104557.8937146979</v>
      </c>
      <c r="J22" s="756">
        <f t="shared" si="1"/>
        <v>0</v>
      </c>
      <c r="K22" s="756">
        <f t="shared" si="1"/>
        <v>0</v>
      </c>
      <c r="L22" s="756">
        <f t="shared" si="1"/>
        <v>0</v>
      </c>
      <c r="M22" s="756">
        <f t="shared" si="1"/>
        <v>0</v>
      </c>
      <c r="N22" s="756">
        <f t="shared" si="1"/>
        <v>33322.711475891207</v>
      </c>
      <c r="O22" s="756">
        <f t="shared" si="1"/>
        <v>0</v>
      </c>
      <c r="P22" s="756">
        <f t="shared" si="1"/>
        <v>0</v>
      </c>
      <c r="Q22" s="756">
        <f t="shared" si="1"/>
        <v>0</v>
      </c>
      <c r="R22" s="756">
        <f t="shared" si="1"/>
        <v>782978.38918096281</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8683.7161843477988</v>
      </c>
      <c r="D24" s="639">
        <f>+landbouw!C8</f>
        <v>35.357142857142861</v>
      </c>
      <c r="E24" s="639">
        <f>+landbouw!D8</f>
        <v>16422.142885514004</v>
      </c>
      <c r="F24" s="639">
        <f>+landbouw!E8</f>
        <v>85.753277829777929</v>
      </c>
      <c r="G24" s="639">
        <f>+landbouw!F8</f>
        <v>28971.174884650522</v>
      </c>
      <c r="H24" s="639">
        <f>+landbouw!G8</f>
        <v>0</v>
      </c>
      <c r="I24" s="639">
        <f>+landbouw!H8</f>
        <v>0</v>
      </c>
      <c r="J24" s="639">
        <f>+landbouw!I8</f>
        <v>0</v>
      </c>
      <c r="K24" s="639">
        <f>+landbouw!J8</f>
        <v>866.37130571115051</v>
      </c>
      <c r="L24" s="639">
        <f>+landbouw!K8</f>
        <v>0</v>
      </c>
      <c r="M24" s="639">
        <f>+landbouw!L8</f>
        <v>0</v>
      </c>
      <c r="N24" s="639">
        <f>+landbouw!M8</f>
        <v>0</v>
      </c>
      <c r="O24" s="639">
        <f>+landbouw!N8</f>
        <v>0</v>
      </c>
      <c r="P24" s="639">
        <f>+landbouw!O8</f>
        <v>0</v>
      </c>
      <c r="Q24" s="640">
        <f>+landbouw!P8</f>
        <v>0</v>
      </c>
      <c r="R24" s="642">
        <f>SUM(C24:Q24)</f>
        <v>55064.515680910401</v>
      </c>
      <c r="S24" s="68"/>
    </row>
    <row r="25" spans="1:19" s="443" customFormat="1" ht="15" thickBot="1">
      <c r="A25" s="775" t="s">
        <v>847</v>
      </c>
      <c r="B25" s="941"/>
      <c r="C25" s="942">
        <f>IF(Onbekend_ele_kWh="---",0,Onbekend_ele_kWh)/1000+IF(REST_rest_ele_kWh="---",0,REST_rest_ele_kWh)/1000</f>
        <v>9723.8052683180285</v>
      </c>
      <c r="D25" s="942"/>
      <c r="E25" s="942">
        <f>IF(onbekend_gas_kWh="---",0,onbekend_gas_kWh)/1000+IF(REST_rest_gas_kWh="---",0,REST_rest_gas_kWh)/1000</f>
        <v>33155.266849498497</v>
      </c>
      <c r="F25" s="942"/>
      <c r="G25" s="942"/>
      <c r="H25" s="942"/>
      <c r="I25" s="942"/>
      <c r="J25" s="942"/>
      <c r="K25" s="942"/>
      <c r="L25" s="942"/>
      <c r="M25" s="942"/>
      <c r="N25" s="942"/>
      <c r="O25" s="942"/>
      <c r="P25" s="942"/>
      <c r="Q25" s="943"/>
      <c r="R25" s="642">
        <f>SUM(C25:Q25)</f>
        <v>42879.072117816526</v>
      </c>
      <c r="S25" s="68"/>
    </row>
    <row r="26" spans="1:19" s="443" customFormat="1" ht="15.75" thickBot="1">
      <c r="A26" s="645" t="s">
        <v>848</v>
      </c>
      <c r="B26" s="761"/>
      <c r="C26" s="756">
        <f>SUM(C24:C25)</f>
        <v>18407.521452665827</v>
      </c>
      <c r="D26" s="756">
        <f t="shared" ref="D26:R26" si="2">SUM(D24:D25)</f>
        <v>35.357142857142861</v>
      </c>
      <c r="E26" s="756">
        <f t="shared" si="2"/>
        <v>49577.409735012501</v>
      </c>
      <c r="F26" s="756">
        <f t="shared" si="2"/>
        <v>85.753277829777929</v>
      </c>
      <c r="G26" s="756">
        <f t="shared" si="2"/>
        <v>28971.174884650522</v>
      </c>
      <c r="H26" s="756">
        <f t="shared" si="2"/>
        <v>0</v>
      </c>
      <c r="I26" s="756">
        <f t="shared" si="2"/>
        <v>0</v>
      </c>
      <c r="J26" s="756">
        <f t="shared" si="2"/>
        <v>0</v>
      </c>
      <c r="K26" s="756">
        <f t="shared" si="2"/>
        <v>866.37130571115051</v>
      </c>
      <c r="L26" s="756">
        <f t="shared" si="2"/>
        <v>0</v>
      </c>
      <c r="M26" s="756">
        <f t="shared" si="2"/>
        <v>0</v>
      </c>
      <c r="N26" s="756">
        <f t="shared" si="2"/>
        <v>0</v>
      </c>
      <c r="O26" s="756">
        <f t="shared" si="2"/>
        <v>0</v>
      </c>
      <c r="P26" s="756">
        <f t="shared" si="2"/>
        <v>0</v>
      </c>
      <c r="Q26" s="756">
        <f t="shared" si="2"/>
        <v>0</v>
      </c>
      <c r="R26" s="756">
        <f t="shared" si="2"/>
        <v>97943.58779872692</v>
      </c>
      <c r="S26" s="68"/>
    </row>
    <row r="27" spans="1:19" s="443" customFormat="1" ht="17.25" thickTop="1" thickBot="1">
      <c r="A27" s="646" t="s">
        <v>109</v>
      </c>
      <c r="B27" s="748"/>
      <c r="C27" s="647">
        <f ca="1">C22+C16+C26</f>
        <v>657461.27518637374</v>
      </c>
      <c r="D27" s="647">
        <f t="shared" ref="D27:R27" ca="1" si="3">D22+D16+D26</f>
        <v>57.857142857142861</v>
      </c>
      <c r="E27" s="647">
        <f t="shared" ca="1" si="3"/>
        <v>1242475.2476363473</v>
      </c>
      <c r="F27" s="647">
        <f t="shared" si="3"/>
        <v>13074.093508236449</v>
      </c>
      <c r="G27" s="647">
        <f t="shared" ca="1" si="3"/>
        <v>297615.60262375185</v>
      </c>
      <c r="H27" s="647">
        <f t="shared" si="3"/>
        <v>641423.18197848438</v>
      </c>
      <c r="I27" s="647">
        <f t="shared" si="3"/>
        <v>104557.8937146979</v>
      </c>
      <c r="J27" s="647">
        <f t="shared" si="3"/>
        <v>0</v>
      </c>
      <c r="K27" s="647">
        <f t="shared" si="3"/>
        <v>4459.2282023026346</v>
      </c>
      <c r="L27" s="647">
        <f t="shared" si="3"/>
        <v>0</v>
      </c>
      <c r="M27" s="647">
        <f t="shared" ca="1" si="3"/>
        <v>0</v>
      </c>
      <c r="N27" s="647">
        <f t="shared" si="3"/>
        <v>33322.711475891207</v>
      </c>
      <c r="O27" s="647">
        <f t="shared" ca="1" si="3"/>
        <v>92719.224694099961</v>
      </c>
      <c r="P27" s="647">
        <f t="shared" si="3"/>
        <v>397.0866666666667</v>
      </c>
      <c r="Q27" s="647">
        <f t="shared" si="3"/>
        <v>819.86666666666656</v>
      </c>
      <c r="R27" s="647">
        <f t="shared" ca="1" si="3"/>
        <v>3088383.2694963762</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63679.499287721927</v>
      </c>
      <c r="D40" s="639">
        <f ca="1">tertiair!C20</f>
        <v>5.2549815498154988</v>
      </c>
      <c r="E40" s="639">
        <f ca="1">tertiair!D20</f>
        <v>78070.513471420534</v>
      </c>
      <c r="F40" s="639">
        <f>tertiair!E20</f>
        <v>785.57656849497323</v>
      </c>
      <c r="G40" s="639">
        <f ca="1">tertiair!F20</f>
        <v>17389.987384630407</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159930.83169381766</v>
      </c>
    </row>
    <row r="41" spans="1:18">
      <c r="A41" s="766" t="s">
        <v>214</v>
      </c>
      <c r="B41" s="773"/>
      <c r="C41" s="639">
        <f ca="1">huishoudens!B12</f>
        <v>38883.643102274596</v>
      </c>
      <c r="D41" s="639">
        <f ca="1">huishoudens!C12</f>
        <v>0</v>
      </c>
      <c r="E41" s="639">
        <f>huishoudens!D12</f>
        <v>131738.93653565884</v>
      </c>
      <c r="F41" s="639">
        <f>huishoudens!E12</f>
        <v>1322.1143535287949</v>
      </c>
      <c r="G41" s="639">
        <f>huishoudens!F12</f>
        <v>47410.058660968221</v>
      </c>
      <c r="H41" s="639">
        <f>huishoudens!G12</f>
        <v>0</v>
      </c>
      <c r="I41" s="639">
        <f>huishoudens!H12</f>
        <v>0</v>
      </c>
      <c r="J41" s="639">
        <f>huishoudens!I12</f>
        <v>0</v>
      </c>
      <c r="K41" s="639">
        <f>huishoudens!J12</f>
        <v>1140.5415883007768</v>
      </c>
      <c r="L41" s="639">
        <f>huishoudens!K12</f>
        <v>0</v>
      </c>
      <c r="M41" s="639">
        <f>huishoudens!L12</f>
        <v>0</v>
      </c>
      <c r="N41" s="639">
        <f>huishoudens!M12</f>
        <v>0</v>
      </c>
      <c r="O41" s="639">
        <f>huishoudens!N12</f>
        <v>0</v>
      </c>
      <c r="P41" s="639">
        <f>huishoudens!O12</f>
        <v>0</v>
      </c>
      <c r="Q41" s="714">
        <f>huishoudens!P12</f>
        <v>0</v>
      </c>
      <c r="R41" s="794">
        <f t="shared" ca="1" si="4"/>
        <v>220495.29424073122</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19909.430720344259</v>
      </c>
      <c r="D43" s="639">
        <f ca="1">industrie!C22</f>
        <v>0</v>
      </c>
      <c r="E43" s="639">
        <f>industrie!D22</f>
        <v>31147.659028581067</v>
      </c>
      <c r="F43" s="639">
        <f>industrie!E22</f>
        <v>236.19210875331578</v>
      </c>
      <c r="G43" s="639">
        <f>industrie!F22</f>
        <v>6928.0161607414284</v>
      </c>
      <c r="H43" s="639">
        <f>industrie!G22</f>
        <v>0</v>
      </c>
      <c r="I43" s="639">
        <f>industrie!H22</f>
        <v>0</v>
      </c>
      <c r="J43" s="639">
        <f>industrie!I22</f>
        <v>0</v>
      </c>
      <c r="K43" s="639">
        <f>industrie!J22</f>
        <v>131.32975309260871</v>
      </c>
      <c r="L43" s="639">
        <f>industrie!K22</f>
        <v>0</v>
      </c>
      <c r="M43" s="639">
        <f>industrie!L22</f>
        <v>0</v>
      </c>
      <c r="N43" s="639">
        <f>industrie!M22</f>
        <v>0</v>
      </c>
      <c r="O43" s="639">
        <f>industrie!N22</f>
        <v>0</v>
      </c>
      <c r="P43" s="639">
        <f>industrie!O22</f>
        <v>0</v>
      </c>
      <c r="Q43" s="714">
        <f>industrie!P22</f>
        <v>0</v>
      </c>
      <c r="R43" s="793">
        <f t="shared" ca="1" si="4"/>
        <v>58352.627771512678</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122472.57311034079</v>
      </c>
      <c r="D46" s="672">
        <f t="shared" ref="D46:Q46" ca="1" si="5">SUM(D39:D45)</f>
        <v>5.2549815498154988</v>
      </c>
      <c r="E46" s="672">
        <f t="shared" ca="1" si="5"/>
        <v>240957.10903566045</v>
      </c>
      <c r="F46" s="672">
        <f t="shared" si="5"/>
        <v>2343.8830307770841</v>
      </c>
      <c r="G46" s="672">
        <f t="shared" ca="1" si="5"/>
        <v>71728.062206340066</v>
      </c>
      <c r="H46" s="672">
        <f t="shared" si="5"/>
        <v>0</v>
      </c>
      <c r="I46" s="672">
        <f t="shared" si="5"/>
        <v>0</v>
      </c>
      <c r="J46" s="672">
        <f t="shared" si="5"/>
        <v>0</v>
      </c>
      <c r="K46" s="672">
        <f t="shared" si="5"/>
        <v>1271.8713413933856</v>
      </c>
      <c r="L46" s="672">
        <f t="shared" si="5"/>
        <v>0</v>
      </c>
      <c r="M46" s="672">
        <f t="shared" ca="1" si="5"/>
        <v>0</v>
      </c>
      <c r="N46" s="672">
        <f t="shared" si="5"/>
        <v>0</v>
      </c>
      <c r="O46" s="672">
        <f t="shared" ca="1" si="5"/>
        <v>0</v>
      </c>
      <c r="P46" s="672">
        <f t="shared" si="5"/>
        <v>0</v>
      </c>
      <c r="Q46" s="672">
        <f t="shared" si="5"/>
        <v>0</v>
      </c>
      <c r="R46" s="672">
        <f ca="1">SUM(R39:R45)</f>
        <v>438778.75370606157</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180.05535864395088</v>
      </c>
      <c r="D49" s="639">
        <f ca="1">transport!C58</f>
        <v>0</v>
      </c>
      <c r="E49" s="639">
        <f>transport!D58</f>
        <v>0</v>
      </c>
      <c r="F49" s="639">
        <f>transport!E58</f>
        <v>0</v>
      </c>
      <c r="G49" s="639">
        <f>transport!F58</f>
        <v>0</v>
      </c>
      <c r="H49" s="639">
        <f>transport!G58</f>
        <v>6438.1588164969717</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6618.2141751409226</v>
      </c>
    </row>
    <row r="50" spans="1:18">
      <c r="A50" s="769" t="s">
        <v>296</v>
      </c>
      <c r="B50" s="779"/>
      <c r="C50" s="948">
        <f ca="1">transport!B18</f>
        <v>6.2928246840565185</v>
      </c>
      <c r="D50" s="948">
        <f>transport!C18</f>
        <v>0</v>
      </c>
      <c r="E50" s="948">
        <f>transport!D18</f>
        <v>8.2542204092120297</v>
      </c>
      <c r="F50" s="948">
        <f>transport!E18</f>
        <v>604.47020152523055</v>
      </c>
      <c r="G50" s="948">
        <f>transport!F18</f>
        <v>0</v>
      </c>
      <c r="H50" s="948">
        <f>transport!G18</f>
        <v>164821.83077175837</v>
      </c>
      <c r="I50" s="948">
        <f>transport!H18</f>
        <v>26034.915534959779</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191475.76355333664</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186.34818332800739</v>
      </c>
      <c r="D52" s="672">
        <f t="shared" ref="D52:Q52" ca="1" si="6">SUM(D48:D51)</f>
        <v>0</v>
      </c>
      <c r="E52" s="672">
        <f t="shared" si="6"/>
        <v>8.2542204092120297</v>
      </c>
      <c r="F52" s="672">
        <f t="shared" si="6"/>
        <v>604.47020152523055</v>
      </c>
      <c r="G52" s="672">
        <f t="shared" si="6"/>
        <v>0</v>
      </c>
      <c r="H52" s="672">
        <f t="shared" si="6"/>
        <v>171259.98958825532</v>
      </c>
      <c r="I52" s="672">
        <f t="shared" si="6"/>
        <v>26034.915534959779</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198093.97772847756</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1666.7381323861432</v>
      </c>
      <c r="D54" s="948">
        <f ca="1">+landbouw!C12</f>
        <v>8.2578281497100701</v>
      </c>
      <c r="E54" s="948">
        <f>+landbouw!D12</f>
        <v>3317.2728628738291</v>
      </c>
      <c r="F54" s="948">
        <f>+landbouw!E12</f>
        <v>19.465994067359592</v>
      </c>
      <c r="G54" s="948">
        <f>+landbouw!F12</f>
        <v>7735.3036942016897</v>
      </c>
      <c r="H54" s="948">
        <f>+landbouw!G12</f>
        <v>0</v>
      </c>
      <c r="I54" s="948">
        <f>+landbouw!H12</f>
        <v>0</v>
      </c>
      <c r="J54" s="948">
        <f>+landbouw!I12</f>
        <v>0</v>
      </c>
      <c r="K54" s="948">
        <f>+landbouw!J12</f>
        <v>306.69544222174727</v>
      </c>
      <c r="L54" s="948">
        <f>+landbouw!K12</f>
        <v>0</v>
      </c>
      <c r="M54" s="948">
        <f>+landbouw!L12</f>
        <v>0</v>
      </c>
      <c r="N54" s="948">
        <f>+landbouw!M12</f>
        <v>0</v>
      </c>
      <c r="O54" s="948">
        <f>+landbouw!N12</f>
        <v>0</v>
      </c>
      <c r="P54" s="948">
        <f>+landbouw!O12</f>
        <v>0</v>
      </c>
      <c r="Q54" s="949">
        <f>+landbouw!P12</f>
        <v>0</v>
      </c>
      <c r="R54" s="671">
        <f ca="1">SUM(C54:Q54)</f>
        <v>13053.733953900481</v>
      </c>
    </row>
    <row r="55" spans="1:18" ht="15" thickBot="1">
      <c r="A55" s="769" t="s">
        <v>847</v>
      </c>
      <c r="B55" s="779"/>
      <c r="C55" s="948">
        <f ca="1">C25*'EF ele_warmte'!B12</f>
        <v>1866.3711121530832</v>
      </c>
      <c r="D55" s="948"/>
      <c r="E55" s="948">
        <f>E25*EF_CO2_aardgas</f>
        <v>6697.3639035986971</v>
      </c>
      <c r="F55" s="948"/>
      <c r="G55" s="948"/>
      <c r="H55" s="948"/>
      <c r="I55" s="948"/>
      <c r="J55" s="948"/>
      <c r="K55" s="948"/>
      <c r="L55" s="948"/>
      <c r="M55" s="948"/>
      <c r="N55" s="948"/>
      <c r="O55" s="948"/>
      <c r="P55" s="948"/>
      <c r="Q55" s="949"/>
      <c r="R55" s="671">
        <f ca="1">SUM(C55:Q55)</f>
        <v>8563.7350157517794</v>
      </c>
    </row>
    <row r="56" spans="1:18" ht="15.75" thickBot="1">
      <c r="A56" s="767" t="s">
        <v>848</v>
      </c>
      <c r="B56" s="780"/>
      <c r="C56" s="672">
        <f ca="1">SUM(C54:C55)</f>
        <v>3533.1092445392264</v>
      </c>
      <c r="D56" s="672">
        <f t="shared" ref="D56:Q56" ca="1" si="7">SUM(D54:D55)</f>
        <v>8.2578281497100701</v>
      </c>
      <c r="E56" s="672">
        <f t="shared" si="7"/>
        <v>10014.636766472526</v>
      </c>
      <c r="F56" s="672">
        <f t="shared" si="7"/>
        <v>19.465994067359592</v>
      </c>
      <c r="G56" s="672">
        <f t="shared" si="7"/>
        <v>7735.3036942016897</v>
      </c>
      <c r="H56" s="672">
        <f t="shared" si="7"/>
        <v>0</v>
      </c>
      <c r="I56" s="672">
        <f t="shared" si="7"/>
        <v>0</v>
      </c>
      <c r="J56" s="672">
        <f t="shared" si="7"/>
        <v>0</v>
      </c>
      <c r="K56" s="672">
        <f t="shared" si="7"/>
        <v>306.69544222174727</v>
      </c>
      <c r="L56" s="672">
        <f t="shared" si="7"/>
        <v>0</v>
      </c>
      <c r="M56" s="672">
        <f t="shared" si="7"/>
        <v>0</v>
      </c>
      <c r="N56" s="672">
        <f t="shared" si="7"/>
        <v>0</v>
      </c>
      <c r="O56" s="672">
        <f t="shared" si="7"/>
        <v>0</v>
      </c>
      <c r="P56" s="672">
        <f t="shared" si="7"/>
        <v>0</v>
      </c>
      <c r="Q56" s="673">
        <f t="shared" si="7"/>
        <v>0</v>
      </c>
      <c r="R56" s="674">
        <f ca="1">SUM(R54:R55)</f>
        <v>21617.468969652262</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126192.03053820803</v>
      </c>
      <c r="D61" s="680">
        <f t="shared" ref="D61:Q61" ca="1" si="8">D46+D52+D56</f>
        <v>13.512809699525569</v>
      </c>
      <c r="E61" s="680">
        <f t="shared" ca="1" si="8"/>
        <v>250980.0000225422</v>
      </c>
      <c r="F61" s="680">
        <f t="shared" si="8"/>
        <v>2967.8192263696742</v>
      </c>
      <c r="G61" s="680">
        <f t="shared" ca="1" si="8"/>
        <v>79463.365900541758</v>
      </c>
      <c r="H61" s="680">
        <f t="shared" si="8"/>
        <v>171259.98958825532</v>
      </c>
      <c r="I61" s="680">
        <f t="shared" si="8"/>
        <v>26034.915534959779</v>
      </c>
      <c r="J61" s="680">
        <f t="shared" si="8"/>
        <v>0</v>
      </c>
      <c r="K61" s="680">
        <f t="shared" si="8"/>
        <v>1578.5667836151329</v>
      </c>
      <c r="L61" s="680">
        <f t="shared" si="8"/>
        <v>0</v>
      </c>
      <c r="M61" s="680">
        <f t="shared" ca="1" si="8"/>
        <v>0</v>
      </c>
      <c r="N61" s="680">
        <f t="shared" si="8"/>
        <v>0</v>
      </c>
      <c r="O61" s="680">
        <f t="shared" ca="1" si="8"/>
        <v>0</v>
      </c>
      <c r="P61" s="680">
        <f t="shared" si="8"/>
        <v>0</v>
      </c>
      <c r="Q61" s="680">
        <f t="shared" si="8"/>
        <v>0</v>
      </c>
      <c r="R61" s="680">
        <f ca="1">R46+R52+R56</f>
        <v>658490.20040419151</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0.19193834724704623</v>
      </c>
      <c r="D63" s="724">
        <f t="shared" ca="1" si="9"/>
        <v>0.23355473554735551</v>
      </c>
      <c r="E63" s="950">
        <f t="shared" ca="1" si="9"/>
        <v>0.20200000000000004</v>
      </c>
      <c r="F63" s="724">
        <f t="shared" si="9"/>
        <v>0.22700000000000004</v>
      </c>
      <c r="G63" s="724">
        <f t="shared" ca="1" si="9"/>
        <v>0.26700000000000007</v>
      </c>
      <c r="H63" s="724">
        <f t="shared" si="9"/>
        <v>0.26700000000000002</v>
      </c>
      <c r="I63" s="724">
        <f t="shared" si="9"/>
        <v>0.249</v>
      </c>
      <c r="J63" s="724">
        <f t="shared" si="9"/>
        <v>0</v>
      </c>
      <c r="K63" s="724">
        <f t="shared" si="9"/>
        <v>0.35400000000000004</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61252.301403525344</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25205.972370209252</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29.25</v>
      </c>
      <c r="D76" s="960">
        <f>'lokale energieproductie'!C8</f>
        <v>33.819188191881921</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6.8314760147601481</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86458.273773734603</v>
      </c>
      <c r="C78" s="695">
        <f>SUM(C72:C77)</f>
        <v>29.25</v>
      </c>
      <c r="D78" s="696">
        <f t="shared" ref="D78:H78" si="10">SUM(D76:D77)</f>
        <v>33.819188191881921</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6.8314760147601481</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57.857142857142861</v>
      </c>
      <c r="D87" s="717">
        <f>'lokale energieproductie'!C17</f>
        <v>66.895097522403802</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13.512809699525569</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57.857142857142861</v>
      </c>
      <c r="D90" s="695">
        <f t="shared" ref="D90:H90" si="12">SUM(D87:D89)</f>
        <v>66.895097522403802</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13.512809699525569</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202584.02586027782</v>
      </c>
      <c r="C4" s="447">
        <f>huishoudens!C8</f>
        <v>0</v>
      </c>
      <c r="D4" s="447">
        <f>huishoudens!D8</f>
        <v>652172.95314682589</v>
      </c>
      <c r="E4" s="447">
        <f>huishoudens!E8</f>
        <v>5824.2923062942509</v>
      </c>
      <c r="F4" s="447">
        <f>huishoudens!F8</f>
        <v>177565.76277516186</v>
      </c>
      <c r="G4" s="447">
        <f>huishoudens!G8</f>
        <v>0</v>
      </c>
      <c r="H4" s="447">
        <f>huishoudens!H8</f>
        <v>0</v>
      </c>
      <c r="I4" s="447">
        <f>huishoudens!I8</f>
        <v>0</v>
      </c>
      <c r="J4" s="447">
        <f>huishoudens!J8</f>
        <v>3221.8688935050191</v>
      </c>
      <c r="K4" s="447">
        <f>huishoudens!K8</f>
        <v>0</v>
      </c>
      <c r="L4" s="447">
        <f>huishoudens!L8</f>
        <v>0</v>
      </c>
      <c r="M4" s="447">
        <f>huishoudens!M8</f>
        <v>0</v>
      </c>
      <c r="N4" s="447">
        <f>huishoudens!N8</f>
        <v>71024.510173382994</v>
      </c>
      <c r="O4" s="447">
        <f>huishoudens!O8</f>
        <v>386.14333333333337</v>
      </c>
      <c r="P4" s="448">
        <f>huishoudens!P8</f>
        <v>514.79999999999995</v>
      </c>
      <c r="Q4" s="449">
        <f>SUM(B4:P4)</f>
        <v>1113294.3564887813</v>
      </c>
    </row>
    <row r="5" spans="1:17">
      <c r="A5" s="446" t="s">
        <v>149</v>
      </c>
      <c r="B5" s="447">
        <f ca="1">tertiair!B16</f>
        <v>323369.91201109462</v>
      </c>
      <c r="C5" s="447">
        <f ca="1">tertiair!C16</f>
        <v>22.5</v>
      </c>
      <c r="D5" s="447">
        <f ca="1">tertiair!D16</f>
        <v>386487.69045257691</v>
      </c>
      <c r="E5" s="447">
        <f>tertiair!E16</f>
        <v>3460.6897290527454</v>
      </c>
      <c r="F5" s="447">
        <f ca="1">tertiair!F16</f>
        <v>65131.038893746845</v>
      </c>
      <c r="G5" s="447">
        <f>tertiair!G16</f>
        <v>0</v>
      </c>
      <c r="H5" s="447">
        <f>tertiair!H16</f>
        <v>0</v>
      </c>
      <c r="I5" s="447">
        <f>tertiair!I16</f>
        <v>0</v>
      </c>
      <c r="J5" s="447">
        <f>tertiair!J16</f>
        <v>0</v>
      </c>
      <c r="K5" s="447">
        <f>tertiair!K16</f>
        <v>0</v>
      </c>
      <c r="L5" s="447">
        <f ca="1">tertiair!L16</f>
        <v>0</v>
      </c>
      <c r="M5" s="447">
        <f>tertiair!M16</f>
        <v>0</v>
      </c>
      <c r="N5" s="447">
        <f ca="1">tertiair!N16</f>
        <v>17239.581319301102</v>
      </c>
      <c r="O5" s="447">
        <f>tertiair!O16</f>
        <v>10.943333333333335</v>
      </c>
      <c r="P5" s="448">
        <f>tertiair!P16</f>
        <v>305.06666666666666</v>
      </c>
      <c r="Q5" s="446">
        <f t="shared" ref="Q5:Q14" ca="1" si="0">SUM(B5:P5)</f>
        <v>796027.42240577214</v>
      </c>
    </row>
    <row r="6" spans="1:17">
      <c r="A6" s="446" t="s">
        <v>187</v>
      </c>
      <c r="B6" s="447">
        <f>'openbare verlichting'!B8</f>
        <v>8400.6810000000005</v>
      </c>
      <c r="C6" s="447"/>
      <c r="D6" s="447"/>
      <c r="E6" s="447"/>
      <c r="F6" s="447"/>
      <c r="G6" s="447"/>
      <c r="H6" s="447"/>
      <c r="I6" s="447"/>
      <c r="J6" s="447"/>
      <c r="K6" s="447"/>
      <c r="L6" s="447"/>
      <c r="M6" s="447"/>
      <c r="N6" s="447"/>
      <c r="O6" s="447"/>
      <c r="P6" s="448"/>
      <c r="Q6" s="446">
        <f t="shared" si="0"/>
        <v>8400.6810000000005</v>
      </c>
    </row>
    <row r="7" spans="1:17">
      <c r="A7" s="446" t="s">
        <v>105</v>
      </c>
      <c r="B7" s="447">
        <f>landbouw!B8</f>
        <v>8683.7161843477988</v>
      </c>
      <c r="C7" s="447">
        <f>landbouw!C8</f>
        <v>35.357142857142861</v>
      </c>
      <c r="D7" s="447">
        <f>landbouw!D8</f>
        <v>16422.142885514004</v>
      </c>
      <c r="E7" s="447">
        <f>landbouw!E8</f>
        <v>85.753277829777929</v>
      </c>
      <c r="F7" s="447">
        <f>landbouw!F8</f>
        <v>28971.174884650522</v>
      </c>
      <c r="G7" s="447">
        <f>landbouw!G8</f>
        <v>0</v>
      </c>
      <c r="H7" s="447">
        <f>landbouw!H8</f>
        <v>0</v>
      </c>
      <c r="I7" s="447">
        <f>landbouw!I8</f>
        <v>0</v>
      </c>
      <c r="J7" s="447">
        <f>landbouw!J8</f>
        <v>866.37130571115051</v>
      </c>
      <c r="K7" s="447">
        <f>landbouw!K8</f>
        <v>0</v>
      </c>
      <c r="L7" s="447">
        <f>landbouw!L8</f>
        <v>0</v>
      </c>
      <c r="M7" s="447">
        <f>landbouw!M8</f>
        <v>0</v>
      </c>
      <c r="N7" s="447">
        <f>landbouw!N8</f>
        <v>0</v>
      </c>
      <c r="O7" s="447">
        <f>landbouw!O8</f>
        <v>0</v>
      </c>
      <c r="P7" s="448">
        <f>landbouw!P8</f>
        <v>0</v>
      </c>
      <c r="Q7" s="446">
        <f t="shared" si="0"/>
        <v>55064.515680910401</v>
      </c>
    </row>
    <row r="8" spans="1:17">
      <c r="A8" s="446" t="s">
        <v>640</v>
      </c>
      <c r="B8" s="447">
        <f>industrie!B18</f>
        <v>103728.25965161918</v>
      </c>
      <c r="C8" s="447">
        <f>industrie!C18</f>
        <v>0</v>
      </c>
      <c r="D8" s="447">
        <f>industrie!D18</f>
        <v>154196.33182465873</v>
      </c>
      <c r="E8" s="447">
        <f>industrie!E18</f>
        <v>1040.4938711599814</v>
      </c>
      <c r="F8" s="447">
        <f>industrie!F18</f>
        <v>25947.626070192615</v>
      </c>
      <c r="G8" s="447">
        <f>industrie!G18</f>
        <v>0</v>
      </c>
      <c r="H8" s="447">
        <f>industrie!H18</f>
        <v>0</v>
      </c>
      <c r="I8" s="447">
        <f>industrie!I18</f>
        <v>0</v>
      </c>
      <c r="J8" s="447">
        <f>industrie!J18</f>
        <v>370.98800308646531</v>
      </c>
      <c r="K8" s="447">
        <f>industrie!K18</f>
        <v>0</v>
      </c>
      <c r="L8" s="447">
        <f>industrie!L18</f>
        <v>0</v>
      </c>
      <c r="M8" s="447">
        <f>industrie!M18</f>
        <v>0</v>
      </c>
      <c r="N8" s="447">
        <f>industrie!N18</f>
        <v>4455.1332014158706</v>
      </c>
      <c r="O8" s="447">
        <f>industrie!O18</f>
        <v>0</v>
      </c>
      <c r="P8" s="448">
        <f>industrie!P18</f>
        <v>0</v>
      </c>
      <c r="Q8" s="446">
        <f t="shared" si="0"/>
        <v>289738.83262213285</v>
      </c>
    </row>
    <row r="9" spans="1:17" s="452" customFormat="1">
      <c r="A9" s="450" t="s">
        <v>560</v>
      </c>
      <c r="B9" s="451">
        <f>transport!B14</f>
        <v>32.785656302213262</v>
      </c>
      <c r="C9" s="451">
        <f>transport!C14</f>
        <v>0</v>
      </c>
      <c r="D9" s="451">
        <f>transport!D14</f>
        <v>40.862477273326874</v>
      </c>
      <c r="E9" s="451">
        <f>transport!E14</f>
        <v>2662.8643238996938</v>
      </c>
      <c r="F9" s="451">
        <f>transport!F14</f>
        <v>0</v>
      </c>
      <c r="G9" s="451">
        <f>transport!G14</f>
        <v>617310.2276095819</v>
      </c>
      <c r="H9" s="451">
        <f>transport!H14</f>
        <v>104557.8937146979</v>
      </c>
      <c r="I9" s="451">
        <f>transport!I14</f>
        <v>0</v>
      </c>
      <c r="J9" s="451">
        <f>transport!J14</f>
        <v>0</v>
      </c>
      <c r="K9" s="451">
        <f>transport!K14</f>
        <v>0</v>
      </c>
      <c r="L9" s="451">
        <f>transport!L14</f>
        <v>0</v>
      </c>
      <c r="M9" s="451">
        <f>transport!M14</f>
        <v>32256.94457411718</v>
      </c>
      <c r="N9" s="451">
        <f>transport!N14</f>
        <v>0</v>
      </c>
      <c r="O9" s="451">
        <f>transport!O14</f>
        <v>0</v>
      </c>
      <c r="P9" s="451">
        <f>transport!P14</f>
        <v>0</v>
      </c>
      <c r="Q9" s="450">
        <f>SUM(B9:P9)</f>
        <v>756861.57835587219</v>
      </c>
    </row>
    <row r="10" spans="1:17">
      <c r="A10" s="446" t="s">
        <v>550</v>
      </c>
      <c r="B10" s="447">
        <f>transport!B54</f>
        <v>938.08955441405044</v>
      </c>
      <c r="C10" s="447">
        <f>transport!C54</f>
        <v>0</v>
      </c>
      <c r="D10" s="447">
        <f>transport!D54</f>
        <v>0</v>
      </c>
      <c r="E10" s="447">
        <f>transport!E54</f>
        <v>0</v>
      </c>
      <c r="F10" s="447">
        <f>transport!F54</f>
        <v>0</v>
      </c>
      <c r="G10" s="447">
        <f>transport!G54</f>
        <v>24112.954368902516</v>
      </c>
      <c r="H10" s="447">
        <f>transport!H54</f>
        <v>0</v>
      </c>
      <c r="I10" s="447">
        <f>transport!I54</f>
        <v>0</v>
      </c>
      <c r="J10" s="447">
        <f>transport!J54</f>
        <v>0</v>
      </c>
      <c r="K10" s="447">
        <f>transport!K54</f>
        <v>0</v>
      </c>
      <c r="L10" s="447">
        <f>transport!L54</f>
        <v>0</v>
      </c>
      <c r="M10" s="447">
        <f>transport!M54</f>
        <v>1065.7669017740272</v>
      </c>
      <c r="N10" s="447">
        <f>transport!N54</f>
        <v>0</v>
      </c>
      <c r="O10" s="447">
        <f>transport!O54</f>
        <v>0</v>
      </c>
      <c r="P10" s="448">
        <f>transport!P54</f>
        <v>0</v>
      </c>
      <c r="Q10" s="446">
        <f t="shared" si="0"/>
        <v>26116.810825090593</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9723.8052683180285</v>
      </c>
      <c r="C14" s="454"/>
      <c r="D14" s="454">
        <f>'SEAP template'!E25</f>
        <v>33155.266849498497</v>
      </c>
      <c r="E14" s="454"/>
      <c r="F14" s="454"/>
      <c r="G14" s="454"/>
      <c r="H14" s="454"/>
      <c r="I14" s="454"/>
      <c r="J14" s="454"/>
      <c r="K14" s="454"/>
      <c r="L14" s="454"/>
      <c r="M14" s="454"/>
      <c r="N14" s="454"/>
      <c r="O14" s="454"/>
      <c r="P14" s="455"/>
      <c r="Q14" s="446">
        <f t="shared" si="0"/>
        <v>42879.072117816526</v>
      </c>
    </row>
    <row r="15" spans="1:17" s="459" customFormat="1">
      <c r="A15" s="456" t="s">
        <v>554</v>
      </c>
      <c r="B15" s="457">
        <f ca="1">SUM(B4:B14)</f>
        <v>657461.27518637362</v>
      </c>
      <c r="C15" s="457">
        <f t="shared" ref="C15:Q15" ca="1" si="1">SUM(C4:C14)</f>
        <v>57.857142857142861</v>
      </c>
      <c r="D15" s="457">
        <f t="shared" ca="1" si="1"/>
        <v>1242475.2476363473</v>
      </c>
      <c r="E15" s="457">
        <f t="shared" si="1"/>
        <v>13074.093508236449</v>
      </c>
      <c r="F15" s="457">
        <f t="shared" ca="1" si="1"/>
        <v>297615.60262375185</v>
      </c>
      <c r="G15" s="457">
        <f t="shared" si="1"/>
        <v>641423.18197848438</v>
      </c>
      <c r="H15" s="457">
        <f t="shared" si="1"/>
        <v>104557.8937146979</v>
      </c>
      <c r="I15" s="457">
        <f t="shared" si="1"/>
        <v>0</v>
      </c>
      <c r="J15" s="457">
        <f t="shared" si="1"/>
        <v>4459.2282023026346</v>
      </c>
      <c r="K15" s="457">
        <f t="shared" si="1"/>
        <v>0</v>
      </c>
      <c r="L15" s="457">
        <f t="shared" ca="1" si="1"/>
        <v>0</v>
      </c>
      <c r="M15" s="457">
        <f t="shared" si="1"/>
        <v>33322.711475891207</v>
      </c>
      <c r="N15" s="457">
        <f t="shared" ca="1" si="1"/>
        <v>92719.224694099961</v>
      </c>
      <c r="O15" s="457">
        <f t="shared" si="1"/>
        <v>397.0866666666667</v>
      </c>
      <c r="P15" s="457">
        <f t="shared" si="1"/>
        <v>819.86666666666656</v>
      </c>
      <c r="Q15" s="457">
        <f t="shared" ca="1" si="1"/>
        <v>3088383.2694963757</v>
      </c>
    </row>
    <row r="17" spans="1:17">
      <c r="A17" s="460" t="s">
        <v>555</v>
      </c>
      <c r="B17" s="729">
        <f ca="1">huishoudens!B10</f>
        <v>0.19193834724704623</v>
      </c>
      <c r="C17" s="729">
        <f ca="1">huishoudens!C10</f>
        <v>0.23355473554735551</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38883.643102274596</v>
      </c>
      <c r="C22" s="447">
        <f t="shared" ref="C22:C32" ca="1" si="3">C4*$C$17</f>
        <v>0</v>
      </c>
      <c r="D22" s="447">
        <f t="shared" ref="D22:D32" si="4">D4*$D$17</f>
        <v>131738.93653565884</v>
      </c>
      <c r="E22" s="447">
        <f t="shared" ref="E22:E32" si="5">E4*$E$17</f>
        <v>1322.1143535287949</v>
      </c>
      <c r="F22" s="447">
        <f t="shared" ref="F22:F32" si="6">F4*$F$17</f>
        <v>47410.058660968221</v>
      </c>
      <c r="G22" s="447">
        <f t="shared" ref="G22:G32" si="7">G4*$G$17</f>
        <v>0</v>
      </c>
      <c r="H22" s="447">
        <f t="shared" ref="H22:H32" si="8">H4*$H$17</f>
        <v>0</v>
      </c>
      <c r="I22" s="447">
        <f t="shared" ref="I22:I32" si="9">I4*$I$17</f>
        <v>0</v>
      </c>
      <c r="J22" s="447">
        <f t="shared" ref="J22:J32" si="10">J4*$J$17</f>
        <v>1140.5415883007768</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220495.29424073122</v>
      </c>
    </row>
    <row r="23" spans="1:17">
      <c r="A23" s="446" t="s">
        <v>149</v>
      </c>
      <c r="B23" s="447">
        <f t="shared" ca="1" si="2"/>
        <v>62067.086460832266</v>
      </c>
      <c r="C23" s="447">
        <f t="shared" ca="1" si="3"/>
        <v>5.2549815498154988</v>
      </c>
      <c r="D23" s="447">
        <f t="shared" ca="1" si="4"/>
        <v>78070.513471420534</v>
      </c>
      <c r="E23" s="447">
        <f t="shared" si="5"/>
        <v>785.57656849497323</v>
      </c>
      <c r="F23" s="447">
        <f t="shared" ca="1" si="6"/>
        <v>17389.987384630407</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158318.418866928</v>
      </c>
    </row>
    <row r="24" spans="1:17">
      <c r="A24" s="446" t="s">
        <v>187</v>
      </c>
      <c r="B24" s="447">
        <f t="shared" ca="1" si="2"/>
        <v>1612.4128268896636</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1612.4128268896636</v>
      </c>
    </row>
    <row r="25" spans="1:17">
      <c r="A25" s="446" t="s">
        <v>105</v>
      </c>
      <c r="B25" s="447">
        <f t="shared" ca="1" si="2"/>
        <v>1666.7381323861432</v>
      </c>
      <c r="C25" s="447">
        <f t="shared" ca="1" si="3"/>
        <v>8.2578281497100701</v>
      </c>
      <c r="D25" s="447">
        <f t="shared" si="4"/>
        <v>3317.2728628738291</v>
      </c>
      <c r="E25" s="447">
        <f t="shared" si="5"/>
        <v>19.465994067359592</v>
      </c>
      <c r="F25" s="447">
        <f t="shared" si="6"/>
        <v>7735.3036942016897</v>
      </c>
      <c r="G25" s="447">
        <f t="shared" si="7"/>
        <v>0</v>
      </c>
      <c r="H25" s="447">
        <f t="shared" si="8"/>
        <v>0</v>
      </c>
      <c r="I25" s="447">
        <f t="shared" si="9"/>
        <v>0</v>
      </c>
      <c r="J25" s="447">
        <f t="shared" si="10"/>
        <v>306.69544222174727</v>
      </c>
      <c r="K25" s="447">
        <f t="shared" si="11"/>
        <v>0</v>
      </c>
      <c r="L25" s="447">
        <f t="shared" si="12"/>
        <v>0</v>
      </c>
      <c r="M25" s="447">
        <f t="shared" si="13"/>
        <v>0</v>
      </c>
      <c r="N25" s="447">
        <f t="shared" si="14"/>
        <v>0</v>
      </c>
      <c r="O25" s="447">
        <f t="shared" si="15"/>
        <v>0</v>
      </c>
      <c r="P25" s="448">
        <f t="shared" si="16"/>
        <v>0</v>
      </c>
      <c r="Q25" s="446">
        <f t="shared" ca="1" si="17"/>
        <v>13053.733953900481</v>
      </c>
    </row>
    <row r="26" spans="1:17">
      <c r="A26" s="446" t="s">
        <v>640</v>
      </c>
      <c r="B26" s="447">
        <f t="shared" ca="1" si="2"/>
        <v>19909.430720344259</v>
      </c>
      <c r="C26" s="447">
        <f t="shared" ca="1" si="3"/>
        <v>0</v>
      </c>
      <c r="D26" s="447">
        <f t="shared" si="4"/>
        <v>31147.659028581067</v>
      </c>
      <c r="E26" s="447">
        <f t="shared" si="5"/>
        <v>236.19210875331578</v>
      </c>
      <c r="F26" s="447">
        <f t="shared" si="6"/>
        <v>6928.0161607414284</v>
      </c>
      <c r="G26" s="447">
        <f t="shared" si="7"/>
        <v>0</v>
      </c>
      <c r="H26" s="447">
        <f t="shared" si="8"/>
        <v>0</v>
      </c>
      <c r="I26" s="447">
        <f t="shared" si="9"/>
        <v>0</v>
      </c>
      <c r="J26" s="447">
        <f t="shared" si="10"/>
        <v>131.32975309260871</v>
      </c>
      <c r="K26" s="447">
        <f t="shared" si="11"/>
        <v>0</v>
      </c>
      <c r="L26" s="447">
        <f t="shared" si="12"/>
        <v>0</v>
      </c>
      <c r="M26" s="447">
        <f t="shared" si="13"/>
        <v>0</v>
      </c>
      <c r="N26" s="447">
        <f t="shared" si="14"/>
        <v>0</v>
      </c>
      <c r="O26" s="447">
        <f t="shared" si="15"/>
        <v>0</v>
      </c>
      <c r="P26" s="448">
        <f t="shared" si="16"/>
        <v>0</v>
      </c>
      <c r="Q26" s="446">
        <f t="shared" ca="1" si="17"/>
        <v>58352.627771512678</v>
      </c>
    </row>
    <row r="27" spans="1:17" s="452" customFormat="1">
      <c r="A27" s="450" t="s">
        <v>560</v>
      </c>
      <c r="B27" s="723">
        <f t="shared" ca="1" si="2"/>
        <v>6.2928246840565185</v>
      </c>
      <c r="C27" s="451">
        <f t="shared" ca="1" si="3"/>
        <v>0</v>
      </c>
      <c r="D27" s="451">
        <f t="shared" si="4"/>
        <v>8.2542204092120297</v>
      </c>
      <c r="E27" s="451">
        <f t="shared" si="5"/>
        <v>604.47020152523055</v>
      </c>
      <c r="F27" s="451">
        <f t="shared" si="6"/>
        <v>0</v>
      </c>
      <c r="G27" s="451">
        <f t="shared" si="7"/>
        <v>164821.83077175837</v>
      </c>
      <c r="H27" s="451">
        <f t="shared" si="8"/>
        <v>26034.915534959779</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191475.76355333664</v>
      </c>
    </row>
    <row r="28" spans="1:17">
      <c r="A28" s="446" t="s">
        <v>550</v>
      </c>
      <c r="B28" s="447">
        <f t="shared" ca="1" si="2"/>
        <v>180.05535864395088</v>
      </c>
      <c r="C28" s="447">
        <f t="shared" ca="1" si="3"/>
        <v>0</v>
      </c>
      <c r="D28" s="447">
        <f t="shared" si="4"/>
        <v>0</v>
      </c>
      <c r="E28" s="447">
        <f t="shared" si="5"/>
        <v>0</v>
      </c>
      <c r="F28" s="447">
        <f t="shared" si="6"/>
        <v>0</v>
      </c>
      <c r="G28" s="447">
        <f t="shared" si="7"/>
        <v>6438.1588164969717</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6618.2141751409226</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1866.3711121530832</v>
      </c>
      <c r="C32" s="447">
        <f t="shared" ca="1" si="3"/>
        <v>0</v>
      </c>
      <c r="D32" s="447">
        <f t="shared" si="4"/>
        <v>6697.3639035986971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8563.7350157517794</v>
      </c>
    </row>
    <row r="33" spans="1:17" s="459" customFormat="1">
      <c r="A33" s="456" t="s">
        <v>554</v>
      </c>
      <c r="B33" s="457">
        <f ca="1">SUM(B22:B32)</f>
        <v>126192.03053820803</v>
      </c>
      <c r="C33" s="457">
        <f t="shared" ref="C33:Q33" ca="1" si="18">SUM(C22:C32)</f>
        <v>13.512809699525569</v>
      </c>
      <c r="D33" s="457">
        <f t="shared" ca="1" si="18"/>
        <v>250980.00002254214</v>
      </c>
      <c r="E33" s="457">
        <f t="shared" si="18"/>
        <v>2967.8192263696737</v>
      </c>
      <c r="F33" s="457">
        <f t="shared" ca="1" si="18"/>
        <v>79463.365900541758</v>
      </c>
      <c r="G33" s="457">
        <f t="shared" si="18"/>
        <v>171259.98958825532</v>
      </c>
      <c r="H33" s="457">
        <f t="shared" si="18"/>
        <v>26034.915534959779</v>
      </c>
      <c r="I33" s="457">
        <f t="shared" si="18"/>
        <v>0</v>
      </c>
      <c r="J33" s="457">
        <f t="shared" si="18"/>
        <v>1578.5667836151329</v>
      </c>
      <c r="K33" s="457">
        <f t="shared" si="18"/>
        <v>0</v>
      </c>
      <c r="L33" s="457">
        <f t="shared" ca="1" si="18"/>
        <v>0</v>
      </c>
      <c r="M33" s="457">
        <f t="shared" si="18"/>
        <v>0</v>
      </c>
      <c r="N33" s="457">
        <f t="shared" ca="1" si="18"/>
        <v>0</v>
      </c>
      <c r="O33" s="457">
        <f t="shared" si="18"/>
        <v>0</v>
      </c>
      <c r="P33" s="457">
        <f t="shared" si="18"/>
        <v>0</v>
      </c>
      <c r="Q33" s="457">
        <f t="shared" ca="1" si="18"/>
        <v>658490.20040419139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61252.301403525344</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25205.972370209252</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29.25</v>
      </c>
      <c r="D8" s="977">
        <f>'SEAP template'!D76</f>
        <v>33.819188191881921</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6.8314760147601481</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86458.273773734603</v>
      </c>
      <c r="C10" s="981">
        <f>SUM(C4:C9)</f>
        <v>29.25</v>
      </c>
      <c r="D10" s="981">
        <f t="shared" ref="D10:H10" si="0">SUM(D8:D9)</f>
        <v>33.819188191881921</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6.8314760147601481</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0.19193834724704623</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57.857142857142861</v>
      </c>
      <c r="D17" s="978">
        <f>'SEAP template'!D87</f>
        <v>66.895097522403802</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13.512809699525569</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57.857142857142861</v>
      </c>
      <c r="D20" s="981">
        <f t="shared" ref="D20:H20" si="2">SUM(D17:D19)</f>
        <v>66.895097522403802</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13.512809699525569</v>
      </c>
    </row>
    <row r="22" spans="1:16">
      <c r="A22" s="460" t="s">
        <v>867</v>
      </c>
      <c r="B22" s="729" t="s">
        <v>861</v>
      </c>
      <c r="C22" s="729">
        <f ca="1">'EF ele_warmte'!B22</f>
        <v>0.23355473554735551</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0.19193834724704623</v>
      </c>
      <c r="C17" s="496">
        <f ca="1">'EF ele_warmte'!B22</f>
        <v>0.23355473554735551</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3</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4.6900000000000004</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1</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19.066666666666666</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2022-07-26T12:27:33Z</dcterms:modified>
</cp:coreProperties>
</file>