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F1AE9C2-80F9-4CB1-ADB9-191026128F0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F16" i="16" s="1"/>
  <c r="R38" i="18"/>
  <c r="Q38" i="18"/>
  <c r="P38" i="18"/>
  <c r="O38" i="18"/>
  <c r="C16" i="16" s="1"/>
  <c r="C18" i="16" s="1"/>
  <c r="D13" i="14" s="1"/>
  <c r="N38" i="18"/>
  <c r="M38" i="18"/>
  <c r="W37" i="18"/>
  <c r="V37" i="18"/>
  <c r="U37" i="18"/>
  <c r="T37" i="18"/>
  <c r="S37" i="18"/>
  <c r="R37" i="18"/>
  <c r="Q37" i="18"/>
  <c r="P37" i="18"/>
  <c r="O37" i="18"/>
  <c r="B19" i="18" s="1"/>
  <c r="N37" i="18"/>
  <c r="M37" i="18"/>
  <c r="W33" i="18"/>
  <c r="V33" i="18"/>
  <c r="N6" i="17" s="1"/>
  <c r="N5" i="17" s="1"/>
  <c r="N8" i="17" s="1"/>
  <c r="U33" i="18"/>
  <c r="T33" i="18"/>
  <c r="L6" i="17" s="1"/>
  <c r="L5" i="17" s="1"/>
  <c r="S33" i="18"/>
  <c r="F6" i="17" s="1"/>
  <c r="F8" i="17" s="1"/>
  <c r="G24" i="14" s="1"/>
  <c r="G26" i="14" s="1"/>
  <c r="R33" i="18"/>
  <c r="Q33" i="18"/>
  <c r="P33" i="18"/>
  <c r="D6" i="17" s="1"/>
  <c r="D8" i="17" s="1"/>
  <c r="D12" i="17" s="1"/>
  <c r="O33" i="18"/>
  <c r="N33" i="18"/>
  <c r="M33" i="18"/>
  <c r="W32" i="18"/>
  <c r="V32" i="18"/>
  <c r="U32" i="18"/>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J18" i="18"/>
  <c r="J88" i="14"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B37" i="16"/>
  <c r="C37" i="16"/>
  <c r="F15" i="16" s="1"/>
  <c r="B36" i="16"/>
  <c r="C36" i="16" s="1"/>
  <c r="B35" i="16"/>
  <c r="B34" i="16"/>
  <c r="B33" i="16"/>
  <c r="C33" i="16" s="1"/>
  <c r="J11" i="16" s="1"/>
  <c r="F11" i="16"/>
  <c r="B32" i="16"/>
  <c r="C32" i="16"/>
  <c r="J10" i="16" s="1"/>
  <c r="B31" i="16"/>
  <c r="C31" i="16" s="1"/>
  <c r="F9" i="16" s="1"/>
  <c r="B30" i="16"/>
  <c r="C30" i="16"/>
  <c r="N8" i="16" s="1"/>
  <c r="B29" i="16"/>
  <c r="C29"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N9" i="59" s="1"/>
  <c r="L10" i="18"/>
  <c r="O77" i="14"/>
  <c r="H16" i="14"/>
  <c r="B8" i="9"/>
  <c r="B6" i="48" s="1"/>
  <c r="Q6" i="48" s="1"/>
  <c r="L16" i="16"/>
  <c r="L18" i="16" s="1"/>
  <c r="L8" i="48" s="1"/>
  <c r="M13" i="14"/>
  <c r="I14" i="15"/>
  <c r="I16" i="15"/>
  <c r="J10" i="14" s="1"/>
  <c r="J16" i="14" s="1"/>
  <c r="J27" i="14" s="1"/>
  <c r="B13" i="16"/>
  <c r="C35" i="16"/>
  <c r="E54" i="14"/>
  <c r="E9" i="14"/>
  <c r="D14" i="15"/>
  <c r="P18" i="16"/>
  <c r="P22" i="16"/>
  <c r="Q43" i="14" s="1"/>
  <c r="J8" i="17"/>
  <c r="N16" i="16"/>
  <c r="N13" i="15"/>
  <c r="F13" i="15"/>
  <c r="D13" i="15"/>
  <c r="B67" i="22"/>
  <c r="M11" i="22"/>
  <c r="G10" i="22"/>
  <c r="M9" i="22"/>
  <c r="M5" i="22" s="1"/>
  <c r="G8" i="22"/>
  <c r="M7" i="22"/>
  <c r="G6" i="22"/>
  <c r="G11" i="22"/>
  <c r="M8" i="22"/>
  <c r="G7" i="22"/>
  <c r="M10" i="22"/>
  <c r="G9" i="22"/>
  <c r="G5" i="22" s="1"/>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E8" i="16"/>
  <c r="F18" i="14"/>
  <c r="E13" i="48"/>
  <c r="E31" i="48"/>
  <c r="K20" i="15"/>
  <c r="L40"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16" i="15"/>
  <c r="P10" i="14" s="1"/>
  <c r="M20" i="15"/>
  <c r="N40" i="14" s="1"/>
  <c r="N10" i="14"/>
  <c r="N16" i="14" s="1"/>
  <c r="G20" i="15"/>
  <c r="H40" i="14" s="1"/>
  <c r="H46" i="14" s="1"/>
  <c r="H20" i="15"/>
  <c r="I40" i="14" s="1"/>
  <c r="I46" i="14" s="1"/>
  <c r="I10" i="14"/>
  <c r="I16" i="14" s="1"/>
  <c r="B74" i="14"/>
  <c r="B6" i="59" s="1"/>
  <c r="F8" i="16"/>
  <c r="J9" i="16"/>
  <c r="B7" i="48"/>
  <c r="C26" i="14"/>
  <c r="B73" i="14"/>
  <c r="B5" i="59"/>
  <c r="F6" i="15"/>
  <c r="F8" i="15"/>
  <c r="N10" i="16"/>
  <c r="E14" i="16"/>
  <c r="B8" i="15"/>
  <c r="J8" i="15"/>
  <c r="F12" i="15"/>
  <c r="I20" i="15"/>
  <c r="J40" i="14"/>
  <c r="B9" i="16"/>
  <c r="N9" i="16"/>
  <c r="B10" i="15"/>
  <c r="E9" i="16"/>
  <c r="B6" i="15"/>
  <c r="J10" i="15"/>
  <c r="D5" i="16"/>
  <c r="D18" i="16" s="1"/>
  <c r="F10" i="16"/>
  <c r="B15" i="16"/>
  <c r="J6" i="15"/>
  <c r="F10" i="15"/>
  <c r="B12" i="15"/>
  <c r="J12" i="15"/>
  <c r="B7" i="16"/>
  <c r="E10" i="16"/>
  <c r="N14" i="16"/>
  <c r="N11" i="16"/>
  <c r="N6" i="15"/>
  <c r="N10" i="15"/>
  <c r="B8" i="16"/>
  <c r="J8" i="16"/>
  <c r="B10" i="16"/>
  <c r="E11" i="16"/>
  <c r="B14" i="16"/>
  <c r="E15" i="16"/>
  <c r="N15" i="16"/>
  <c r="Q13" i="14"/>
  <c r="E11" i="48"/>
  <c r="E29" i="48"/>
  <c r="F9" i="14"/>
  <c r="D9" i="14"/>
  <c r="E19" i="19"/>
  <c r="F39" i="14"/>
  <c r="C11" i="48"/>
  <c r="D19" i="19"/>
  <c r="E39" i="14"/>
  <c r="C9" i="14"/>
  <c r="B11" i="48"/>
  <c r="E14" i="22"/>
  <c r="D5" i="22"/>
  <c r="D14" i="22" s="1"/>
  <c r="D9" i="48" s="1"/>
  <c r="B14" i="22"/>
  <c r="C20" i="14" s="1"/>
  <c r="P11" i="48"/>
  <c r="P29" i="48"/>
  <c r="H5" i="48"/>
  <c r="O11" i="48"/>
  <c r="P9" i="14"/>
  <c r="M5" i="48"/>
  <c r="G29" i="48"/>
  <c r="C11" i="14"/>
  <c r="B4" i="48"/>
  <c r="E30" i="48"/>
  <c r="I31" i="48"/>
  <c r="I27" i="48"/>
  <c r="I30" i="48"/>
  <c r="K27" i="48"/>
  <c r="O30" i="48"/>
  <c r="K22" i="48"/>
  <c r="G22" i="48"/>
  <c r="M17" i="48"/>
  <c r="K30" i="48"/>
  <c r="F5" i="13"/>
  <c r="F8" i="13" s="1"/>
  <c r="F12" i="13" s="1"/>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C8" i="17"/>
  <c r="G25" i="48"/>
  <c r="I25" i="48"/>
  <c r="D88" i="14"/>
  <c r="H88" i="14"/>
  <c r="H90" i="14" s="1"/>
  <c r="F88" i="14"/>
  <c r="F18" i="59" s="1"/>
  <c r="L20" i="18"/>
  <c r="G77" i="14"/>
  <c r="O90" i="14"/>
  <c r="F20" i="18"/>
  <c r="D11" i="14"/>
  <c r="C4" i="48"/>
  <c r="N46" i="14"/>
  <c r="G51" i="22"/>
  <c r="G50" i="22" s="1"/>
  <c r="G54" i="22" s="1"/>
  <c r="M51" i="22"/>
  <c r="M50" i="22" s="1"/>
  <c r="M54" i="22"/>
  <c r="M10" i="48" s="1"/>
  <c r="I5" i="48"/>
  <c r="K33" i="48"/>
  <c r="M24" i="48"/>
  <c r="M32" i="48"/>
  <c r="K15" i="48"/>
  <c r="H78" i="14"/>
  <c r="H9" i="59"/>
  <c r="H10" i="59"/>
  <c r="N78" i="14"/>
  <c r="G78" i="14"/>
  <c r="G9" i="59"/>
  <c r="G10" i="59"/>
  <c r="H18" i="59"/>
  <c r="O78" i="14"/>
  <c r="O9" i="59"/>
  <c r="O10" i="59"/>
  <c r="P22" i="48"/>
  <c r="L26" i="48"/>
  <c r="L22" i="16"/>
  <c r="M43" i="14"/>
  <c r="D10" i="14"/>
  <c r="J46" i="14"/>
  <c r="J61" i="14" s="1"/>
  <c r="J63" i="14" s="1"/>
  <c r="L46" i="14"/>
  <c r="L61" i="14" s="1"/>
  <c r="L16" i="14"/>
  <c r="L27" i="14" s="1"/>
  <c r="P8" i="48"/>
  <c r="P26" i="48" s="1"/>
  <c r="G31" i="20"/>
  <c r="H48" i="14"/>
  <c r="G12" i="22"/>
  <c r="D16" i="15"/>
  <c r="D5" i="48" s="1"/>
  <c r="E8" i="17"/>
  <c r="E12" i="17" s="1"/>
  <c r="F54" i="14" s="1"/>
  <c r="O18" i="16"/>
  <c r="N5" i="13"/>
  <c r="N8" i="13"/>
  <c r="H13" i="48"/>
  <c r="H31" i="48"/>
  <c r="H12" i="22"/>
  <c r="E5" i="13"/>
  <c r="E8" i="13" s="1"/>
  <c r="E4" i="48" s="1"/>
  <c r="L8" i="17"/>
  <c r="E24" i="14"/>
  <c r="E26" i="14" s="1"/>
  <c r="B9" i="48"/>
  <c r="E49" i="18"/>
  <c r="E8" i="18" s="1"/>
  <c r="F7" i="48"/>
  <c r="F25" i="48"/>
  <c r="D49" i="18"/>
  <c r="M29" i="48"/>
  <c r="F12" i="17"/>
  <c r="G54" i="14"/>
  <c r="G56" i="14" s="1"/>
  <c r="C50" i="18"/>
  <c r="C49" i="18"/>
  <c r="E50" i="18"/>
  <c r="E17" i="18"/>
  <c r="F87" i="14" s="1"/>
  <c r="G50" i="18"/>
  <c r="D7" i="48"/>
  <c r="D25" i="48"/>
  <c r="H49" i="18"/>
  <c r="G49" i="18"/>
  <c r="D50" i="18"/>
  <c r="L28" i="48"/>
  <c r="H50" i="18"/>
  <c r="I50" i="18"/>
  <c r="H17" i="18" s="1"/>
  <c r="F50" i="18"/>
  <c r="I17" i="18" s="1"/>
  <c r="F49" i="18"/>
  <c r="B49" i="18"/>
  <c r="L31" i="48"/>
  <c r="L24" i="48"/>
  <c r="L22" i="48"/>
  <c r="M22" i="48"/>
  <c r="I18" i="14"/>
  <c r="D27" i="48"/>
  <c r="F20" i="14"/>
  <c r="F22" i="14" s="1"/>
  <c r="L30" i="48"/>
  <c r="B20" i="18"/>
  <c r="L29" i="48"/>
  <c r="M31" i="20"/>
  <c r="N48" i="14"/>
  <c r="N18" i="14"/>
  <c r="M13" i="48"/>
  <c r="M31" i="48"/>
  <c r="H31" i="20"/>
  <c r="I48" i="14"/>
  <c r="G13" i="48"/>
  <c r="G31" i="48"/>
  <c r="H18" i="14"/>
  <c r="M14" i="22"/>
  <c r="H5" i="22"/>
  <c r="O20" i="15"/>
  <c r="P40" i="14" s="1"/>
  <c r="P20" i="15"/>
  <c r="Q40" i="14" s="1"/>
  <c r="Q46" i="14"/>
  <c r="Q61" i="14" s="1"/>
  <c r="Q10" i="14"/>
  <c r="F4" i="48"/>
  <c r="F22" i="48" s="1"/>
  <c r="G41" i="14"/>
  <c r="P5" i="48"/>
  <c r="P23" i="48" s="1"/>
  <c r="P33" i="48" s="1"/>
  <c r="F13" i="16"/>
  <c r="E13" i="16"/>
  <c r="N13" i="16"/>
  <c r="J13" i="16"/>
  <c r="Q11" i="48"/>
  <c r="O5" i="48"/>
  <c r="O23" i="48" s="1"/>
  <c r="R9" i="14"/>
  <c r="O29" i="48"/>
  <c r="H23" i="48"/>
  <c r="L27" i="48"/>
  <c r="M30" i="48"/>
  <c r="M26" i="48"/>
  <c r="M25" i="48"/>
  <c r="J5" i="13"/>
  <c r="J8" i="13" s="1"/>
  <c r="C5" i="48"/>
  <c r="H14" i="22"/>
  <c r="G14" i="22"/>
  <c r="P15" i="48"/>
  <c r="P13" i="14"/>
  <c r="F56" i="14"/>
  <c r="E7" i="48"/>
  <c r="E25" i="48" s="1"/>
  <c r="M28" i="48"/>
  <c r="I8" i="18"/>
  <c r="C8" i="18"/>
  <c r="D76" i="14" s="1"/>
  <c r="D16" i="14"/>
  <c r="L7" i="48"/>
  <c r="L25" i="48" s="1"/>
  <c r="M58" i="22"/>
  <c r="N49" i="14"/>
  <c r="N19" i="14"/>
  <c r="D18" i="22"/>
  <c r="E50" i="14" s="1"/>
  <c r="E52" i="14"/>
  <c r="J8" i="18"/>
  <c r="J76" i="14" s="1"/>
  <c r="J17" i="18"/>
  <c r="M87" i="14"/>
  <c r="M17" i="59"/>
  <c r="E20" i="14"/>
  <c r="E22" i="14" s="1"/>
  <c r="E18" i="22"/>
  <c r="F50" i="14" s="1"/>
  <c r="F52" i="14" s="1"/>
  <c r="E9" i="48"/>
  <c r="R18" i="14"/>
  <c r="Q13" i="48"/>
  <c r="I20" i="14"/>
  <c r="I22" i="14" s="1"/>
  <c r="I27" i="14" s="1"/>
  <c r="M9" i="48"/>
  <c r="M27" i="48" s="1"/>
  <c r="N12" i="13"/>
  <c r="O41" i="14" s="1"/>
  <c r="E22" i="48"/>
  <c r="F11" i="14"/>
  <c r="E27" i="48"/>
  <c r="J87" i="14"/>
  <c r="H20" i="14"/>
  <c r="H18" i="22"/>
  <c r="I50" i="14"/>
  <c r="H9" i="48"/>
  <c r="H15" i="48"/>
  <c r="I52" i="14"/>
  <c r="I61" i="14" s="1"/>
  <c r="I63" i="14" s="1"/>
  <c r="H27" i="48"/>
  <c r="H33" i="48"/>
  <c r="E56" i="14"/>
  <c r="D23" i="48" l="1"/>
  <c r="N52" i="14"/>
  <c r="N61" i="14" s="1"/>
  <c r="G9" i="48"/>
  <c r="G18" i="22"/>
  <c r="H50" i="14" s="1"/>
  <c r="N4" i="48"/>
  <c r="O11" i="14"/>
  <c r="M15" i="48"/>
  <c r="M23" i="48"/>
  <c r="M33" i="48" s="1"/>
  <c r="H19" i="14"/>
  <c r="H22" i="14" s="1"/>
  <c r="H27" i="14" s="1"/>
  <c r="G10" i="48"/>
  <c r="G28" i="48" s="1"/>
  <c r="G58" i="22"/>
  <c r="H49" i="14" s="1"/>
  <c r="J12" i="17"/>
  <c r="K54" i="14" s="1"/>
  <c r="K56" i="14" s="1"/>
  <c r="J7" i="48"/>
  <c r="J25" i="48" s="1"/>
  <c r="K24" i="14"/>
  <c r="K26" i="14" s="1"/>
  <c r="J8" i="59"/>
  <c r="N20" i="14"/>
  <c r="N22" i="14" s="1"/>
  <c r="N27" i="14" s="1"/>
  <c r="M18" i="22"/>
  <c r="N50" i="14" s="1"/>
  <c r="Q9" i="48"/>
  <c r="E7" i="16"/>
  <c r="F7" i="16"/>
  <c r="N7" i="16"/>
  <c r="B12" i="16"/>
  <c r="C34" i="16"/>
  <c r="F17" i="59"/>
  <c r="D8" i="48"/>
  <c r="D26" i="48" s="1"/>
  <c r="D22" i="16"/>
  <c r="E43" i="14" s="1"/>
  <c r="J17" i="59"/>
  <c r="L12" i="17"/>
  <c r="M54" i="14" s="1"/>
  <c r="M56" i="14" s="1"/>
  <c r="M24" i="14"/>
  <c r="M26" i="14" s="1"/>
  <c r="O22" i="16"/>
  <c r="P43" i="14" s="1"/>
  <c r="O8" i="48"/>
  <c r="O26" i="48" s="1"/>
  <c r="I23" i="48"/>
  <c r="I33" i="48" s="1"/>
  <c r="I15" i="48"/>
  <c r="D24" i="14"/>
  <c r="C7" i="48"/>
  <c r="J7" i="16"/>
  <c r="B5" i="16"/>
  <c r="B18" i="16" s="1"/>
  <c r="M76" i="14"/>
  <c r="N12" i="17"/>
  <c r="O54" i="14" s="1"/>
  <c r="O56" i="14" s="1"/>
  <c r="N7" i="48"/>
  <c r="N25" i="48" s="1"/>
  <c r="O24" i="14"/>
  <c r="O26" i="14" s="1"/>
  <c r="I76" i="14"/>
  <c r="D20" i="15"/>
  <c r="E40" i="14" s="1"/>
  <c r="E46" i="14" s="1"/>
  <c r="E61" i="14" s="1"/>
  <c r="E10" i="14"/>
  <c r="D8" i="59"/>
  <c r="E13" i="14"/>
  <c r="J12" i="13"/>
  <c r="K41" i="14" s="1"/>
  <c r="J4" i="48"/>
  <c r="K11" i="14"/>
  <c r="Q16" i="14"/>
  <c r="Q27" i="14" s="1"/>
  <c r="Q63" i="14" s="1"/>
  <c r="I87" i="14"/>
  <c r="F76" i="14"/>
  <c r="O8" i="18"/>
  <c r="N18" i="59"/>
  <c r="N20" i="59" s="1"/>
  <c r="C88" i="14"/>
  <c r="C18" i="59" s="1"/>
  <c r="E12" i="13"/>
  <c r="F41" i="14" s="1"/>
  <c r="F24" i="14"/>
  <c r="F26" i="14" s="1"/>
  <c r="L63" i="14"/>
  <c r="D18" i="59"/>
  <c r="Q88" i="14"/>
  <c r="P18" i="59" s="1"/>
  <c r="G11" i="14"/>
  <c r="R11" i="14" s="1"/>
  <c r="C8" i="48"/>
  <c r="N8" i="15"/>
  <c r="E8" i="15"/>
  <c r="G18" i="59"/>
  <c r="G20" i="59" s="1"/>
  <c r="G90" i="14"/>
  <c r="E76" i="14"/>
  <c r="C76" i="14" s="1"/>
  <c r="J11" i="15"/>
  <c r="E11" i="15"/>
  <c r="N11" i="15"/>
  <c r="J14" i="16"/>
  <c r="F14" i="16"/>
  <c r="N89" i="14"/>
  <c r="N19" i="59" s="1"/>
  <c r="K20" i="18"/>
  <c r="P11" i="14"/>
  <c r="P16" i="14" s="1"/>
  <c r="P27" i="14" s="1"/>
  <c r="O12" i="13"/>
  <c r="P41" i="14" s="1"/>
  <c r="P46" i="14" s="1"/>
  <c r="P61" i="14" s="1"/>
  <c r="P63" i="14" s="1"/>
  <c r="O4" i="48"/>
  <c r="C29" i="15"/>
  <c r="B9" i="15"/>
  <c r="B5" i="15" s="1"/>
  <c r="B16" i="15" s="1"/>
  <c r="J18" i="59"/>
  <c r="B88" i="14"/>
  <c r="B18" i="59" s="1"/>
  <c r="C19" i="14"/>
  <c r="B10" i="48"/>
  <c r="K8" i="59"/>
  <c r="K10" i="59" s="1"/>
  <c r="K78" i="14"/>
  <c r="L18" i="59"/>
  <c r="L90" i="14"/>
  <c r="L13" i="15"/>
  <c r="L16" i="15" s="1"/>
  <c r="C55" i="18"/>
  <c r="B9" i="18"/>
  <c r="K20" i="59"/>
  <c r="L20" i="59"/>
  <c r="N10" i="59"/>
  <c r="J7" i="15"/>
  <c r="E7" i="15"/>
  <c r="N12" i="15"/>
  <c r="E12" i="15"/>
  <c r="J50" i="18"/>
  <c r="D17" i="18" s="1"/>
  <c r="B50" i="18"/>
  <c r="C17" i="18" s="1"/>
  <c r="B33" i="13"/>
  <c r="B55" i="18"/>
  <c r="C8" i="59" l="1"/>
  <c r="J5" i="15"/>
  <c r="J16" i="15" s="1"/>
  <c r="E87" i="14"/>
  <c r="Q10" i="48"/>
  <c r="C10" i="14"/>
  <c r="B5" i="48"/>
  <c r="I8" i="59"/>
  <c r="B76" i="14"/>
  <c r="C13" i="14"/>
  <c r="B8" i="48"/>
  <c r="Q7" i="48"/>
  <c r="N12" i="16"/>
  <c r="F12" i="16"/>
  <c r="E12" i="16"/>
  <c r="E5" i="16" s="1"/>
  <c r="E18" i="16" s="1"/>
  <c r="J12" i="16"/>
  <c r="N63" i="14"/>
  <c r="D59" i="18"/>
  <c r="G59" i="18"/>
  <c r="I59" i="18"/>
  <c r="H19" i="18" s="1"/>
  <c r="B59" i="18"/>
  <c r="C19" i="18" s="1"/>
  <c r="E59" i="18"/>
  <c r="E19" i="18" s="1"/>
  <c r="H59" i="18"/>
  <c r="J59" i="18"/>
  <c r="D19" i="18" s="1"/>
  <c r="E89" i="14" s="1"/>
  <c r="E19" i="59" s="1"/>
  <c r="C59" i="18"/>
  <c r="F59" i="18"/>
  <c r="B10" i="18"/>
  <c r="R19" i="14"/>
  <c r="R22" i="14" s="1"/>
  <c r="C22" i="14"/>
  <c r="J9" i="15"/>
  <c r="N9" i="15"/>
  <c r="N5" i="15" s="1"/>
  <c r="N16" i="15" s="1"/>
  <c r="F9" i="15"/>
  <c r="F5" i="15" s="1"/>
  <c r="F16" i="15" s="1"/>
  <c r="E9" i="15"/>
  <c r="N90" i="14"/>
  <c r="F8" i="59"/>
  <c r="E16" i="14"/>
  <c r="E27" i="14" s="1"/>
  <c r="D26" i="14"/>
  <c r="D27" i="14" s="1"/>
  <c r="B20" i="6" s="1"/>
  <c r="R24" i="14"/>
  <c r="R26" i="14" s="1"/>
  <c r="N22" i="48"/>
  <c r="D33" i="48"/>
  <c r="D58" i="18"/>
  <c r="H58" i="18"/>
  <c r="E58" i="18"/>
  <c r="E9" i="18" s="1"/>
  <c r="I58" i="18"/>
  <c r="H9" i="18" s="1"/>
  <c r="F58" i="18"/>
  <c r="J58" i="18"/>
  <c r="D9" i="18" s="1"/>
  <c r="B58" i="18"/>
  <c r="C9" i="18" s="1"/>
  <c r="C58" i="18"/>
  <c r="G58" i="18"/>
  <c r="I9" i="18" s="1"/>
  <c r="O22" i="48"/>
  <c r="O33" i="48" s="1"/>
  <c r="O15" i="48"/>
  <c r="E8" i="59"/>
  <c r="Q76" i="14"/>
  <c r="J22" i="48"/>
  <c r="Q4" i="48"/>
  <c r="E63" i="14"/>
  <c r="M8" i="59"/>
  <c r="J5" i="16"/>
  <c r="J18" i="16" s="1"/>
  <c r="C15" i="48"/>
  <c r="N5" i="16"/>
  <c r="N18" i="16" s="1"/>
  <c r="D15" i="48"/>
  <c r="C20" i="18"/>
  <c r="O17" i="18"/>
  <c r="D87" i="14"/>
  <c r="E5" i="15"/>
  <c r="E16" i="15" s="1"/>
  <c r="M10" i="14"/>
  <c r="M16" i="14" s="1"/>
  <c r="M27" i="14" s="1"/>
  <c r="L20" i="15"/>
  <c r="M40" i="14" s="1"/>
  <c r="M46" i="14" s="1"/>
  <c r="M61" i="14" s="1"/>
  <c r="M63" i="14" s="1"/>
  <c r="L5" i="48"/>
  <c r="I17" i="59"/>
  <c r="B87" i="14"/>
  <c r="F5" i="16"/>
  <c r="F18" i="16" s="1"/>
  <c r="R20" i="14"/>
  <c r="H52" i="14"/>
  <c r="H61" i="14" s="1"/>
  <c r="H63" i="14" s="1"/>
  <c r="G15" i="48"/>
  <c r="G27" i="48"/>
  <c r="G33" i="48" s="1"/>
  <c r="O10" i="14" l="1"/>
  <c r="N20" i="15"/>
  <c r="O40" i="14" s="1"/>
  <c r="N5" i="48"/>
  <c r="F13" i="14"/>
  <c r="R13" i="14" s="1"/>
  <c r="E22" i="16"/>
  <c r="F43" i="14" s="1"/>
  <c r="E8" i="48"/>
  <c r="E26" i="48" s="1"/>
  <c r="F10" i="14"/>
  <c r="E5" i="48"/>
  <c r="E20" i="15"/>
  <c r="F40" i="14" s="1"/>
  <c r="F46" i="14" s="1"/>
  <c r="F61" i="14" s="1"/>
  <c r="F5" i="48"/>
  <c r="G10" i="14"/>
  <c r="G16" i="14" s="1"/>
  <c r="G27" i="14" s="1"/>
  <c r="F20" i="15"/>
  <c r="G40" i="14" s="1"/>
  <c r="J5" i="48"/>
  <c r="K10" i="14"/>
  <c r="J20" i="15"/>
  <c r="K40" i="14" s="1"/>
  <c r="K46" i="14" s="1"/>
  <c r="K61" i="14" s="1"/>
  <c r="B17" i="59"/>
  <c r="L15" i="48"/>
  <c r="L23" i="48"/>
  <c r="L33" i="48" s="1"/>
  <c r="Q87" i="14"/>
  <c r="C87" i="14"/>
  <c r="D17" i="59"/>
  <c r="N8" i="48"/>
  <c r="N26" i="48" s="1"/>
  <c r="N22" i="16"/>
  <c r="O43" i="14" s="1"/>
  <c r="O13" i="14"/>
  <c r="D77" i="14"/>
  <c r="C10" i="18"/>
  <c r="F77" i="14"/>
  <c r="E10" i="18"/>
  <c r="D89" i="14"/>
  <c r="B8" i="59"/>
  <c r="M77" i="14"/>
  <c r="H10" i="18"/>
  <c r="P8" i="59"/>
  <c r="E77" i="14"/>
  <c r="D10" i="18"/>
  <c r="J9" i="18"/>
  <c r="O9" i="18" s="1"/>
  <c r="O10" i="18" s="1"/>
  <c r="M89" i="14"/>
  <c r="H20" i="18"/>
  <c r="B15" i="48"/>
  <c r="Q5" i="48"/>
  <c r="D20" i="18"/>
  <c r="F89" i="14"/>
  <c r="E20" i="18"/>
  <c r="G13" i="14"/>
  <c r="F8" i="48"/>
  <c r="F26" i="48" s="1"/>
  <c r="F22" i="16"/>
  <c r="G43" i="14" s="1"/>
  <c r="K13" i="14"/>
  <c r="J8" i="48"/>
  <c r="J26" i="48" s="1"/>
  <c r="J22" i="16"/>
  <c r="K43" i="14" s="1"/>
  <c r="I77" i="14"/>
  <c r="I10" i="18"/>
  <c r="J19" i="18"/>
  <c r="I19" i="18"/>
  <c r="C16" i="14"/>
  <c r="C27" i="14" s="1"/>
  <c r="B3" i="6" s="1"/>
  <c r="E17" i="59"/>
  <c r="E20" i="59" s="1"/>
  <c r="E90" i="14"/>
  <c r="J89" i="14" l="1"/>
  <c r="J20" i="18"/>
  <c r="F19" i="59"/>
  <c r="F20" i="59" s="1"/>
  <c r="F90" i="14"/>
  <c r="E23" i="48"/>
  <c r="E33" i="48" s="1"/>
  <c r="E15" i="48"/>
  <c r="E9" i="59"/>
  <c r="E10" i="59" s="1"/>
  <c r="E78" i="14"/>
  <c r="M9" i="59"/>
  <c r="M10" i="59" s="1"/>
  <c r="M78" i="14"/>
  <c r="D19" i="59"/>
  <c r="D20" i="59" s="1"/>
  <c r="Q89" i="14"/>
  <c r="P19" i="59" s="1"/>
  <c r="D9" i="59"/>
  <c r="D10" i="59" s="1"/>
  <c r="Q77" i="14"/>
  <c r="D78" i="14"/>
  <c r="C17" i="59"/>
  <c r="K16" i="14"/>
  <c r="K27" i="14" s="1"/>
  <c r="F23" i="48"/>
  <c r="F33" i="48" s="1"/>
  <c r="F15" i="48"/>
  <c r="F16" i="14"/>
  <c r="F27" i="14" s="1"/>
  <c r="N23" i="48"/>
  <c r="N33" i="48" s="1"/>
  <c r="N15" i="48"/>
  <c r="O19" i="18"/>
  <c r="O20" i="18" s="1"/>
  <c r="K63" i="14"/>
  <c r="R10" i="14"/>
  <c r="R16" i="14" s="1"/>
  <c r="R27" i="14" s="1"/>
  <c r="Q8" i="48"/>
  <c r="Q15" i="48" s="1"/>
  <c r="D90" i="14"/>
  <c r="J23" i="48"/>
  <c r="J33" i="48" s="1"/>
  <c r="J15" i="48"/>
  <c r="O46" i="14"/>
  <c r="O61" i="14" s="1"/>
  <c r="M19" i="59"/>
  <c r="M20" i="59" s="1"/>
  <c r="M90" i="14"/>
  <c r="I89" i="14"/>
  <c r="C89" i="14" s="1"/>
  <c r="I20" i="18"/>
  <c r="I9" i="59"/>
  <c r="I10" i="59" s="1"/>
  <c r="I78" i="14"/>
  <c r="J77" i="14"/>
  <c r="J10" i="18"/>
  <c r="F9" i="59"/>
  <c r="F10" i="59" s="1"/>
  <c r="F78" i="14"/>
  <c r="P17" i="59"/>
  <c r="P20" i="59" s="1"/>
  <c r="Q90" i="14"/>
  <c r="B17" i="6" s="1"/>
  <c r="B22" i="6" s="1"/>
  <c r="G46" i="14"/>
  <c r="G61" i="14" s="1"/>
  <c r="G63" i="14" s="1"/>
  <c r="F63" i="14"/>
  <c r="O16" i="14"/>
  <c r="O27" i="14" s="1"/>
  <c r="C19" i="59" l="1"/>
  <c r="C90" i="14"/>
  <c r="P9" i="59"/>
  <c r="P10" i="59" s="1"/>
  <c r="Q78" i="14"/>
  <c r="B9" i="6" s="1"/>
  <c r="C20" i="59"/>
  <c r="J9" i="59"/>
  <c r="J10" i="59" s="1"/>
  <c r="J78" i="14"/>
  <c r="O63" i="14"/>
  <c r="C77" i="14"/>
  <c r="C29" i="20"/>
  <c r="C16" i="22"/>
  <c r="C10" i="17"/>
  <c r="C12" i="17" s="1"/>
  <c r="D54" i="14" s="1"/>
  <c r="D56" i="14" s="1"/>
  <c r="C17" i="49"/>
  <c r="C17" i="19"/>
  <c r="C19" i="19" s="1"/>
  <c r="D39" i="14" s="1"/>
  <c r="C56" i="22"/>
  <c r="C58" i="22" s="1"/>
  <c r="D49" i="14" s="1"/>
  <c r="D52" i="14" s="1"/>
  <c r="C20" i="16"/>
  <c r="C22" i="16" s="1"/>
  <c r="D43" i="14" s="1"/>
  <c r="C10" i="13"/>
  <c r="C18" i="15"/>
  <c r="C20" i="15" s="1"/>
  <c r="D40" i="14" s="1"/>
  <c r="C22" i="59"/>
  <c r="B77" i="14"/>
  <c r="I19" i="59"/>
  <c r="I20" i="59" s="1"/>
  <c r="B89" i="14"/>
  <c r="I90" i="14"/>
  <c r="J19" i="59"/>
  <c r="J20" i="59" s="1"/>
  <c r="J90" i="14"/>
  <c r="B19" i="59" l="1"/>
  <c r="B20" i="59" s="1"/>
  <c r="B90" i="14"/>
  <c r="B9" i="59"/>
  <c r="B10" i="59" s="1"/>
  <c r="B78" i="14"/>
  <c r="B4" i="6" s="1"/>
  <c r="B12" i="6" s="1"/>
  <c r="C17" i="48"/>
  <c r="C12" i="13"/>
  <c r="D41" i="14" s="1"/>
  <c r="D46" i="14" s="1"/>
  <c r="D61" i="14" s="1"/>
  <c r="D63" i="14" s="1"/>
  <c r="C9" i="59"/>
  <c r="C10" i="59" s="1"/>
  <c r="C78" i="14"/>
  <c r="C27" i="48" l="1"/>
  <c r="C31" i="48"/>
  <c r="C28" i="48"/>
  <c r="C30" i="48"/>
  <c r="C24" i="48"/>
  <c r="C32" i="48"/>
  <c r="C29" i="48"/>
  <c r="C22" i="48"/>
  <c r="C33" i="48" s="1"/>
  <c r="C23" i="48"/>
  <c r="C26" i="48"/>
  <c r="C25" i="48"/>
  <c r="B10" i="17"/>
  <c r="B12" i="17" s="1"/>
  <c r="C54" i="14" s="1"/>
  <c r="B17" i="19"/>
  <c r="B19" i="19" s="1"/>
  <c r="C39" i="14" s="1"/>
  <c r="B17" i="49"/>
  <c r="B19" i="49" s="1"/>
  <c r="C42" i="14" s="1"/>
  <c r="R42" i="14" s="1"/>
  <c r="B16" i="22"/>
  <c r="B18" i="22" s="1"/>
  <c r="C50" i="14" s="1"/>
  <c r="R50" i="14" s="1"/>
  <c r="B29" i="20"/>
  <c r="B31" i="20" s="1"/>
  <c r="C48" i="14" s="1"/>
  <c r="B10" i="9"/>
  <c r="B12" i="9" s="1"/>
  <c r="B20" i="16"/>
  <c r="B22" i="16" s="1"/>
  <c r="C43" i="14" s="1"/>
  <c r="R43" i="14" s="1"/>
  <c r="C55" i="14"/>
  <c r="R55" i="14" s="1"/>
  <c r="C12" i="59"/>
  <c r="B10" i="13"/>
  <c r="B56" i="22"/>
  <c r="B58" i="22" s="1"/>
  <c r="C49" i="14" s="1"/>
  <c r="R49" i="14" s="1"/>
  <c r="B18" i="15"/>
  <c r="B20" i="15" s="1"/>
  <c r="C40" i="14" s="1"/>
  <c r="R40" i="14" s="1"/>
  <c r="R54" i="14" l="1"/>
  <c r="R56" i="14" s="1"/>
  <c r="C56" i="14"/>
  <c r="R48" i="14"/>
  <c r="R52" i="14" s="1"/>
  <c r="C52" i="14"/>
  <c r="B17" i="48"/>
  <c r="B12" i="13"/>
  <c r="C41" i="14" s="1"/>
  <c r="R41" i="14" s="1"/>
  <c r="R39" i="14"/>
  <c r="R46" i="14" s="1"/>
  <c r="R61" i="14" s="1"/>
  <c r="C46" i="14" l="1"/>
  <c r="C61" i="14" s="1"/>
  <c r="C63" i="14" s="1"/>
  <c r="B29" i="48"/>
  <c r="Q29" i="48" s="1"/>
  <c r="B22" i="48"/>
  <c r="B24" i="48"/>
  <c r="Q24" i="48" s="1"/>
  <c r="B30" i="48"/>
  <c r="Q30" i="48" s="1"/>
  <c r="B32" i="48"/>
  <c r="Q32" i="48" s="1"/>
  <c r="B31" i="48"/>
  <c r="Q31" i="48" s="1"/>
  <c r="B25" i="48"/>
  <c r="Q25" i="48" s="1"/>
  <c r="B27" i="48"/>
  <c r="Q27" i="48" s="1"/>
  <c r="B28" i="48"/>
  <c r="Q28" i="48" s="1"/>
  <c r="B23" i="48"/>
  <c r="Q23"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<sst xmlns="http://schemas.openxmlformats.org/spreadsheetml/2006/main" count="2342" uniqueCount="831">
  <si>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</si>
  <si>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</si>
  <si>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</si>
  <si>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</si>
  <si>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</si>
  <si>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</si>
  <si>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</si>
  <si>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</si>
  <si>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</si>
  <si>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</si>
  <si>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</si>
  <si>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</si>
  <si>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</si>
  <si>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</si>
  <si>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</si>
  <si>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</si>
  <si>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</si>
  <si>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</si>
  <si>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</si>
  <si>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</si>
  <si>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</si>
  <si>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</si>
  <si>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</si>
  <si>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</si>
  <si>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</si>
  <si>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</si>
  <si>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</si>
  <si>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</si>
  <si>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</si>
  <si>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</si>
  <si>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</si>
  <si>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</si>
  <si>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</si>
  <si>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</si>
  <si>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</si>
  <si>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</si>
  <si>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</si>
  <si>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</si>
  <si>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</si>
  <si>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</si>
  <si>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</si>
  <si>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</si>
  <si>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</si>
  <si>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</si>
  <si>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</si>
  <si>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</si>
  <si>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</si>
  <si>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</si>
  <si>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</si>
  <si>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</si>
  <si>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</si>
  <si>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</si>
  <si>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</si>
  <si>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</si>
  <si>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</si>
  <si>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</si>
  <si>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</si>
  <si>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</si>
  <si>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</si>
  <si>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</si>
  <si>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</si>
  <si>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</si>
  <si>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</si>
  <si>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</si>
  <si>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</si>
  <si>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</si>
  <si>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</si>
  <si>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</si>
  <si>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</si>
  <si>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</si>
  <si>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</si>
  <si>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</si>
  <si>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</si>
  <si>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</si>
  <si>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</si>
  <si>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</si>
  <si>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</si>
  <si>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</si>
  <si>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</si>
  <si>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</si>
  <si>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</si>
  <si>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</si>
  <si>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</si>
  <si>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</si>
  <si>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</si>
  <si>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</si>
  <si>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</si>
  <si>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</si>
  <si>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</si>
  <si>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</si>
  <si>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</si>
  <si>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</si>
  <si>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</si>
  <si>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</si>
  <si>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</si>
  <si>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</si>
  <si>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</si>
  <si>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</si>
  <si>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</si>
  <si>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</si>
  <si>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</si>
  <si>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</si>
  <si>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</si>
  <si>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</si>
  <si>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</si>
  <si>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</si>
  <si>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</si>
  <si>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</si>
  <si>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</si>
  <si>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</si>
  <si>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</si>
  <si>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</si>
  <si>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</si>
  <si>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</si>
  <si>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</si>
  <si>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</si>
  <si>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</si>
  <si>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</si>
  <si>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</si>
  <si>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</si>
  <si>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</si>
  <si>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</si>
  <si>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</si>
  <si>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</si>
  <si>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</si>
  <si>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</si>
  <si>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</si>
  <si>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</si>
  <si>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</si>
  <si>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</si>
  <si>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</si>
  <si>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</si>
  <si>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</si>
  <si>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</si>
  <si>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</si>
  <si>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</si>
  <si>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</si>
  <si>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</si>
  <si>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</si>
  <si>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</si>
  <si>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</si>
  <si>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</si>
  <si>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</si>
  <si>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</si>
  <si>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</si>
  <si>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</si>
  <si>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</si>
  <si>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</si>
  <si>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</si>
  <si>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</si>
  <si>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</si>
  <si>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</si>
  <si>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</si>
  <si>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</si>
  <si>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</si>
  <si>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</si>
  <si>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</si>
  <si>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</si>
  <si>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</si>
  <si>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</si>
  <si>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</si>
  <si>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</si>
  <si>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</si>
  <si>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</si>
  <si>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</si>
  <si>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</si>
  <si>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</si>
  <si>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</si>
  <si>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</si>
  <si>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</si>
  <si>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</si>
  <si>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</si>
  <si>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</si>
  <si>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</si>
  <si>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</si>
  <si>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</si>
  <si>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</si>
  <si>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</si>
  <si>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</si>
  <si>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</si>
  <si>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</si>
  <si>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</si>
  <si>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</si>
  <si>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</si>
  <si>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</si>
  <si>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</si>
  <si>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</si>
  <si>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</si>
  <si>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</si>
  <si>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</si>
  <si>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</si>
  <si>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</si>
  <si>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</si>
  <si>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</si>
  <si>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</si>
  <si>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</si>
  <si>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</si>
  <si>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</si>
  <si>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</si>
  <si>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</si>
  <si>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</si>
  <si>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</si>
  <si>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</si>
  <si>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</si>
  <si>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</si>
  <si>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</si>
  <si>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</si>
  <si>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</si>
  <si>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</si>
  <si>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</si>
  <si>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</si>
  <si>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</si>
  <si>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</si>
  <si>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</si>
  <si>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</si>
  <si>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</si>
  <si>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</si>
  <si>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</si>
  <si>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</si>
  <si>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</si>
  <si>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</si>
  <si>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</si>
  <si>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</si>
  <si>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</si>
  <si>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</si>
  <si>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</si>
  <si>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</si>
  <si>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</si>
  <si>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</si>
  <si>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</si>
  <si>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</si>
  <si>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</si>
  <si>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</si>
  <si>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</si>
  <si>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</si>
  <si>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</si>
  <si>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</si>
  <si>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</si>
  <si>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</si>
  <si>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</si>
  <si>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</si>
  <si>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</si>
  <si>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</si>
  <si>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</si>
  <si>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</si>
  <si>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</si>
  <si>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</si>
  <si>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</si>
  <si>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</si>
  <si>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</si>
  <si>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</si>
  <si>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</si>
  <si>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</si>
  <si>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</si>
  <si>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</si>
  <si>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</si>
  <si>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</si>
  <si>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</si>
  <si>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</si>
  <si>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</si>
  <si>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</si>
  <si>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</si>
  <si>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</si>
  <si>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</si>
  <si>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</si>
  <si>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</si>
  <si>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</si>
  <si>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</si>
  <si>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</si>
  <si>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</si>
  <si>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</si>
  <si>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</si>
  <si>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</si>
  <si>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</si>
  <si>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</si>
  <si>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</si>
  <si>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</si>
  <si>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</si>
  <si>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</si>
  <si>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</si>
  <si>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</si>
  <si>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</si>
  <si>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</si>
  <si>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</si>
  <si>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</si>
  <si>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</si>
  <si>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</si>
  <si>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</si>
  <si>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</si>
  <si>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</si>
  <si>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</si>
  <si>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</si>
  <si>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</si>
  <si>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</si>
  <si>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</si>
  <si>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</si>
  <si>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</si>
  <si>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</si>
  <si>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</si>
  <si>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</si>
  <si>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</si>
  <si>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</si>
  <si>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</si>
  <si>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</si>
  <si>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</si>
  <si>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</si>
  <si>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</si>
  <si>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</si>
  <si>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</si>
  <si>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</si>
  <si>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</si>
  <si>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</si>
  <si>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</si>
  <si>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</si>
  <si>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</si>
  <si>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</si>
  <si>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</si>
  <si>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</si>
  <si>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</si>
  <si>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</si>
  <si>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</si>
  <si>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</si>
  <si>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</si>
  <si>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</si>
  <si>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</si>
  <si>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</si>
  <si>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</si>
  <si>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</si>
  <si>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</si>
  <si>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</si>
  <si>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</si>
  <si>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</si>
  <si>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</si>
  <si>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</si>
  <si>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</si>
  <si>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</si>
  <si>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</si>
  <si>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</si>
  <si>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</si>
  <si>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</si>
  <si>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</si>
  <si>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</si>
  <si>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</si>
  <si>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</si>
  <si>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</si>
  <si>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</si>
  <si>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</si>
  <si>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</si>
  <si>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</si>
  <si>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</si>
  <si>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</si>
  <si>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</si>
  <si>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</si>
  <si>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</si>
  <si>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</si>
  <si>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</si>
  <si>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</si>
  <si>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</si>
  <si>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</si>
  <si>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</si>
  <si>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</si>
  <si>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</si>
  <si>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</si>
  <si>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</si>
  <si>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</si>
  <si>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</si>
  <si>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</si>
  <si>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</si>
  <si>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</si>
  <si>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</si>
  <si>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</si>
  <si>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</si>
  <si>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</si>
  <si>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</si>
  <si>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</si>
  <si>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</si>
  <si>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</si>
  <si>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</si>
  <si>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</si>
  <si>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</si>
  <si>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</si>
  <si>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</si>
  <si>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</si>
  <si>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</si>
  <si>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</si>
  <si>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</si>
  <si>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</si>
  <si>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</si>
  <si>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</si>
  <si>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</si>
  <si>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</si>
  <si>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</si>
  <si>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</si>
  <si>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</si>
  <si>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</si>
  <si>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</si>
  <si>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</si>
  <si>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</si>
  <si>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</si>
  <si>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</si>
  <si>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</si>
  <si>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</si>
  <si>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</si>
  <si>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</si>
  <si>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</si>
  <si>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</si>
  <si>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</si>
  <si>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</si>
  <si>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</si>
  <si>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</si>
  <si>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</si>
  <si>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</si>
  <si>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</si>
  <si>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</si>
  <si>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</si>
  <si>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</si>
  <si>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</si>
  <si>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</si>
  <si>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</si>
  <si>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</si>
  <si>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</si>
  <si>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</si>
  <si>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</si>
  <si>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</si>
  <si>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</si>
  <si>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</si>
  <si>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</si>
  <si>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</si>
  <si>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</si>
  <si>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</si>
  <si>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</si>
  <si>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</si>
  <si>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</si>
  <si>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</si>
  <si>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</si>
  <si>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</si>
  <si>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</si>
  <si>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</si>
  <si>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</si>
  <si>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</si>
  <si>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</si>
  <si>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</si>
  <si>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</si>
  <si>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</si>
  <si>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</si>
  <si>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</si>
  <si>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</si>
  <si>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</si>
  <si>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</si>
  <si>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</si>
  <si>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</si>
  <si>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</si>
  <si>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</si>
  <si>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</si>
  <si>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</si>
  <si>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</si>
  <si>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</si>
  <si>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</si>
  <si>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</si>
  <si>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</si>
  <si>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</si>
  <si>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</si>
  <si>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</si>
  <si>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</si>
  <si>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</si>
  <si>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</si>
  <si>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</si>
  <si>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</si>
  <si>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</si>
  <si>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</si>
  <si>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</si>
  <si>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</si>
  <si>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</si>
  <si>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</si>
  <si>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</si>
  <si>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</si>
  <si>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</si>
  <si>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</si>
  <si>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</si>
  <si>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</si>
  <si>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</si>
  <si>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</si>
  <si>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</si>
  <si>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</si>
  <si>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</si>
  <si>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</si>
  <si>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</si>
  <si>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</si>
  <si>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</si>
  <si>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</si>
  <si>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</si>
  <si>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</si>
  <si>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</si>
  <si>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</si>
  <si>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</si>
  <si>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</si>
  <si>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</si>
  <si>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</si>
  <si>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</si>
  <si>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</si>
  <si>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</si>
  <si>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</si>
  <si>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</si>
  <si>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</si>
  <si>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</si>
  <si>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</si>
  <si>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</si>
  <si>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</si>
  <si>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</si>
  <si>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</si>
  <si>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</si>
  <si>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</si>
  <si>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</si>
  <si>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</si>
  <si>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</si>
  <si>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</si>
  <si>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</si>
  <si>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</si>
  <si>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</si>
  <si>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</si>
  <si>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</si>
  <si>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</si>
  <si>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</si>
  <si>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</si>
  <si>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</si>
  <si>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</si>
  <si>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</si>
  <si>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</si>
  <si>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</si>
  <si>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</si>
  <si>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</si>
  <si>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</si>
  <si>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</si>
  <si>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</si>
  <si>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</si>
  <si>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</si>
  <si>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</si>
  <si>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</si>
  <si>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</si>
  <si>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</si>
  <si>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</si>
  <si>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</si>
  <si>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</si>
  <si>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</si>
  <si>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</si>
  <si>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</si>
  <si>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</si>
  <si>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</si>
  <si>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</si>
  <si>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</si>
  <si>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</si>
  <si>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</si>
  <si>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</si>
  <si>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</si>
  <si>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</si>
  <si>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</si>
  <si>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</si>
  <si>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</si>
  <si>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</si>
  <si>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</si>
  <si>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</si>
  <si>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</si>
  <si>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</si>
  <si>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</si>
  <si>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</si>
  <si>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</si>
  <si>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</si>
  <si>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</si>
  <si>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</si>
  <si>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</si>
  <si>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</si>
  <si>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</si>
  <si>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</si>
  <si>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</si>
  <si>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</si>
  <si>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</si>
  <si>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</si>
  <si>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</si>
  <si>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</si>
  <si>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</si>
  <si>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</si>
  <si>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</si>
  <si>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</si>
  <si>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</si>
  <si>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</si>
  <si>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</si>
  <si>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</si>
  <si>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</si>
  <si>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</si>
  <si>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</si>
  <si>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</si>
  <si>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</si>
  <si>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</si>
  <si>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</si>
  <si>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</si>
  <si>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</si>
  <si>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</si>
  <si>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</si>
  <si>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</si>
  <si>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</si>
  <si>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</si>
  <si>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</si>
  <si>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</si>
  <si>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</si>
  <si>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</si>
  <si>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</si>
  <si>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</si>
  <si>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</si>
  <si>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</si>
  <si>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</si>
  <si>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</si>
  <si>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</si>
  <si>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</si>
  <si>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</si>
  <si>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</si>
  <si>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</si>
  <si>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</si>
  <si>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</si>
  <si>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</si>
  <si>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</si>
  <si>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</si>
  <si>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</si>
  <si>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</si>
  <si>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</si>
  <si>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</si>
  <si>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</si>
  <si>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</si>
  <si>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</si>
  <si>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</si>
  <si>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</si>
  <si>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</si>
  <si>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</si>
  <si>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</si>
  <si>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</si>
  <si>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</si>
  <si>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</si>
  <si>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</si>
  <si>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</si>
  <si>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</si>
  <si>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</si>
  <si>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</si>
  <si>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</si>
  <si>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</si>
  <si>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</si>
  <si>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</si>
  <si>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</si>
  <si>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</si>
  <si>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</si>
  <si>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</si>
  <si>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</si>
  <si>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</si>
  <si>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</si>
  <si>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</si>
  <si>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</si>
  <si>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</si>
  <si>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</si>
  <si>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</si>
  <si>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</si>
  <si>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</si>
  <si>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</si>
  <si>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</si>
  <si>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</si>
  <si>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</si>
  <si>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</si>
  <si>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</si>
  <si>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</si>
  <si>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</si>
  <si>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</si>
  <si>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</si>
  <si>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</si>
  <si>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</si>
  <si>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</si>
  <si>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</si>
  <si>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</si>
  <si>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</si>
  <si>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</si>
  <si>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</si>
  <si>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</si>
  <si>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</si>
  <si>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</si>
  <si>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</si>
  <si>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</si>
  <si>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</si>
  <si>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</si>
  <si>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</si>
  <si>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</si>
  <si>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</si>
  <si>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</si>
  <si>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</si>
  <si>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</si>
  <si>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</si>
  <si>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</si>
  <si>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</si>
  <si>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</si>
  <si>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</si>
  <si>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</si>
  <si>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</si>
  <si>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</si>
  <si>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</si>
  <si>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</si>
  <si>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</si>
  <si>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</si>
  <si>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</si>
  <si>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</si>
  <si>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</si>
  <si>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</si>
  <si>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</si>
  <si>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</si>
  <si>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</si>
  <si>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</si>
  <si>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</si>
  <si>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</si>
  <si>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</si>
  <si>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</si>
  <si>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</si>
  <si>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</si>
  <si>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</si>
  <si>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</si>
  <si>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</si>
  <si>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</si>
  <si>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</si>
  <si>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</si>
  <si>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</si>
  <si>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</si>
  <si>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</si>
  <si>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</si>
  <si>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</si>
  <si>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</si>
  <si>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</si>
  <si>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</si>
  <si>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</si>
  <si>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</si>
  <si>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</si>
  <si>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</si>
  <si>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</si>
  <si>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</si>
  <si>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</si>
  <si>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</si>
  <si>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</si>
  <si>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</si>
  <si>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</si>
  <si>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</si>
  <si>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</si>
  <si>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</si>
  <si>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</si>
  <si>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</si>
  <si>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</si>
  <si>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</si>
  <si>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</si>
  <si>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</si>
  <si>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</si>
  <si>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</si>
  <si>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</si>
  <si>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</si>
  <si>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</si>
  <si>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</si>
  <si>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</si>
  <si>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</si>
  <si>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</si>
  <si>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</si>
  <si>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</si>
  <si>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</si>
  <si>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</si>
  <si>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</si>
  <si>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</si>
  <si>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</si>
  <si>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</si>
  <si>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</si>
  <si>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</si>
  <si>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</si>
  <si>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</si>
  <si>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</si>
  <si>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</si>
  <si>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</si>
  <si>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</si>
  <si>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</si>
  <si>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</si>
  <si>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</si>
  <si>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</si>
  <si>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</si>
  <si>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</si>
  <si>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</si>
  <si>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</si>
  <si>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</si>
  <si>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</si>
  <si>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</si>
  <si>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</si>
  <si>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</si>
  <si>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</si>
  <si>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</si>
  <si>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</si>
  <si>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</si>
  <si>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</si>
  <si>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</si>
  <si>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</si>
  <si>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</si>
  <si>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</si>
  <si>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</si>
  <si>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</si>
  <si>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</si>
  <si>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</si>
  <si>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</si>
  <si>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</si>
  <si>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</si>
  <si>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</si>
  <si>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</si>
  <si>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</si>
  <si>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</si>
  <si>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</si>
  <si>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</si>
  <si>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</si>
  <si>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</si>
  <si>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</si>
  <si>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</si>
  <si>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</si>
  <si>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</si>
  <si>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</si>
  <si>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</si>
  <si>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</si>
  <si>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</si>
  <si>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</si>
  <si>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</si>
  <si>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</si>
  <si>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</si>
  <si>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</si>
  <si>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</si>
  <si>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</si>
  <si>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24094</t>
  </si>
  <si>
    <t>ROTSELAAR</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</si>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</sst>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6A2264B-B967-4C73-A34B-D8C2A7537C2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133142.83459340266</c:v>
                </c:pt>
                <c:pt idx="1">
                  <c:v>32664.001737439889</c:v>
                </c:pt>
                <c:pt idx="2">
                  <c:v>605.19000000000005</c:v>
                </c:pt>
                <c:pt idx="3">
                  <c:v>1621.0288850913266</c:v>
                </c:pt>
                <c:pt idx="4">
                  <c:v>87781.556556253883</c:v>
                </c:pt>
                <c:pt idx="5">
                  <c:v>177189.19382686974</c:v>
                </c:pt>
                <c:pt idx="6">
                  <c:v>1543.6098391262308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133142.83459340266</c:v>
                </c:pt>
                <c:pt idx="1">
                  <c:v>32664.001737439889</c:v>
                </c:pt>
                <c:pt idx="2">
                  <c:v>605.19000000000005</c:v>
                </c:pt>
                <c:pt idx="3">
                  <c:v>1621.0288850913266</c:v>
                </c:pt>
                <c:pt idx="4">
                  <c:v>87781.556556253883</c:v>
                </c:pt>
                <c:pt idx="5">
                  <c:v>177189.19382686974</c:v>
                </c:pt>
                <c:pt idx="6">
                  <c:v>1543.6098391262308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27060.935627349729</c:v>
                </c:pt>
                <c:pt idx="1">
                  <c:v>6509.1718389021435</c:v>
                </c:pt>
                <c:pt idx="2">
                  <c:v>121.05673937271702</c:v>
                </c:pt>
                <c:pt idx="3">
                  <c:v>409.34987641742788</c:v>
                </c:pt>
                <c:pt idx="4">
                  <c:v>17358.363235127235</c:v>
                </c:pt>
                <c:pt idx="5">
                  <c:v>41999.726296346082</c:v>
                </c:pt>
                <c:pt idx="6">
                  <c:v>369.32714781961261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27060.935627349729</c:v>
                </c:pt>
                <c:pt idx="1">
                  <c:v>6509.1718389021435</c:v>
                </c:pt>
                <c:pt idx="2">
                  <c:v>121.05673937271702</c:v>
                </c:pt>
                <c:pt idx="3">
                  <c:v>409.34987641742788</c:v>
                </c:pt>
                <c:pt idx="4">
                  <c:v>17358.363235127235</c:v>
                </c:pt>
                <c:pt idx="5">
                  <c:v>41999.726296346082</c:v>
                </c:pt>
                <c:pt idx="6">
                  <c:v>369.32714781961261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24094</v>
      </c>
      <c r="B6" s="380"/>
      <c r="C6" s="381"/>
    </row>
    <row r="7" spans="1:7" s="378" customFormat="1" ht="15.75" customHeight="1">
      <c r="A7" s="382" t="str">
        <f>txtMunicipality</f>
        <v>ROTSELAAR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0.20003096444540888</v>
      </c>
      <c r="C17" s="492">
        <f ca="1">'EF ele_warmte'!B22</f>
        <v>0.18177898138006571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0.20003096444540888</v>
      </c>
      <c r="C29" s="493">
        <f ca="1">'EF ele_warmte'!B22</f>
        <v>0.18177898138006571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6868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896.74999999999989</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36</v>
      </c>
      <c r="C17" s="323"/>
      <c r="D17" s="323"/>
      <c r="E17" s="323"/>
      <c r="F17" s="323"/>
    </row>
    <row r="18" spans="1:6">
      <c r="A18" s="1266" t="s">
        <v>8</v>
      </c>
      <c r="B18" s="1267">
        <v>22</v>
      </c>
      <c r="C18" s="323"/>
      <c r="D18" s="323"/>
      <c r="E18" s="323"/>
      <c r="F18" s="323"/>
    </row>
    <row r="19" spans="1:6">
      <c r="A19" s="1266" t="s">
        <v>9</v>
      </c>
      <c r="B19" s="1267">
        <v>39</v>
      </c>
      <c r="C19" s="323"/>
      <c r="D19" s="323"/>
      <c r="E19" s="323"/>
      <c r="F19" s="323"/>
    </row>
    <row r="20" spans="1:6">
      <c r="A20" s="1266" t="s">
        <v>10</v>
      </c>
      <c r="B20" s="1267">
        <v>99</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220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47</v>
      </c>
      <c r="C29" s="323"/>
      <c r="D29" s="323"/>
      <c r="E29" s="323"/>
      <c r="F29" s="323"/>
    </row>
    <row r="30" spans="1:6">
      <c r="A30" s="1261" t="s">
        <v>629</v>
      </c>
      <c r="B30" s="1270">
        <v>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16</v>
      </c>
      <c r="F36" s="1267">
        <v>38971.354526511102</v>
      </c>
    </row>
    <row r="37" spans="1:6">
      <c r="A37" s="1266" t="s">
        <v>24</v>
      </c>
      <c r="B37" s="1266" t="s">
        <v>27</v>
      </c>
      <c r="C37" s="1267">
        <v>0</v>
      </c>
      <c r="D37" s="1267">
        <v>0</v>
      </c>
      <c r="E37" s="1267">
        <v>0</v>
      </c>
      <c r="F37" s="1267">
        <v>0</v>
      </c>
    </row>
    <row r="38" spans="1:6">
      <c r="A38" s="1266" t="s">
        <v>24</v>
      </c>
      <c r="B38" s="1266" t="s">
        <v>28</v>
      </c>
      <c r="C38" s="1267">
        <v>1</v>
      </c>
      <c r="D38" s="1267">
        <v>49656.062554707503</v>
      </c>
      <c r="E38" s="1267">
        <v>1</v>
      </c>
      <c r="F38" s="1267">
        <v>13728.2277726594</v>
      </c>
    </row>
    <row r="39" spans="1:6">
      <c r="A39" s="1266" t="s">
        <v>29</v>
      </c>
      <c r="B39" s="1266" t="s">
        <v>30</v>
      </c>
      <c r="C39" s="1267">
        <v>3513</v>
      </c>
      <c r="D39" s="1267">
        <v>51926950.031857103</v>
      </c>
      <c r="E39" s="1267">
        <v>6824</v>
      </c>
      <c r="F39" s="1267">
        <v>23854095.069959801</v>
      </c>
    </row>
    <row r="40" spans="1:6">
      <c r="A40" s="1266" t="s">
        <v>29</v>
      </c>
      <c r="B40" s="1266" t="s">
        <v>28</v>
      </c>
      <c r="C40" s="1267">
        <v>0</v>
      </c>
      <c r="D40" s="1267">
        <v>0</v>
      </c>
      <c r="E40" s="1267">
        <v>0</v>
      </c>
      <c r="F40" s="1267">
        <v>0</v>
      </c>
    </row>
    <row r="41" spans="1:6">
      <c r="A41" s="1266" t="s">
        <v>31</v>
      </c>
      <c r="B41" s="1266" t="s">
        <v>32</v>
      </c>
      <c r="C41" s="1267">
        <v>62</v>
      </c>
      <c r="D41" s="1267">
        <v>1166738.8102265501</v>
      </c>
      <c r="E41" s="1267">
        <v>171</v>
      </c>
      <c r="F41" s="1267">
        <v>2338912.8611127902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6</v>
      </c>
      <c r="F44" s="1267">
        <v>342439.60403429403</v>
      </c>
    </row>
    <row r="45" spans="1:6">
      <c r="A45" s="1266" t="s">
        <v>31</v>
      </c>
      <c r="B45" s="1266" t="s">
        <v>36</v>
      </c>
      <c r="C45" s="1267">
        <v>3</v>
      </c>
      <c r="D45" s="1267">
        <v>119619.384421871</v>
      </c>
      <c r="E45" s="1267">
        <v>3</v>
      </c>
      <c r="F45" s="1267">
        <v>269592.80676813499</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5</v>
      </c>
      <c r="D48" s="1267">
        <v>230188.50644749141</v>
      </c>
      <c r="E48" s="1267">
        <v>2</v>
      </c>
      <c r="F48" s="1267">
        <v>21818.5255601641</v>
      </c>
    </row>
    <row r="49" spans="1:6">
      <c r="A49" s="1266" t="s">
        <v>31</v>
      </c>
      <c r="B49" s="1266" t="s">
        <v>39</v>
      </c>
      <c r="C49" s="1267">
        <v>0</v>
      </c>
      <c r="D49" s="1267">
        <v>0</v>
      </c>
      <c r="E49" s="1267">
        <v>3</v>
      </c>
      <c r="F49" s="1267">
        <v>83575.216554673098</v>
      </c>
    </row>
    <row r="50" spans="1:6">
      <c r="A50" s="1266" t="s">
        <v>31</v>
      </c>
      <c r="B50" s="1266" t="s">
        <v>40</v>
      </c>
      <c r="C50" s="1267">
        <v>5</v>
      </c>
      <c r="D50" s="1267">
        <v>38387347.189470097</v>
      </c>
      <c r="E50" s="1267">
        <v>9</v>
      </c>
      <c r="F50" s="1267">
        <v>42181707.572517402</v>
      </c>
    </row>
    <row r="51" spans="1:6">
      <c r="A51" s="1266" t="s">
        <v>41</v>
      </c>
      <c r="B51" s="1266" t="s">
        <v>42</v>
      </c>
      <c r="C51" s="1267">
        <v>5</v>
      </c>
      <c r="D51" s="1267">
        <v>66080.362784236</v>
      </c>
      <c r="E51" s="1267">
        <v>26</v>
      </c>
      <c r="F51" s="1267">
        <v>321983.49867457402</v>
      </c>
    </row>
    <row r="52" spans="1:6">
      <c r="A52" s="1266" t="s">
        <v>41</v>
      </c>
      <c r="B52" s="1266" t="s">
        <v>28</v>
      </c>
      <c r="C52" s="1267">
        <v>0</v>
      </c>
      <c r="D52" s="1267">
        <v>0</v>
      </c>
      <c r="E52" s="1267">
        <v>0</v>
      </c>
      <c r="F52" s="1267">
        <v>0</v>
      </c>
    </row>
    <row r="53" spans="1:6">
      <c r="A53" s="1266" t="s">
        <v>43</v>
      </c>
      <c r="B53" s="1266" t="s">
        <v>44</v>
      </c>
      <c r="C53" s="1267">
        <v>82</v>
      </c>
      <c r="D53" s="1267">
        <v>1350950.2049536901</v>
      </c>
      <c r="E53" s="1267">
        <v>203</v>
      </c>
      <c r="F53" s="1267">
        <v>700489.62262633594</v>
      </c>
    </row>
    <row r="54" spans="1:6">
      <c r="A54" s="1266" t="s">
        <v>45</v>
      </c>
      <c r="B54" s="1266" t="s">
        <v>46</v>
      </c>
      <c r="C54" s="1267">
        <v>0</v>
      </c>
      <c r="D54" s="1267">
        <v>0</v>
      </c>
      <c r="E54" s="1267">
        <v>1</v>
      </c>
      <c r="F54" s="1267">
        <v>605190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43</v>
      </c>
      <c r="D57" s="1267">
        <v>2157708.1273588701</v>
      </c>
      <c r="E57" s="1267">
        <v>119</v>
      </c>
      <c r="F57" s="1267">
        <v>2596878.5407051402</v>
      </c>
    </row>
    <row r="58" spans="1:6">
      <c r="A58" s="1266" t="s">
        <v>48</v>
      </c>
      <c r="B58" s="1266" t="s">
        <v>50</v>
      </c>
      <c r="C58" s="1267">
        <v>24</v>
      </c>
      <c r="D58" s="1267">
        <v>1987827.73737913</v>
      </c>
      <c r="E58" s="1267">
        <v>48</v>
      </c>
      <c r="F58" s="1267">
        <v>1076982.53684501</v>
      </c>
    </row>
    <row r="59" spans="1:6">
      <c r="A59" s="1266" t="s">
        <v>48</v>
      </c>
      <c r="B59" s="1266" t="s">
        <v>51</v>
      </c>
      <c r="C59" s="1267">
        <v>55</v>
      </c>
      <c r="D59" s="1267">
        <v>4176764.95092635</v>
      </c>
      <c r="E59" s="1267">
        <v>126</v>
      </c>
      <c r="F59" s="1267">
        <v>6052136.8710557902</v>
      </c>
    </row>
    <row r="60" spans="1:6">
      <c r="A60" s="1266" t="s">
        <v>48</v>
      </c>
      <c r="B60" s="1266" t="s">
        <v>52</v>
      </c>
      <c r="C60" s="1267">
        <v>27</v>
      </c>
      <c r="D60" s="1267">
        <v>1488986.9258592201</v>
      </c>
      <c r="E60" s="1267">
        <v>54</v>
      </c>
      <c r="F60" s="1267">
        <v>1280585.72883666</v>
      </c>
    </row>
    <row r="61" spans="1:6">
      <c r="A61" s="1266" t="s">
        <v>48</v>
      </c>
      <c r="B61" s="1266" t="s">
        <v>53</v>
      </c>
      <c r="C61" s="1267">
        <v>148</v>
      </c>
      <c r="D61" s="1267">
        <v>4954090.8639781903</v>
      </c>
      <c r="E61" s="1267">
        <v>354</v>
      </c>
      <c r="F61" s="1267">
        <v>3438645.0211527399</v>
      </c>
    </row>
    <row r="62" spans="1:6">
      <c r="A62" s="1266" t="s">
        <v>48</v>
      </c>
      <c r="B62" s="1266" t="s">
        <v>54</v>
      </c>
      <c r="C62" s="1267">
        <v>6</v>
      </c>
      <c r="D62" s="1267">
        <v>329723.81186278898</v>
      </c>
      <c r="E62" s="1267">
        <v>9</v>
      </c>
      <c r="F62" s="1267">
        <v>72210.941460526097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39943.869070923</v>
      </c>
      <c r="E65" s="1267">
        <v>2</v>
      </c>
      <c r="F65" s="1267">
        <v>45862.056999599299</v>
      </c>
    </row>
    <row r="66" spans="1:6">
      <c r="A66" s="1266" t="s">
        <v>55</v>
      </c>
      <c r="B66" s="1266" t="s">
        <v>57</v>
      </c>
      <c r="C66" s="1267">
        <v>0</v>
      </c>
      <c r="D66" s="1267">
        <v>0</v>
      </c>
      <c r="E66" s="1267">
        <v>8</v>
      </c>
      <c r="F66" s="1267">
        <v>65789.016517427706</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85019848</v>
      </c>
      <c r="E73" s="441"/>
      <c r="F73" s="323"/>
    </row>
    <row r="74" spans="1:6">
      <c r="A74" s="1266" t="s">
        <v>63</v>
      </c>
      <c r="B74" s="1266" t="s">
        <v>589</v>
      </c>
      <c r="C74" s="1280" t="s">
        <v>591</v>
      </c>
      <c r="D74" s="1281">
        <v>5445946.9492870215</v>
      </c>
      <c r="E74" s="441"/>
      <c r="F74" s="323"/>
    </row>
    <row r="75" spans="1:6">
      <c r="A75" s="1266" t="s">
        <v>64</v>
      </c>
      <c r="B75" s="1266" t="s">
        <v>588</v>
      </c>
      <c r="C75" s="1280" t="s">
        <v>592</v>
      </c>
      <c r="D75" s="1281">
        <v>23794720</v>
      </c>
      <c r="E75" s="441"/>
      <c r="F75" s="323"/>
    </row>
    <row r="76" spans="1:6">
      <c r="A76" s="1266" t="s">
        <v>64</v>
      </c>
      <c r="B76" s="1266" t="s">
        <v>589</v>
      </c>
      <c r="C76" s="1280" t="s">
        <v>593</v>
      </c>
      <c r="D76" s="1281">
        <v>262376.9492870213</v>
      </c>
      <c r="E76" s="441"/>
      <c r="F76" s="323"/>
    </row>
    <row r="77" spans="1:6">
      <c r="A77" s="1266" t="s">
        <v>65</v>
      </c>
      <c r="B77" s="1266" t="s">
        <v>588</v>
      </c>
      <c r="C77" s="1280" t="s">
        <v>594</v>
      </c>
      <c r="D77" s="1281">
        <v>91891175</v>
      </c>
      <c r="E77" s="441"/>
      <c r="F77" s="323"/>
    </row>
    <row r="78" spans="1:6">
      <c r="A78" s="1261" t="s">
        <v>65</v>
      </c>
      <c r="B78" s="1261" t="s">
        <v>589</v>
      </c>
      <c r="C78" s="1261" t="s">
        <v>595</v>
      </c>
      <c r="D78" s="1282">
        <v>9643416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431632.10142595746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104.66809482136884</v>
      </c>
      <c r="C89" s="323"/>
      <c r="D89" s="323"/>
      <c r="E89" s="323"/>
      <c r="F89" s="323"/>
    </row>
    <row r="90" spans="1:6">
      <c r="A90" s="1266" t="s">
        <v>509</v>
      </c>
      <c r="B90" s="1267">
        <v>0</v>
      </c>
      <c r="C90" s="323"/>
      <c r="D90" s="323"/>
      <c r="E90" s="323"/>
      <c r="F90" s="323"/>
    </row>
    <row r="91" spans="1:6">
      <c r="A91" s="1266" t="s">
        <v>67</v>
      </c>
      <c r="B91" s="1267">
        <v>7602.3309739326987</v>
      </c>
      <c r="C91" s="323"/>
      <c r="D91" s="323"/>
      <c r="E91" s="323"/>
      <c r="F91" s="323"/>
    </row>
    <row r="92" spans="1:6">
      <c r="A92" s="1261" t="s">
        <v>68</v>
      </c>
      <c r="B92" s="1262">
        <v>1178.3003557730246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1003</v>
      </c>
      <c r="C97" s="323"/>
      <c r="D97" s="323"/>
      <c r="E97" s="323"/>
      <c r="F97" s="323"/>
    </row>
    <row r="98" spans="1:6">
      <c r="A98" s="1266" t="s">
        <v>71</v>
      </c>
      <c r="B98" s="1267">
        <v>4</v>
      </c>
      <c r="C98" s="323"/>
      <c r="D98" s="323"/>
      <c r="E98" s="323"/>
      <c r="F98" s="323"/>
    </row>
    <row r="99" spans="1:6">
      <c r="A99" s="1266" t="s">
        <v>72</v>
      </c>
      <c r="B99" s="1267">
        <v>252</v>
      </c>
      <c r="C99" s="323"/>
      <c r="D99" s="323"/>
      <c r="E99" s="323"/>
      <c r="F99" s="323"/>
    </row>
    <row r="100" spans="1:6">
      <c r="A100" s="1266" t="s">
        <v>73</v>
      </c>
      <c r="B100" s="1267">
        <v>479</v>
      </c>
      <c r="C100" s="323"/>
      <c r="D100" s="323"/>
      <c r="E100" s="323"/>
      <c r="F100" s="323"/>
    </row>
    <row r="101" spans="1:6">
      <c r="A101" s="1266" t="s">
        <v>74</v>
      </c>
      <c r="B101" s="1267">
        <v>73</v>
      </c>
      <c r="C101" s="323"/>
      <c r="D101" s="323"/>
      <c r="E101" s="323"/>
      <c r="F101" s="323"/>
    </row>
    <row r="102" spans="1:6">
      <c r="A102" s="1266" t="s">
        <v>75</v>
      </c>
      <c r="B102" s="1267">
        <v>50</v>
      </c>
      <c r="C102" s="323"/>
      <c r="D102" s="323"/>
      <c r="E102" s="323"/>
      <c r="F102" s="323"/>
    </row>
    <row r="103" spans="1:6">
      <c r="A103" s="1266" t="s">
        <v>76</v>
      </c>
      <c r="B103" s="1267">
        <v>111</v>
      </c>
      <c r="C103" s="323"/>
      <c r="D103" s="323"/>
      <c r="E103" s="323"/>
      <c r="F103" s="323"/>
    </row>
    <row r="104" spans="1:6">
      <c r="A104" s="1266" t="s">
        <v>77</v>
      </c>
      <c r="B104" s="1267">
        <v>3569</v>
      </c>
      <c r="C104" s="323"/>
      <c r="D104" s="323"/>
      <c r="E104" s="323"/>
      <c r="F104" s="323"/>
    </row>
    <row r="105" spans="1:6">
      <c r="A105" s="1261" t="s">
        <v>78</v>
      </c>
      <c r="B105" s="1270">
        <v>16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179</v>
      </c>
      <c r="C123" s="1267">
        <v>60</v>
      </c>
      <c r="D123" s="323"/>
      <c r="E123" s="323"/>
      <c r="F123" s="323"/>
    </row>
    <row r="124" spans="1:6">
      <c r="A124" s="1268" t="s">
        <v>88</v>
      </c>
      <c r="B124" s="1289">
        <v>3</v>
      </c>
      <c r="C124" s="1289">
        <v>1</v>
      </c>
      <c r="D124" s="323"/>
      <c r="E124" s="323"/>
      <c r="F124" s="323"/>
    </row>
    <row r="125" spans="1:6">
      <c r="A125" s="1261" t="s">
        <v>698</v>
      </c>
      <c r="B125" s="1289">
        <v>3</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230</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67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93972.08332362691</v>
      </c>
      <c r="C3" s="43" t="s">
        <v>163</v>
      </c>
      <c r="D3" s="43"/>
      <c r="E3" s="153"/>
      <c r="F3" s="43"/>
      <c r="G3" s="43"/>
      <c r="H3" s="43"/>
      <c r="I3" s="43"/>
      <c r="J3" s="43"/>
      <c r="K3" s="96"/>
    </row>
    <row r="4" spans="1:11">
      <c r="A4" s="348" t="s">
        <v>164</v>
      </c>
      <c r="B4" s="49">
        <f>IF(ISERROR('SEAP template'!B78+'SEAP template'!C78),0,'SEAP template'!B78+'SEAP template'!C78)</f>
        <v>9060.0216467632927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31.760827582557898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0.20003096444540888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60.441511313707174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332.50000002660005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0.18177898138006571</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605.19000000000005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605.19000000000005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0.20003096444540888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121.05673937271702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23854.0950699598</v>
      </c>
      <c r="C5" s="17">
        <f>IF(ISERROR('Eigen informatie GS &amp; warmtenet'!B59),0,'Eigen informatie GS &amp; warmtenet'!B59)</f>
        <v>0</v>
      </c>
      <c r="D5" s="30">
        <f>(SUM(HH_hh_gas_kWh,HH_rest_gas_kWh)/1000)*0.903</f>
        <v>46890.035878766961</v>
      </c>
      <c r="E5" s="17">
        <f>B32*B41</f>
        <v>3105.0728857020185</v>
      </c>
      <c r="F5" s="17">
        <f>B36*B45</f>
        <v>39336.735071360112</v>
      </c>
      <c r="G5" s="18"/>
      <c r="H5" s="17"/>
      <c r="I5" s="17"/>
      <c r="J5" s="17">
        <f>B35*B44+C35*C44</f>
        <v>251.77777165479031</v>
      </c>
      <c r="K5" s="17"/>
      <c r="L5" s="17"/>
      <c r="M5" s="17"/>
      <c r="N5" s="17">
        <f>B34*B43+C34*C43</f>
        <v>8902.4992325711028</v>
      </c>
      <c r="O5" s="17">
        <f>B52*B53*B54</f>
        <v>577.33184184162633</v>
      </c>
      <c r="P5" s="17">
        <f>B60*B61*B62/1000-B60*B61*B62/1000/B63</f>
        <v>2622.9558676135712</v>
      </c>
    </row>
    <row r="6" spans="1:16">
      <c r="A6" s="16" t="s">
        <v>556</v>
      </c>
      <c r="B6" s="734">
        <f>kWh_PV_kleiner_dan_10kW</f>
        <v>7602.3309739326987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31456.426043892498</v>
      </c>
      <c r="C8" s="21">
        <f>C5</f>
        <v>0</v>
      </c>
      <c r="D8" s="21">
        <f>D5</f>
        <v>46890.035878766961</v>
      </c>
      <c r="E8" s="21">
        <f>E5</f>
        <v>3105.0728857020185</v>
      </c>
      <c r="F8" s="21">
        <f>F5</f>
        <v>39336.735071360112</v>
      </c>
      <c r="G8" s="21"/>
      <c r="H8" s="21"/>
      <c r="I8" s="21"/>
      <c r="J8" s="21">
        <f>J5</f>
        <v>251.77777165479031</v>
      </c>
      <c r="K8" s="21"/>
      <c r="L8" s="21">
        <f>L5</f>
        <v>0</v>
      </c>
      <c r="M8" s="21">
        <f>M5</f>
        <v>0</v>
      </c>
      <c r="N8" s="21">
        <f>N5</f>
        <v>8902.4992325711028</v>
      </c>
      <c r="O8" s="21">
        <f>O5</f>
        <v>577.33184184162633</v>
      </c>
      <c r="P8" s="21">
        <f>P5</f>
        <v>2622.9558676135712</v>
      </c>
    </row>
    <row r="9" spans="1:16">
      <c r="B9" s="19"/>
      <c r="C9" s="19"/>
      <c r="D9" s="253"/>
      <c r="E9" s="19"/>
      <c r="F9" s="19"/>
      <c r="G9" s="19"/>
      <c r="H9" s="19"/>
      <c r="I9" s="19"/>
      <c r="J9" s="19"/>
      <c r="K9" s="19"/>
      <c r="L9" s="19"/>
      <c r="M9" s="19"/>
      <c r="N9" s="19"/>
      <c r="O9" s="19"/>
      <c r="P9" s="19"/>
    </row>
    <row r="10" spans="1:16">
      <c r="A10" s="24" t="s">
        <v>207</v>
      </c>
      <c r="B10" s="25">
        <f ca="1">'EF ele_warmte'!B12</f>
        <v>0.20003096444540888</v>
      </c>
      <c r="C10" s="25">
        <f ca="1">'EF ele_warmte'!B22</f>
        <v>0.18177898138006571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6292.2592395654938</v>
      </c>
      <c r="C12" s="23">
        <f ca="1">C10*C8</f>
        <v>0</v>
      </c>
      <c r="D12" s="23">
        <f>D8*D10</f>
        <v>9471.787247510927</v>
      </c>
      <c r="E12" s="23">
        <f>E10*E8</f>
        <v>704.85154505435821</v>
      </c>
      <c r="F12" s="23">
        <f>F10*F8</f>
        <v>10502.908264053151</v>
      </c>
      <c r="G12" s="23"/>
      <c r="H12" s="23"/>
      <c r="I12" s="23"/>
      <c r="J12" s="23">
        <f>J10*J8</f>
        <v>89.129331165795762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6868</v>
      </c>
      <c r="C26" s="36"/>
      <c r="D26" s="224"/>
    </row>
    <row r="27" spans="1:5" s="15" customFormat="1">
      <c r="A27" s="226" t="s">
        <v>770</v>
      </c>
      <c r="B27" s="37">
        <f>SUM(HH_hh_gas_aantal,HH_rest_gas_aantal)</f>
        <v>3513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3337.35</v>
      </c>
      <c r="C31" s="34" t="s">
        <v>104</v>
      </c>
      <c r="D31" s="170"/>
    </row>
    <row r="32" spans="1:5">
      <c r="A32" s="167" t="s">
        <v>72</v>
      </c>
      <c r="B32" s="33">
        <f>IF((B21*($B$26-($B$27-0.05*$B$27)-$B$60))&lt;0,0,(B21*($B$26-($B$27-0.05*$B$27)-$B$60)))</f>
        <v>53.606378402908256</v>
      </c>
      <c r="C32" s="34" t="s">
        <v>104</v>
      </c>
      <c r="D32" s="170"/>
    </row>
    <row r="33" spans="1:6">
      <c r="A33" s="167" t="s">
        <v>73</v>
      </c>
      <c r="B33" s="33">
        <f>IF((B22*($B$26-($B$27-0.05*$B$27)-$B$60))&lt;0,0,B22*($B$26-($B$27-0.05*$B$27)-$B$60))</f>
        <v>870.46141666550864</v>
      </c>
      <c r="C33" s="34" t="s">
        <v>104</v>
      </c>
      <c r="D33" s="170"/>
    </row>
    <row r="34" spans="1:6">
      <c r="A34" s="167" t="s">
        <v>74</v>
      </c>
      <c r="B34" s="33">
        <f>IF((B24*($B$26-($B$27-0.05*$B$27)-$B$60))&lt;0,0,B24*($B$26-($B$27-0.05*$B$27)-$B$60))</f>
        <v>380.61505408706012</v>
      </c>
      <c r="C34" s="33">
        <f>B26*C24</f>
        <v>1153.8223500824574</v>
      </c>
      <c r="D34" s="229"/>
    </row>
    <row r="35" spans="1:6">
      <c r="A35" s="167" t="s">
        <v>76</v>
      </c>
      <c r="B35" s="33">
        <f>IF((B19*($B$26-($B$27-0.05*$B$27)-$B$60))&lt;0,0,B19*($B$26-($B$27-0.05*$B$27)-$B$60))</f>
        <v>23.302564890640017</v>
      </c>
      <c r="C35" s="33">
        <f>B35/2</f>
        <v>11.651282445320009</v>
      </c>
      <c r="D35" s="229"/>
    </row>
    <row r="36" spans="1:6">
      <c r="A36" s="167" t="s">
        <v>77</v>
      </c>
      <c r="B36" s="33">
        <f>IF((B18*($B$26-($B$27-0.05*$B$27)-$B$60))&lt;0,0,B18*($B$26-($B$27-0.05*$B$27)-$B$60))</f>
        <v>1953.6645859538817</v>
      </c>
      <c r="C36" s="34" t="s">
        <v>104</v>
      </c>
      <c r="D36" s="170"/>
    </row>
    <row r="37" spans="1:6">
      <c r="A37" s="167" t="s">
        <v>78</v>
      </c>
      <c r="B37" s="33">
        <f>B60</f>
        <v>249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291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249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14517.439640055863</v>
      </c>
      <c r="C5" s="17">
        <f>IF(ISERROR('Eigen informatie GS &amp; warmtenet'!B60),0,'Eigen informatie GS &amp; warmtenet'!B60)</f>
        <v>0</v>
      </c>
      <c r="D5" s="30">
        <f>SUM(D6:D12)</f>
        <v>13630.877482880189</v>
      </c>
      <c r="E5" s="17">
        <f>SUM(E6:E12)</f>
        <v>32.950343315476488</v>
      </c>
      <c r="F5" s="17">
        <f>SUM(F6:F12)</f>
        <v>3198.9235526911211</v>
      </c>
      <c r="G5" s="18"/>
      <c r="H5" s="17"/>
      <c r="I5" s="17"/>
      <c r="J5" s="17">
        <f>SUM(J6:J12)</f>
        <v>2.7833202293792679E-2</v>
      </c>
      <c r="K5" s="17"/>
      <c r="L5" s="17"/>
      <c r="M5" s="17"/>
      <c r="N5" s="17">
        <f>SUM(N6:N12)</f>
        <v>1034.3038218869681</v>
      </c>
      <c r="O5" s="17">
        <f>B38*B39*B40</f>
        <v>4.8972607658411542</v>
      </c>
      <c r="P5" s="17">
        <f>B46*B47*B48/1000-B46*B47*B48/1000/B49</f>
        <v>262.69569153247511</v>
      </c>
      <c r="R5" s="32"/>
    </row>
    <row r="6" spans="1:18">
      <c r="A6" s="32" t="s">
        <v>53</v>
      </c>
      <c r="B6" s="37">
        <f>B26</f>
        <v>3438.6450211527399</v>
      </c>
      <c r="C6" s="33"/>
      <c r="D6" s="37">
        <f>IF(ISERROR(TER_kantoor_gas_kWh/1000),0,TER_kantoor_gas_kWh/1000)*0.903</f>
        <v>4473.544050172306</v>
      </c>
      <c r="E6" s="33">
        <f>$C$26*'E Balans VL '!I12/100/3.6*1000000</f>
        <v>0</v>
      </c>
      <c r="F6" s="33">
        <f>$C$26*('E Balans VL '!L12+'E Balans VL '!N12)/100/3.6*1000000</f>
        <v>393.13858517805932</v>
      </c>
      <c r="G6" s="34"/>
      <c r="H6" s="33"/>
      <c r="I6" s="33"/>
      <c r="J6" s="33">
        <f>$C$26*('E Balans VL '!D12+'E Balans VL '!E12)/100/3.6*1000000</f>
        <v>0</v>
      </c>
      <c r="K6" s="33"/>
      <c r="L6" s="33"/>
      <c r="M6" s="33"/>
      <c r="N6" s="33">
        <f>$C$26*'E Balans VL '!Y12/100/3.6*1000000</f>
        <v>3.8947847869597418</v>
      </c>
      <c r="O6" s="33"/>
      <c r="P6" s="33"/>
      <c r="R6" s="32"/>
    </row>
    <row r="7" spans="1:18">
      <c r="A7" s="32" t="s">
        <v>52</v>
      </c>
      <c r="B7" s="37">
        <f t="shared" ref="B7:B12" si="0">B27</f>
        <v>1280.5857288366601</v>
      </c>
      <c r="C7" s="33"/>
      <c r="D7" s="37">
        <f>IF(ISERROR(TER_horeca_gas_kWh/1000),0,TER_horeca_gas_kWh/1000)*0.903</f>
        <v>1344.5551940508758</v>
      </c>
      <c r="E7" s="33">
        <f>$C$27*'E Balans VL '!I9/100/3.6*1000000</f>
        <v>0</v>
      </c>
      <c r="F7" s="33">
        <f>$C$27*('E Balans VL '!L9+'E Balans VL '!N9)/100/3.6*1000000</f>
        <v>134.6193913113668</v>
      </c>
      <c r="G7" s="34"/>
      <c r="H7" s="33"/>
      <c r="I7" s="33"/>
      <c r="J7" s="33">
        <f>$C$27*('E Balans VL '!D9+'E Balans VL '!E9)/100/3.6*1000000</f>
        <v>0</v>
      </c>
      <c r="K7" s="33"/>
      <c r="L7" s="33"/>
      <c r="M7" s="33"/>
      <c r="N7" s="33">
        <f>$C$27*'E Balans VL '!Y9/100/3.6*1000000</f>
        <v>14.425161800338239</v>
      </c>
      <c r="O7" s="33"/>
      <c r="P7" s="33"/>
      <c r="R7" s="32"/>
    </row>
    <row r="8" spans="1:18">
      <c r="A8" s="6" t="s">
        <v>51</v>
      </c>
      <c r="B8" s="37">
        <f t="shared" si="0"/>
        <v>6052.1368710557899</v>
      </c>
      <c r="C8" s="33"/>
      <c r="D8" s="37">
        <f>IF(ISERROR(TER_handel_gas_kWh/1000),0,TER_handel_gas_kWh/1000)*0.903</f>
        <v>3771.6187506864944</v>
      </c>
      <c r="E8" s="33">
        <f>$C$28*'E Balans VL '!I13/100/3.6*1000000</f>
        <v>1.3045697408285071</v>
      </c>
      <c r="F8" s="33">
        <f>$C$28*('E Balans VL '!L13+'E Balans VL '!N13)/100/3.6*1000000</f>
        <v>851.11951650338278</v>
      </c>
      <c r="G8" s="34"/>
      <c r="H8" s="33"/>
      <c r="I8" s="33"/>
      <c r="J8" s="33">
        <f>$C$28*('E Balans VL '!D13+'E Balans VL '!E13)/100/3.6*1000000</f>
        <v>0</v>
      </c>
      <c r="K8" s="33"/>
      <c r="L8" s="33"/>
      <c r="M8" s="33"/>
      <c r="N8" s="33">
        <f>$C$28*'E Balans VL '!Y13/100/3.6*1000000</f>
        <v>5.8071389142078988</v>
      </c>
      <c r="O8" s="33"/>
      <c r="P8" s="33"/>
      <c r="R8" s="32"/>
    </row>
    <row r="9" spans="1:18">
      <c r="A9" s="32" t="s">
        <v>50</v>
      </c>
      <c r="B9" s="37">
        <f t="shared" si="0"/>
        <v>1076.9825368450099</v>
      </c>
      <c r="C9" s="33"/>
      <c r="D9" s="37">
        <f>IF(ISERROR(TER_gezond_gas_kWh/1000),0,TER_gezond_gas_kWh/1000)*0.903</f>
        <v>1795.0084468533544</v>
      </c>
      <c r="E9" s="33">
        <f>$C$29*'E Balans VL '!I10/100/3.6*1000000</f>
        <v>0</v>
      </c>
      <c r="F9" s="33">
        <f>$C$29*('E Balans VL '!L10+'E Balans VL '!N10)/100/3.6*1000000</f>
        <v>29.326526607524737</v>
      </c>
      <c r="G9" s="34"/>
      <c r="H9" s="33"/>
      <c r="I9" s="33"/>
      <c r="J9" s="33">
        <f>$C$29*('E Balans VL '!D10+'E Balans VL '!E10)/100/3.6*1000000</f>
        <v>0</v>
      </c>
      <c r="K9" s="33"/>
      <c r="L9" s="33"/>
      <c r="M9" s="33"/>
      <c r="N9" s="33">
        <f>$C$29*'E Balans VL '!Y10/100/3.6*1000000</f>
        <v>6.8280903911981845</v>
      </c>
      <c r="O9" s="33"/>
      <c r="P9" s="33"/>
      <c r="R9" s="32"/>
    </row>
    <row r="10" spans="1:18">
      <c r="A10" s="32" t="s">
        <v>49</v>
      </c>
      <c r="B10" s="37">
        <f t="shared" si="0"/>
        <v>2596.87854070514</v>
      </c>
      <c r="C10" s="33"/>
      <c r="D10" s="37">
        <f>IF(ISERROR(TER_ander_gas_kWh/1000),0,TER_ander_gas_kWh/1000)*0.903</f>
        <v>1948.4104390050597</v>
      </c>
      <c r="E10" s="33">
        <f>$C$30*'E Balans VL '!I14/100/3.6*1000000</f>
        <v>31.645773574647983</v>
      </c>
      <c r="F10" s="33">
        <f>$C$30*('E Balans VL '!L14+'E Balans VL '!N14)/100/3.6*1000000</f>
        <v>1787.7017978063718</v>
      </c>
      <c r="G10" s="34"/>
      <c r="H10" s="33"/>
      <c r="I10" s="33"/>
      <c r="J10" s="33">
        <f>$C$30*('E Balans VL '!D14+'E Balans VL '!E14)/100/3.6*1000000</f>
        <v>2.7833202293792679E-2</v>
      </c>
      <c r="K10" s="33"/>
      <c r="L10" s="33"/>
      <c r="M10" s="33"/>
      <c r="N10" s="33">
        <f>$C$30*'E Balans VL '!Y14/100/3.6*1000000</f>
        <v>1003.1691672237637</v>
      </c>
      <c r="O10" s="33"/>
      <c r="P10" s="33"/>
      <c r="R10" s="32"/>
    </row>
    <row r="11" spans="1:18">
      <c r="A11" s="32" t="s">
        <v>54</v>
      </c>
      <c r="B11" s="37">
        <f t="shared" si="0"/>
        <v>72.210941460526101</v>
      </c>
      <c r="C11" s="33"/>
      <c r="D11" s="37">
        <f>IF(ISERROR(TER_onderwijs_gas_kWh/1000),0,TER_onderwijs_gas_kWh/1000)*0.903</f>
        <v>297.74060211209843</v>
      </c>
      <c r="E11" s="33">
        <f>$C$31*'E Balans VL '!I11/100/3.6*1000000</f>
        <v>0</v>
      </c>
      <c r="F11" s="33">
        <f>$C$31*('E Balans VL '!L11+'E Balans VL '!N11)/100/3.6*1000000</f>
        <v>3.0177352844150755</v>
      </c>
      <c r="G11" s="34"/>
      <c r="H11" s="33"/>
      <c r="I11" s="33"/>
      <c r="J11" s="33">
        <f>$C$31*('E Balans VL '!D11+'E Balans VL '!E11)/100/3.6*1000000</f>
        <v>0</v>
      </c>
      <c r="K11" s="33"/>
      <c r="L11" s="33"/>
      <c r="M11" s="33"/>
      <c r="N11" s="33">
        <f>$C$31*'E Balans VL '!Y11/100/3.6*1000000</f>
        <v>0.17947877050027208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148.8888889008</v>
      </c>
      <c r="C13" s="242">
        <f ca="1">'lokale energieproductie'!O39+'lokale energieproductie'!O32</f>
        <v>289.44444446760002</v>
      </c>
      <c r="D13" s="301">
        <f ca="1">('lokale energieproductie'!P32+'lokale energieproductie'!P39)*(-1)</f>
        <v>-456.44722225873801</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14666.328528956663</v>
      </c>
      <c r="C16" s="21">
        <f t="shared" ca="1" si="1"/>
        <v>289.44444446760002</v>
      </c>
      <c r="D16" s="21">
        <f t="shared" ca="1" si="1"/>
        <v>13174.430260621451</v>
      </c>
      <c r="E16" s="21">
        <f t="shared" ca="1" si="1"/>
        <v>32.950343315476488</v>
      </c>
      <c r="F16" s="21">
        <f t="shared" ca="1" si="1"/>
        <v>3198.9235526911211</v>
      </c>
      <c r="G16" s="21">
        <f t="shared" si="1"/>
        <v>0</v>
      </c>
      <c r="H16" s="21">
        <f t="shared" si="1"/>
        <v>0</v>
      </c>
      <c r="I16" s="21">
        <f t="shared" si="1"/>
        <v>0</v>
      </c>
      <c r="J16" s="21">
        <f t="shared" si="1"/>
        <v>2.7833202293792679E-2</v>
      </c>
      <c r="K16" s="21">
        <f t="shared" si="1"/>
        <v>0</v>
      </c>
      <c r="L16" s="21">
        <f t="shared" ca="1" si="1"/>
        <v>0</v>
      </c>
      <c r="M16" s="21">
        <f t="shared" si="1"/>
        <v>0</v>
      </c>
      <c r="N16" s="21">
        <f t="shared" ca="1" si="1"/>
        <v>1034.3038218869681</v>
      </c>
      <c r="O16" s="21">
        <f>O5</f>
        <v>4.8972607658411542</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0.20003096444540888</v>
      </c>
      <c r="C18" s="25">
        <f ca="1">'EF ele_warmte'!B22</f>
        <v>0.18177898138006571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2933.7198405204163</v>
      </c>
      <c r="C20" s="23">
        <f t="shared" ref="C20:P20" ca="1" si="2">C16*C18</f>
        <v>52.614916281439328</v>
      </c>
      <c r="D20" s="23">
        <f t="shared" ca="1" si="2"/>
        <v>2661.2349126455333</v>
      </c>
      <c r="E20" s="23">
        <f t="shared" ca="1" si="2"/>
        <v>7.4797279326131632</v>
      </c>
      <c r="F20" s="23">
        <f t="shared" ca="1" si="2"/>
        <v>854.11258856852942</v>
      </c>
      <c r="G20" s="23">
        <f t="shared" si="2"/>
        <v>0</v>
      </c>
      <c r="H20" s="23">
        <f t="shared" si="2"/>
        <v>0</v>
      </c>
      <c r="I20" s="23">
        <f t="shared" si="2"/>
        <v>0</v>
      </c>
      <c r="J20" s="23">
        <f t="shared" si="2"/>
        <v>9.8529536120026077E-3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3438.6450211527399</v>
      </c>
      <c r="C26" s="39">
        <f>IF(ISERROR(B26*3.6/1000000/'E Balans VL '!Z12*100),0,B26*3.6/1000000/'E Balans VL '!Z12*100)</f>
        <v>0.10570411634629667</v>
      </c>
      <c r="D26" s="232" t="s">
        <v>768</v>
      </c>
      <c r="F26" s="6"/>
    </row>
    <row r="27" spans="1:18" ht="30">
      <c r="A27" s="227" t="s">
        <v>52</v>
      </c>
      <c r="B27" s="33">
        <f>IF(ISERROR(TER_horeca_ele_kWh/1000),0,TER_horeca_ele_kWh/1000)</f>
        <v>1280.5857288366601</v>
      </c>
      <c r="C27" s="39">
        <f>IF(ISERROR(B27*3.6/1000000/'E Balans VL '!Z9*100),0,B27*3.6/1000000/'E Balans VL '!Z9*100)</f>
        <v>0.10398157299221862</v>
      </c>
      <c r="D27" s="232" t="s">
        <v>768</v>
      </c>
      <c r="F27" s="6"/>
    </row>
    <row r="28" spans="1:18" ht="30">
      <c r="A28" s="167" t="s">
        <v>51</v>
      </c>
      <c r="B28" s="33">
        <f>IF(ISERROR(TER_handel_ele_kWh/1000),0,TER_handel_ele_kWh/1000)</f>
        <v>6052.1368710557899</v>
      </c>
      <c r="C28" s="39">
        <f>IF(ISERROR(B28*3.6/1000000/'E Balans VL '!Z13*100),0,B28*3.6/1000000/'E Balans VL '!Z13*100)</f>
        <v>0.19900217711037033</v>
      </c>
      <c r="D28" s="232" t="s">
        <v>768</v>
      </c>
      <c r="F28" s="6"/>
    </row>
    <row r="29" spans="1:18" ht="30">
      <c r="A29" s="227" t="s">
        <v>50</v>
      </c>
      <c r="B29" s="33">
        <f>IF(ISERROR(TER_gezond_ele_kWh/1000),0,TER_gezond_ele_kWh/1000)</f>
        <v>1076.9825368450099</v>
      </c>
      <c r="C29" s="39">
        <f>IF(ISERROR(B29*3.6/1000000/'E Balans VL '!Z10*100),0,B29*3.6/1000000/'E Balans VL '!Z10*100)</f>
        <v>0.10508093542911529</v>
      </c>
      <c r="D29" s="232" t="s">
        <v>768</v>
      </c>
      <c r="F29" s="6"/>
    </row>
    <row r="30" spans="1:18" ht="30">
      <c r="A30" s="227" t="s">
        <v>49</v>
      </c>
      <c r="B30" s="33">
        <f>IF(ISERROR(TER_ander_ele_kWh/1000),0,TER_ander_ele_kWh/1000)</f>
        <v>2596.87854070514</v>
      </c>
      <c r="C30" s="39">
        <f>IF(ISERROR(B30*3.6/1000000/'E Balans VL '!Z14*100),0,B30*3.6/1000000/'E Balans VL '!Z14*100)</f>
        <v>0.11399263738072088</v>
      </c>
      <c r="D30" s="232" t="s">
        <v>768</v>
      </c>
      <c r="F30" s="6"/>
    </row>
    <row r="31" spans="1:18" ht="30">
      <c r="A31" s="227" t="s">
        <v>54</v>
      </c>
      <c r="B31" s="33">
        <f>IF(ISERROR(TER_onderwijs_ele_kWh/1000),0,TER_onderwijs_ele_kWh/1000)</f>
        <v>72.210941460526101</v>
      </c>
      <c r="C31" s="39">
        <f>IF(ISERROR(B31*3.6/1000000/'E Balans VL '!Z11*100),0,B31*3.6/1000000/'E Balans VL '!Z11*100)</f>
        <v>2.4738290375084022E-2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45238.046586547462</v>
      </c>
      <c r="C5" s="17">
        <f>IF(ISERROR('Eigen informatie GS &amp; warmtenet'!B61),0,'Eigen informatie GS &amp; warmtenet'!B61)</f>
        <v>0</v>
      </c>
      <c r="D5" s="30">
        <f>SUM(D6:D15)</f>
        <v>36033.21618318111</v>
      </c>
      <c r="E5" s="17">
        <f>SUM(E6:E15)</f>
        <v>67.324937243136702</v>
      </c>
      <c r="F5" s="17">
        <f>SUM(F6:F15)</f>
        <v>3790.5059396670013</v>
      </c>
      <c r="G5" s="18"/>
      <c r="H5" s="17"/>
      <c r="I5" s="17"/>
      <c r="J5" s="17">
        <f>SUM(J6:J15)</f>
        <v>9.3096925026719468</v>
      </c>
      <c r="K5" s="17"/>
      <c r="L5" s="17"/>
      <c r="M5" s="17"/>
      <c r="N5" s="17">
        <f>SUM(N6:N15)</f>
        <v>2643.1532171125018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342.43960403429401</v>
      </c>
      <c r="C8" s="33"/>
      <c r="D8" s="37">
        <f>IF( ISERROR(IND_metaal_Gas_kWH/1000),0,IND_metaal_Gas_kWH/1000)*0.903</f>
        <v>0</v>
      </c>
      <c r="E8" s="33">
        <f>C30*'E Balans VL '!I18/100/3.6*1000000</f>
        <v>0.99712949432836295</v>
      </c>
      <c r="F8" s="33">
        <f>C30*'E Balans VL '!L18/100/3.6*1000000+C30*'E Balans VL '!N18/100/3.6*1000000</f>
        <v>13.160658190754937</v>
      </c>
      <c r="G8" s="34"/>
      <c r="H8" s="33"/>
      <c r="I8" s="33"/>
      <c r="J8" s="40">
        <f>C30*'E Balans VL '!D18/100/3.6*1000000+C30*'E Balans VL '!E18/100/3.6*1000000</f>
        <v>9.2531047624489583E-16</v>
      </c>
      <c r="K8" s="33"/>
      <c r="L8" s="33"/>
      <c r="M8" s="33"/>
      <c r="N8" s="33">
        <f>C30*'E Balans VL '!Y18/100/3.6*1000000</f>
        <v>5.079189113838912</v>
      </c>
      <c r="O8" s="33"/>
      <c r="P8" s="33"/>
      <c r="R8" s="32"/>
    </row>
    <row r="9" spans="1:18">
      <c r="A9" s="6" t="s">
        <v>32</v>
      </c>
      <c r="B9" s="37">
        <f t="shared" si="0"/>
        <v>2338.9128611127903</v>
      </c>
      <c r="C9" s="33"/>
      <c r="D9" s="37">
        <f>IF( ISERROR(IND_andere_gas_kWh/1000),0,IND_andere_gas_kWh/1000)*0.903</f>
        <v>1053.5651456345749</v>
      </c>
      <c r="E9" s="33">
        <f>C31*'E Balans VL '!I19/100/3.6*1000000</f>
        <v>11.860984968207596</v>
      </c>
      <c r="F9" s="33">
        <f>C31*'E Balans VL '!L19/100/3.6*1000000+C31*'E Balans VL '!N19/100/3.6*1000000</f>
        <v>1770.1307052041741</v>
      </c>
      <c r="G9" s="34"/>
      <c r="H9" s="33"/>
      <c r="I9" s="33"/>
      <c r="J9" s="40">
        <f>C31*'E Balans VL '!D19/100/3.6*1000000+C31*'E Balans VL '!E19/100/3.6*1000000</f>
        <v>0</v>
      </c>
      <c r="K9" s="33"/>
      <c r="L9" s="33"/>
      <c r="M9" s="33"/>
      <c r="N9" s="33">
        <f>C31*'E Balans VL '!Y19/100/3.6*1000000</f>
        <v>86.098169608012554</v>
      </c>
      <c r="O9" s="33"/>
      <c r="P9" s="33"/>
      <c r="R9" s="32"/>
    </row>
    <row r="10" spans="1:18">
      <c r="A10" s="6" t="s">
        <v>40</v>
      </c>
      <c r="B10" s="37">
        <f t="shared" si="0"/>
        <v>42181.7075725174</v>
      </c>
      <c r="C10" s="33"/>
      <c r="D10" s="37">
        <f>IF( ISERROR(IND_voed_gas_kWh/1000),0,IND_voed_gas_kWh/1000)*0.903</f>
        <v>34663.774512091499</v>
      </c>
      <c r="E10" s="33">
        <f>C32*'E Balans VL '!I20/100/3.6*1000000</f>
        <v>49.327496954538475</v>
      </c>
      <c r="F10" s="33">
        <f>C32*'E Balans VL '!L20/100/3.6*1000000+C32*'E Balans VL '!N20/100/3.6*1000000</f>
        <v>1969.7041742066383</v>
      </c>
      <c r="G10" s="34"/>
      <c r="H10" s="33"/>
      <c r="I10" s="33"/>
      <c r="J10" s="40">
        <f>C32*'E Balans VL '!D20/100/3.6*1000000+C32*'E Balans VL '!E20/100/3.6*1000000</f>
        <v>0</v>
      </c>
      <c r="K10" s="33"/>
      <c r="L10" s="33"/>
      <c r="M10" s="33"/>
      <c r="N10" s="33">
        <f>C32*'E Balans VL '!Y20/100/3.6*1000000</f>
        <v>2419.1203187604337</v>
      </c>
      <c r="O10" s="33"/>
      <c r="P10" s="33"/>
      <c r="R10" s="32"/>
    </row>
    <row r="11" spans="1:18">
      <c r="A11" s="6" t="s">
        <v>39</v>
      </c>
      <c r="B11" s="37">
        <f t="shared" si="0"/>
        <v>83.575216554673091</v>
      </c>
      <c r="C11" s="33"/>
      <c r="D11" s="37">
        <f>IF( ISERROR(IND_textiel_gas_kWh/1000),0,IND_textiel_gas_kWh/1000)*0.903</f>
        <v>0</v>
      </c>
      <c r="E11" s="33">
        <f>C33*'E Balans VL '!I21/100/3.6*1000000</f>
        <v>1.1623518686906043</v>
      </c>
      <c r="F11" s="33">
        <f>C33*'E Balans VL '!L21/100/3.6*1000000+C33*'E Balans VL '!N21/100/3.6*1000000</f>
        <v>2.64621726380964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269.59280676813501</v>
      </c>
      <c r="C12" s="33"/>
      <c r="D12" s="37">
        <f>IF( ISERROR(IND_min_gas_kWh/1000),0,IND_min_gas_kWh/1000)*0.903</f>
        <v>108.01630413294951</v>
      </c>
      <c r="E12" s="33">
        <f>C34*'E Balans VL '!I22/100/3.6*1000000</f>
        <v>2.8406014442960701</v>
      </c>
      <c r="F12" s="33">
        <f>C34*'E Balans VL '!L22/100/3.6*1000000+C34*'E Balans VL '!N22/100/3.6*1000000</f>
        <v>30.606700118579347</v>
      </c>
      <c r="G12" s="34"/>
      <c r="H12" s="33"/>
      <c r="I12" s="33"/>
      <c r="J12" s="40">
        <f>C34*'E Balans VL '!D22/100/3.6*1000000+C34*'E Balans VL '!E22/100/3.6*1000000</f>
        <v>9.188815627081631</v>
      </c>
      <c r="K12" s="33"/>
      <c r="L12" s="33"/>
      <c r="M12" s="33"/>
      <c r="N12" s="33">
        <f>C34*'E Balans VL '!Y22/100/3.6*1000000</f>
        <v>132.10646645812548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21.818525560164101</v>
      </c>
      <c r="C15" s="33"/>
      <c r="D15" s="37">
        <f>IF( ISERROR(IND_rest_gas_kWh/1000),0,IND_rest_gas_kWh/1000)*0.903</f>
        <v>207.86022132208475</v>
      </c>
      <c r="E15" s="33">
        <f>C37*'E Balans VL '!I15/100/3.6*1000000</f>
        <v>1.1363725130755833</v>
      </c>
      <c r="F15" s="33">
        <f>C37*'E Balans VL '!L15/100/3.6*1000000+C37*'E Balans VL '!N15/100/3.6*1000000</f>
        <v>4.2574846830446349</v>
      </c>
      <c r="G15" s="34"/>
      <c r="H15" s="33"/>
      <c r="I15" s="33"/>
      <c r="J15" s="40">
        <f>C37*'E Balans VL '!D15/100/3.6*1000000+C37*'E Balans VL '!E15/100/3.6*1000000</f>
        <v>0.12087687559031413</v>
      </c>
      <c r="K15" s="33"/>
      <c r="L15" s="33"/>
      <c r="M15" s="33"/>
      <c r="N15" s="33">
        <f>C37*'E Balans VL '!Y15/100/3.6*1000000</f>
        <v>0.74907317209149993</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45238.046586547462</v>
      </c>
      <c r="C18" s="21">
        <f>C5+C16</f>
        <v>0</v>
      </c>
      <c r="D18" s="21">
        <f>MAX((D5+D16),0)</f>
        <v>36033.21618318111</v>
      </c>
      <c r="E18" s="21">
        <f>MAX((E5+E16),0)</f>
        <v>67.324937243136702</v>
      </c>
      <c r="F18" s="21">
        <f>MAX((F5+F16),0)</f>
        <v>3790.5059396670013</v>
      </c>
      <c r="G18" s="21"/>
      <c r="H18" s="21"/>
      <c r="I18" s="21"/>
      <c r="J18" s="21">
        <f>MAX((J5+J16),0)</f>
        <v>9.3096925026719468</v>
      </c>
      <c r="K18" s="21"/>
      <c r="L18" s="21">
        <f>MAX((L5+L16),0)</f>
        <v>0</v>
      </c>
      <c r="M18" s="21"/>
      <c r="N18" s="21">
        <f>MAX((N5+N16),0)</f>
        <v>2643.1532171125018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0.20003096444540888</v>
      </c>
      <c r="C20" s="25">
        <f ca="1">'EF ele_warmte'!B22</f>
        <v>0.18177898138006571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9049.0100883334253</v>
      </c>
      <c r="C22" s="23">
        <f ca="1">C18*C20</f>
        <v>0</v>
      </c>
      <c r="D22" s="23">
        <f>D18*D20</f>
        <v>7278.7096690025846</v>
      </c>
      <c r="E22" s="23">
        <f>E18*E20</f>
        <v>15.282760754192031</v>
      </c>
      <c r="F22" s="23">
        <f>F18*F20</f>
        <v>1012.0650858910894</v>
      </c>
      <c r="G22" s="23"/>
      <c r="H22" s="23"/>
      <c r="I22" s="23"/>
      <c r="J22" s="23">
        <f>J18*J20</f>
        <v>3.2956311459458689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342.43960403429401</v>
      </c>
      <c r="C30" s="39">
        <f>IF(ISERROR(B30*3.6/1000000/'E Balans VL '!Z18*100),0,B30*3.6/1000000/'E Balans VL '!Z18*100)</f>
        <v>2.4003232796266729E-2</v>
      </c>
      <c r="D30" s="232" t="s">
        <v>768</v>
      </c>
    </row>
    <row r="31" spans="1:18" ht="30">
      <c r="A31" s="6" t="s">
        <v>32</v>
      </c>
      <c r="B31" s="37">
        <f>IF( ISERROR(IND_ander_ele_kWh/1000),0,IND_ander_ele_kWh/1000)</f>
        <v>2338.9128611127903</v>
      </c>
      <c r="C31" s="39">
        <f>IF(ISERROR(B31*3.6/1000000/'E Balans VL '!Z19*100),0,B31*3.6/1000000/'E Balans VL '!Z19*100)</f>
        <v>0.10958442315185329</v>
      </c>
      <c r="D31" s="232" t="s">
        <v>768</v>
      </c>
    </row>
    <row r="32" spans="1:18" ht="30">
      <c r="A32" s="167" t="s">
        <v>40</v>
      </c>
      <c r="B32" s="37">
        <f>IF( ISERROR(IND_voed_ele_kWh/1000),0,IND_voed_ele_kWh/1000)</f>
        <v>42181.7075725174</v>
      </c>
      <c r="C32" s="39">
        <f>IF(ISERROR(B32*3.6/1000000/'E Balans VL '!Z20*100),0,B32*3.6/1000000/'E Balans VL '!Z20*100)</f>
        <v>1.3923406883234335</v>
      </c>
      <c r="D32" s="232" t="s">
        <v>768</v>
      </c>
    </row>
    <row r="33" spans="1:5" ht="30">
      <c r="A33" s="167" t="s">
        <v>39</v>
      </c>
      <c r="B33" s="37">
        <f>IF( ISERROR(IND_textiel_ele_kWh/1000),0,IND_textiel_ele_kWh/1000)</f>
        <v>83.575216554673091</v>
      </c>
      <c r="C33" s="39">
        <f>IF(ISERROR(B33*3.6/1000000/'E Balans VL '!Z21*100),0,B33*3.6/1000000/'E Balans VL '!Z21*100)</f>
        <v>1.5505830059870353E-2</v>
      </c>
      <c r="D33" s="232" t="s">
        <v>768</v>
      </c>
    </row>
    <row r="34" spans="1:5" ht="30">
      <c r="A34" s="167" t="s">
        <v>36</v>
      </c>
      <c r="B34" s="37">
        <f>IF( ISERROR(IND_min_ele_kWh/1000),0,IND_min_ele_kWh/1000)</f>
        <v>269.59280676813501</v>
      </c>
      <c r="C34" s="39">
        <f>IF(ISERROR(B34*3.6/1000000/'E Balans VL '!Z22*100),0,B34*3.6/1000000/'E Balans VL '!Z22*100)</f>
        <v>0.11312792400223617</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21.818525560164101</v>
      </c>
      <c r="C37" s="39">
        <f>IF(ISERROR(B37*3.6/1000000/'E Balans VL '!Z15*100),0,B37*3.6/1000000/'E Balans VL '!Z15*100)</f>
        <v>2.0085856798358342E-4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321.98349867457404</v>
      </c>
      <c r="C5" s="17">
        <f>'Eigen informatie GS &amp; warmtenet'!B62</f>
        <v>0</v>
      </c>
      <c r="D5" s="30">
        <f>IF(ISERROR(SUM(LB_lb_gas_kWh,LB_rest_gas_kWh)/1000),0,SUM(LB_lb_gas_kWh,LB_rest_gas_kWh)/1000)*0.903</f>
        <v>59.670567594165114</v>
      </c>
      <c r="E5" s="17">
        <f>B17*'E Balans VL '!I25/3.6*1000000/100</f>
        <v>10.857776792838143</v>
      </c>
      <c r="F5" s="17">
        <f>B17*('E Balans VL '!L25/3.6*1000000+'E Balans VL '!N25/3.6*1000000)/100</f>
        <v>1115.5738458260107</v>
      </c>
      <c r="G5" s="18"/>
      <c r="H5" s="17"/>
      <c r="I5" s="17"/>
      <c r="J5" s="17">
        <f>('E Balans VL '!D25+'E Balans VL '!E25)/3.6*1000000*landbouw!B17/100</f>
        <v>69.887640644738738</v>
      </c>
      <c r="K5" s="17"/>
      <c r="L5" s="17">
        <f>L6*(-1)</f>
        <v>86.302777784682007</v>
      </c>
      <c r="M5" s="17"/>
      <c r="N5" s="17">
        <f>N6*(-1)</f>
        <v>0</v>
      </c>
      <c r="O5" s="17"/>
      <c r="P5" s="17"/>
      <c r="R5" s="32"/>
    </row>
    <row r="6" spans="1:18">
      <c r="A6" s="16" t="s">
        <v>808</v>
      </c>
      <c r="B6" s="17" t="s">
        <v>204</v>
      </c>
      <c r="C6" s="17">
        <f>'lokale energieproductie'!O40+'lokale energieproductie'!O33</f>
        <v>43.055555559000005</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-86.302777784682007</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321.98349867457404</v>
      </c>
      <c r="C8" s="21">
        <f>C5+C6</f>
        <v>43.055555559000005</v>
      </c>
      <c r="D8" s="21">
        <f>MAX((D5+D6),0)</f>
        <v>59.670567594165114</v>
      </c>
      <c r="E8" s="21">
        <f>MAX((E5+E6),0)</f>
        <v>10.857776792838143</v>
      </c>
      <c r="F8" s="21">
        <f>MAX((F5+F6),0)</f>
        <v>1115.5738458260107</v>
      </c>
      <c r="G8" s="21"/>
      <c r="H8" s="21"/>
      <c r="I8" s="21"/>
      <c r="J8" s="21">
        <f>MAX((J5+J6),0)</f>
        <v>69.887640644738738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0.20003096444540888</v>
      </c>
      <c r="C10" s="31">
        <f ca="1">'EF ele_warmte'!B22</f>
        <v>0.18177898138006571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64.40666977538207</v>
      </c>
      <c r="C12" s="23">
        <f ca="1">C8*C10</f>
        <v>7.8265950322678464</v>
      </c>
      <c r="D12" s="23">
        <f>D8*D10</f>
        <v>12.053454654021353</v>
      </c>
      <c r="E12" s="23">
        <f>E8*E10</f>
        <v>2.4647153319742587</v>
      </c>
      <c r="F12" s="23">
        <f>F8*F10</f>
        <v>297.85821683554485</v>
      </c>
      <c r="G12" s="23"/>
      <c r="H12" s="23"/>
      <c r="I12" s="23"/>
      <c r="J12" s="23">
        <f>J8*J10</f>
        <v>24.740224788237512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4.5995185933500764E-2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11.826951290851849</v>
      </c>
      <c r="C26" s="242">
        <f>B26*'GWP N2O_CH4'!B5</f>
        <v>248.36597710788882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0.74386710907230214</v>
      </c>
      <c r="C27" s="242">
        <f>B27*'GWP N2O_CH4'!B5</f>
        <v>15.621209290518344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0.17586853450030077</v>
      </c>
      <c r="C28" s="242">
        <f>B28*'GWP N2O_CH4'!B4</f>
        <v>54.51924569509324</v>
      </c>
      <c r="D28" s="50"/>
    </row>
    <row r="29" spans="1:4">
      <c r="A29" s="41" t="s">
        <v>266</v>
      </c>
      <c r="B29" s="242">
        <f>B34*'ha_N2O bodem landbouw'!B4</f>
        <v>6.0734124602655823</v>
      </c>
      <c r="C29" s="242">
        <f>B29*'GWP N2O_CH4'!B4</f>
        <v>1882.7578626823306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1.3315725146030098E-3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3.4219425172207865E-3</v>
      </c>
      <c r="C5" s="428" t="s">
        <v>204</v>
      </c>
      <c r="D5" s="413">
        <f>SUM(D6:D11)</f>
        <v>2.9762985117924787E-3</v>
      </c>
      <c r="E5" s="413">
        <f>SUM(E6:E11)</f>
        <v>1.0920014650296862E-3</v>
      </c>
      <c r="F5" s="426" t="s">
        <v>204</v>
      </c>
      <c r="G5" s="413">
        <f>SUM(G6:G11)</f>
        <v>0.42562056532093279</v>
      </c>
      <c r="H5" s="413">
        <f>SUM(H6:H11)</f>
        <v>0.14467764109323922</v>
      </c>
      <c r="I5" s="428" t="s">
        <v>204</v>
      </c>
      <c r="J5" s="428" t="s">
        <v>204</v>
      </c>
      <c r="K5" s="428" t="s">
        <v>204</v>
      </c>
      <c r="L5" s="428" t="s">
        <v>204</v>
      </c>
      <c r="M5" s="413">
        <f>SUM(M6:M11)</f>
        <v>6.0092648868516035E-2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1.2570554219691022E-3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1.1588155171609648E-3</v>
      </c>
      <c r="E6" s="839">
        <f>vkm_GW_PW*SUMIFS(TableVerdeelsleutelVkm[LPG],TableVerdeelsleutelVkm[Voertuigtype],"Lichte voertuigen")*SUMIFS(TableECFTransport[EnergieConsumptieFactor (PJ per km)],TableECFTransport[Index],CONCATENATE($A6,"_LPG_LPG"))</f>
        <v>3.8958160759929717E-4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0.11025891794591115</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5.5129696324075571E-2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1.7086035793617855E-2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2.2633745318187821E-6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5.0062250847035042E-2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3.6081355423713607E-7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5.6039437296416649E-3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4.6427598115925627E-4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5.5532144059131029E-4</v>
      </c>
      <c r="E8" s="416">
        <f>vkm_NGW_PW*SUMIFS(TableVerdeelsleutelVkm[LPG],TableVerdeelsleutelVkm[Voertuigtype],"Lichte voertuigen")*SUMIFS(TableECFTransport[EnergieConsumptieFactor (PJ per km)],TableECFTransport[Index],CONCATENATE($A8,"_LPG_LPG"))</f>
        <v>1.7829201368494563E-4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4.6189876935882668E-2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2.5918731322798583E-2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7.4006867094779851E-3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1.0904573810259013E-7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3.1050233163435149E-3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2.0982226058119452E-8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3.4757466221388704E-4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1.6942308211095728E-3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1.2621615540402036E-3</v>
      </c>
      <c r="E10" s="416">
        <f>vkm_SW_PW*SUMIFS(TableVerdeelsleutelVkm[LPG],TableVerdeelsleutelVkm[Voertuigtype],"Lichte voertuigen")*SUMIFS(TableECFTransport[EnergieConsumptieFactor (PJ per km)],TableECFTransport[Index],CONCATENATE($A10,"_LPG_LPG"))</f>
        <v>5.241278437454434E-4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0.1326119516603225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6.3628174036996304E-2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2.0319482689235051E-2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4.0078727129340252E-6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8.3392544615437936E-2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6.5761358846161296E-7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9.3349252843295937E-3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950.53958811688506</v>
      </c>
      <c r="C14" s="21"/>
      <c r="D14" s="21">
        <f t="shared" ref="D14:M14" si="0">((D5)*10^9/3600)+D12</f>
        <v>826.74958660902189</v>
      </c>
      <c r="E14" s="21">
        <f t="shared" si="0"/>
        <v>303.33374028602395</v>
      </c>
      <c r="F14" s="21"/>
      <c r="G14" s="21">
        <f t="shared" si="0"/>
        <v>118227.93481137023</v>
      </c>
      <c r="H14" s="21">
        <f t="shared" si="0"/>
        <v>40188.233637010897</v>
      </c>
      <c r="I14" s="21"/>
      <c r="J14" s="21"/>
      <c r="K14" s="21"/>
      <c r="L14" s="21"/>
      <c r="M14" s="21">
        <f t="shared" si="0"/>
        <v>16692.402463476676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0.20003096444540888</v>
      </c>
      <c r="C16" s="56">
        <f ca="1">'EF ele_warmte'!B22</f>
        <v>0.18177898138006571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190.13735055456223</v>
      </c>
      <c r="C18" s="23"/>
      <c r="D18" s="23">
        <f t="shared" ref="D18:M18" si="1">D14*D16</f>
        <v>167.00341649502244</v>
      </c>
      <c r="E18" s="23">
        <f t="shared" si="1"/>
        <v>68.856759044927443</v>
      </c>
      <c r="F18" s="23"/>
      <c r="G18" s="23">
        <f t="shared" si="1"/>
        <v>31566.858594635854</v>
      </c>
      <c r="H18" s="23">
        <f t="shared" si="1"/>
        <v>10006.870175615713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1.1908603732497616E-4</v>
      </c>
      <c r="C50" s="312">
        <f t="shared" ref="C50:P50" si="2">SUM(C51:C52)</f>
        <v>0</v>
      </c>
      <c r="D50" s="312">
        <f t="shared" si="2"/>
        <v>0</v>
      </c>
      <c r="E50" s="312">
        <f t="shared" si="2"/>
        <v>0</v>
      </c>
      <c r="F50" s="312">
        <f t="shared" si="2"/>
        <v>0</v>
      </c>
      <c r="G50" s="312">
        <f t="shared" si="2"/>
        <v>4.8904750458895439E-3</v>
      </c>
      <c r="H50" s="312">
        <f t="shared" si="2"/>
        <v>0</v>
      </c>
      <c r="I50" s="312">
        <f t="shared" si="2"/>
        <v>0</v>
      </c>
      <c r="J50" s="312">
        <f t="shared" si="2"/>
        <v>0</v>
      </c>
      <c r="K50" s="312">
        <f t="shared" si="2"/>
        <v>0</v>
      </c>
      <c r="L50" s="312">
        <f t="shared" si="2"/>
        <v>0</v>
      </c>
      <c r="M50" s="312">
        <f t="shared" si="2"/>
        <v>5.4743433763991013E-4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1.1908603732497616E-4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4.8904750458895439E-3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5.4743433763991013E-4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33.079454812493381</v>
      </c>
      <c r="C54" s="21">
        <f t="shared" ref="C54:P54" si="3">(C50)*10^9/3600</f>
        <v>0</v>
      </c>
      <c r="D54" s="21">
        <f t="shared" si="3"/>
        <v>0</v>
      </c>
      <c r="E54" s="21">
        <f t="shared" si="3"/>
        <v>0</v>
      </c>
      <c r="F54" s="21">
        <f t="shared" si="3"/>
        <v>0</v>
      </c>
      <c r="G54" s="21">
        <f t="shared" si="3"/>
        <v>1358.4652905248734</v>
      </c>
      <c r="H54" s="21">
        <f t="shared" si="3"/>
        <v>0</v>
      </c>
      <c r="I54" s="21">
        <f t="shared" si="3"/>
        <v>0</v>
      </c>
      <c r="J54" s="21">
        <f t="shared" si="3"/>
        <v>0</v>
      </c>
      <c r="K54" s="21">
        <f t="shared" si="3"/>
        <v>0</v>
      </c>
      <c r="L54" s="21">
        <f t="shared" si="3"/>
        <v>0</v>
      </c>
      <c r="M54" s="21">
        <f t="shared" si="3"/>
        <v>152.06509378886395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0.20003096444540888</v>
      </c>
      <c r="C56" s="56">
        <f ca="1">'EF ele_warmte'!B22</f>
        <v>0.18177898138006571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6.616915249471373</v>
      </c>
      <c r="C58" s="23">
        <f t="shared" ref="C58:P58" ca="1" si="4">C54*C56</f>
        <v>0</v>
      </c>
      <c r="D58" s="23">
        <f t="shared" si="4"/>
        <v>0</v>
      </c>
      <c r="E58" s="23">
        <f t="shared" si="4"/>
        <v>0</v>
      </c>
      <c r="F58" s="23">
        <f t="shared" si="4"/>
        <v>0</v>
      </c>
      <c r="G58" s="23">
        <f t="shared" si="4"/>
        <v>362.71023257014122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104.66809482136884</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8780.6313297057241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174.7222222362</v>
      </c>
      <c r="C8" s="539">
        <f>B49</f>
        <v>157.23181971563315</v>
      </c>
      <c r="D8" s="540">
        <f>J49</f>
        <v>0</v>
      </c>
      <c r="E8" s="540">
        <f>E49</f>
        <v>0</v>
      </c>
      <c r="F8" s="541"/>
      <c r="G8" s="542"/>
      <c r="H8" s="540">
        <f>I49</f>
        <v>0</v>
      </c>
      <c r="I8" s="540">
        <f>G49+F49</f>
        <v>29.72861293897315</v>
      </c>
      <c r="J8" s="540">
        <f>H49+D49+C49</f>
        <v>0</v>
      </c>
      <c r="K8" s="540"/>
      <c r="L8" s="540"/>
      <c r="M8" s="540"/>
      <c r="N8" s="543"/>
      <c r="O8" s="544">
        <f>C8*$C$12+D8*$D$12+E8*$E$12+F8*$F$12+G8*$G$12+H8*$H$12+I8*$I$12+J8*$J$12</f>
        <v>31.760827582557898</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9060.0216467632927</v>
      </c>
      <c r="C10" s="554">
        <f t="shared" ref="C10:L10" si="0">SUM(C8:C9)</f>
        <v>157.23181971563315</v>
      </c>
      <c r="D10" s="554">
        <f t="shared" si="0"/>
        <v>0</v>
      </c>
      <c r="E10" s="554">
        <f t="shared" si="0"/>
        <v>0</v>
      </c>
      <c r="F10" s="554">
        <f t="shared" si="0"/>
        <v>0</v>
      </c>
      <c r="G10" s="554">
        <f t="shared" si="0"/>
        <v>0</v>
      </c>
      <c r="H10" s="554">
        <f t="shared" si="0"/>
        <v>0</v>
      </c>
      <c r="I10" s="554">
        <f t="shared" si="0"/>
        <v>29.72861293897315</v>
      </c>
      <c r="J10" s="554">
        <f t="shared" si="0"/>
        <v>0</v>
      </c>
      <c r="K10" s="554">
        <f t="shared" si="0"/>
        <v>0</v>
      </c>
      <c r="L10" s="554">
        <f t="shared" si="0"/>
        <v>0</v>
      </c>
      <c r="M10" s="912"/>
      <c r="N10" s="912"/>
      <c r="O10" s="555">
        <f>SUM(O4:O9)</f>
        <v>31.760827582557898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332.50000002660005</v>
      </c>
      <c r="C17" s="570">
        <f>B50</f>
        <v>299.2154025431048</v>
      </c>
      <c r="D17" s="571">
        <f>J50</f>
        <v>0</v>
      </c>
      <c r="E17" s="571">
        <f>E50</f>
        <v>0</v>
      </c>
      <c r="F17" s="572"/>
      <c r="G17" s="573"/>
      <c r="H17" s="570">
        <f>I50</f>
        <v>0</v>
      </c>
      <c r="I17" s="571">
        <f>G50+F50</f>
        <v>56.57416484570885</v>
      </c>
      <c r="J17" s="571">
        <f>H50+D50+C50</f>
        <v>0</v>
      </c>
      <c r="K17" s="571"/>
      <c r="L17" s="571"/>
      <c r="M17" s="571"/>
      <c r="N17" s="913"/>
      <c r="O17" s="574">
        <f>C17*$C$22+E17*$E$22+H17*$H$22+I17*$I$22+J17*$J$22+D17*$D$22+F17*$F$22+G17*$G$22+K17*$K$22+L17*$L$22</f>
        <v>60.441511313707174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332.50000002660005</v>
      </c>
      <c r="C20" s="553">
        <f>SUM(C17:C19)</f>
        <v>299.2154025431048</v>
      </c>
      <c r="D20" s="553">
        <f t="shared" ref="D20:L20" si="1">SUM(D17:D19)</f>
        <v>0</v>
      </c>
      <c r="E20" s="553">
        <f t="shared" si="1"/>
        <v>0</v>
      </c>
      <c r="F20" s="553">
        <f t="shared" si="1"/>
        <v>0</v>
      </c>
      <c r="G20" s="553">
        <f t="shared" si="1"/>
        <v>0</v>
      </c>
      <c r="H20" s="553">
        <f t="shared" si="1"/>
        <v>0</v>
      </c>
      <c r="I20" s="553">
        <f t="shared" si="1"/>
        <v>56.57416484570885</v>
      </c>
      <c r="J20" s="553">
        <f t="shared" si="1"/>
        <v>0</v>
      </c>
      <c r="K20" s="553">
        <f t="shared" si="1"/>
        <v>0</v>
      </c>
      <c r="L20" s="553">
        <f t="shared" si="1"/>
        <v>0</v>
      </c>
      <c r="M20" s="553"/>
      <c r="N20" s="553"/>
      <c r="O20" s="579">
        <f>SUM(O17:O19)</f>
        <v>60.441511313707174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24094</v>
      </c>
      <c r="C28" s="741"/>
      <c r="D28" s="628"/>
      <c r="E28" s="627"/>
      <c r="F28" s="627"/>
      <c r="G28" s="627"/>
      <c r="H28" s="627"/>
      <c r="I28" s="627"/>
      <c r="J28" s="740"/>
      <c r="K28" s="740"/>
      <c r="L28" s="627"/>
      <c r="M28" s="627">
        <v>32</v>
      </c>
      <c r="N28" s="627">
        <v>148.8888889008</v>
      </c>
      <c r="O28" s="627">
        <v>289.44444446760002</v>
      </c>
      <c r="P28" s="627">
        <v>456.44722225873801</v>
      </c>
      <c r="Q28" s="627">
        <v>0</v>
      </c>
      <c r="R28" s="627">
        <v>0</v>
      </c>
      <c r="S28" s="627">
        <v>0</v>
      </c>
      <c r="T28" s="627">
        <v>0</v>
      </c>
      <c r="U28" s="627">
        <v>0</v>
      </c>
      <c r="V28" s="627">
        <v>0</v>
      </c>
      <c r="W28" s="627">
        <v>0</v>
      </c>
      <c r="X28" s="627">
        <v>0</v>
      </c>
      <c r="Y28" s="627"/>
      <c r="Z28" s="627"/>
      <c r="AA28" s="629" t="s">
        <v>830</v>
      </c>
    </row>
    <row r="29" spans="1:27" s="584" customFormat="1" ht="12.75" hidden="1">
      <c r="A29" s="583"/>
      <c r="B29" s="741">
        <v>24094</v>
      </c>
      <c r="C29" s="741"/>
      <c r="D29" s="628"/>
      <c r="E29" s="627"/>
      <c r="F29" s="627"/>
      <c r="G29" s="627"/>
      <c r="H29" s="627"/>
      <c r="I29" s="627"/>
      <c r="J29" s="740"/>
      <c r="K29" s="740"/>
      <c r="L29" s="627"/>
      <c r="M29" s="627">
        <v>10</v>
      </c>
      <c r="N29" s="627">
        <v>25.833333335400003</v>
      </c>
      <c r="O29" s="627">
        <v>43.055555559000005</v>
      </c>
      <c r="P29" s="627">
        <v>0</v>
      </c>
      <c r="Q29" s="627">
        <v>0</v>
      </c>
      <c r="R29" s="627">
        <v>0</v>
      </c>
      <c r="S29" s="627">
        <v>0</v>
      </c>
      <c r="T29" s="627">
        <v>0</v>
      </c>
      <c r="U29" s="627">
        <v>86.302777784682007</v>
      </c>
      <c r="V29" s="627">
        <v>0</v>
      </c>
      <c r="W29" s="627">
        <v>0</v>
      </c>
      <c r="X29" s="627">
        <v>0</v>
      </c>
      <c r="Y29" s="627"/>
      <c r="Z29" s="627"/>
      <c r="AA29" s="629" t="s">
        <v>105</v>
      </c>
    </row>
    <row r="30" spans="1:27" s="564" customFormat="1" hidden="1">
      <c r="A30" s="586" t="s">
        <v>269</v>
      </c>
      <c r="B30" s="587"/>
      <c r="C30" s="587"/>
      <c r="D30" s="587"/>
      <c r="E30" s="587"/>
      <c r="F30" s="587"/>
      <c r="G30" s="587"/>
      <c r="H30" s="587"/>
      <c r="I30" s="587"/>
      <c r="J30" s="587"/>
      <c r="K30" s="587"/>
      <c r="L30" s="588"/>
      <c r="M30" s="588">
        <f>SUM(M28:M29)</f>
        <v>42</v>
      </c>
      <c r="N30" s="588">
        <f>SUM(N28:N29)</f>
        <v>174.7222222362</v>
      </c>
      <c r="O30" s="588">
        <f>SUM(O28:O29)</f>
        <v>332.50000002660005</v>
      </c>
      <c r="P30" s="588">
        <f>SUM(P28:P29)</f>
        <v>456.44722225873801</v>
      </c>
      <c r="Q30" s="588">
        <f>SUM(Q28:Q29)</f>
        <v>0</v>
      </c>
      <c r="R30" s="588">
        <f>SUM(R28:R29)</f>
        <v>0</v>
      </c>
      <c r="S30" s="588">
        <f>SUM(S28:S29)</f>
        <v>0</v>
      </c>
      <c r="T30" s="588">
        <f>SUM(T28:T29)</f>
        <v>0</v>
      </c>
      <c r="U30" s="588">
        <f>SUM(U28:U29)</f>
        <v>86.302777784682007</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32</v>
      </c>
      <c r="N32" s="588">
        <f ca="1">SUMIF($AA$28:AE29,"tertiair",N28:N29)</f>
        <v>148.8888889008</v>
      </c>
      <c r="O32" s="588">
        <f ca="1">SUMIF($AA$28:AF29,"tertiair",O28:O29)</f>
        <v>289.44444446760002</v>
      </c>
      <c r="P32" s="588">
        <f ca="1">SUMIF($AA$28:AG29,"tertiair",P28:P29)</f>
        <v>456.44722225873801</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10</v>
      </c>
      <c r="N33" s="593">
        <f>SUMIF($AA$28:$AA$29,"landbouw",N28:N29)</f>
        <v>25.833333335400003</v>
      </c>
      <c r="O33" s="593">
        <f>SUMIF($AA$28:$AA$29,"landbouw",O28:O29)</f>
        <v>43.055555559000005</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86.302777784682007</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0.65553121577217965</v>
      </c>
      <c r="C46" s="612">
        <f>IF(ISERROR(N30/(O30+N30)),0,N30/(N30+O30))</f>
        <v>0.34446878422782029</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157.23181971563315</v>
      </c>
      <c r="C49" s="621">
        <f>$C$46*Q30</f>
        <v>0</v>
      </c>
      <c r="D49" s="621">
        <f>$C$46*R30</f>
        <v>0</v>
      </c>
      <c r="E49" s="621">
        <f>$C$46*S30</f>
        <v>0</v>
      </c>
      <c r="F49" s="621">
        <f>$C$46*T30</f>
        <v>0</v>
      </c>
      <c r="G49" s="621">
        <f>$C$46*U30</f>
        <v>29.72861293897315</v>
      </c>
      <c r="H49" s="621">
        <f>$C$46*V30</f>
        <v>0</v>
      </c>
      <c r="I49" s="621">
        <f>$C$46*W30</f>
        <v>0</v>
      </c>
      <c r="J49" s="621">
        <f>$C$46*X30</f>
        <v>0</v>
      </c>
      <c r="K49" s="580"/>
      <c r="L49" s="617"/>
      <c r="M49" s="617"/>
      <c r="N49" s="617"/>
      <c r="O49" s="604"/>
      <c r="P49" s="604"/>
    </row>
    <row r="50" spans="1:16" ht="15.75" thickBot="1">
      <c r="A50" s="622" t="s">
        <v>273</v>
      </c>
      <c r="B50" s="623">
        <f>$B$46*P30</f>
        <v>299.2154025431048</v>
      </c>
      <c r="C50" s="623">
        <f>$B$46*Q30</f>
        <v>0</v>
      </c>
      <c r="D50" s="623">
        <f>$B$46*R30</f>
        <v>0</v>
      </c>
      <c r="E50" s="623">
        <f>$B$46*S30</f>
        <v>0</v>
      </c>
      <c r="F50" s="623">
        <f>$B$46*T30</f>
        <v>0</v>
      </c>
      <c r="G50" s="623">
        <f>$B$46*U30</f>
        <v>56.57416484570885</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15271.518528956663</v>
      </c>
      <c r="D10" s="637">
        <f ca="1">tertiair!C16</f>
        <v>289.44444446760002</v>
      </c>
      <c r="E10" s="637">
        <f ca="1">tertiair!D16</f>
        <v>13174.430260621451</v>
      </c>
      <c r="F10" s="637">
        <f ca="1">tertiair!E16</f>
        <v>32.950343315476488</v>
      </c>
      <c r="G10" s="637">
        <f ca="1">tertiair!F16</f>
        <v>3198.9235526911211</v>
      </c>
      <c r="H10" s="637">
        <f>tertiair!G16</f>
        <v>0</v>
      </c>
      <c r="I10" s="637">
        <f>tertiair!H16</f>
        <v>0</v>
      </c>
      <c r="J10" s="637">
        <f>tertiair!I16</f>
        <v>0</v>
      </c>
      <c r="K10" s="637">
        <f>tertiair!J16</f>
        <v>2.7833202293792679E-2</v>
      </c>
      <c r="L10" s="637">
        <f>tertiair!K16</f>
        <v>0</v>
      </c>
      <c r="M10" s="637">
        <f ca="1">tertiair!L16</f>
        <v>0</v>
      </c>
      <c r="N10" s="637">
        <f>tertiair!M16</f>
        <v>0</v>
      </c>
      <c r="O10" s="637">
        <f ca="1">tertiair!N16</f>
        <v>1034.3038218869681</v>
      </c>
      <c r="P10" s="637">
        <f>tertiair!O16</f>
        <v>4.8972607658411542</v>
      </c>
      <c r="Q10" s="638">
        <f>tertiair!P16</f>
        <v>262.69569153247511</v>
      </c>
      <c r="R10" s="640">
        <f ca="1">SUM(C10:Q10)</f>
        <v>33269.191737439891</v>
      </c>
      <c r="S10" s="67"/>
    </row>
    <row r="11" spans="1:19" s="439" customFormat="1">
      <c r="A11" s="757" t="s">
        <v>214</v>
      </c>
      <c r="B11" s="762"/>
      <c r="C11" s="637">
        <f>huishoudens!B8</f>
        <v>31456.426043892498</v>
      </c>
      <c r="D11" s="637">
        <f>huishoudens!C8</f>
        <v>0</v>
      </c>
      <c r="E11" s="637">
        <f>huishoudens!D8</f>
        <v>46890.035878766961</v>
      </c>
      <c r="F11" s="637">
        <f>huishoudens!E8</f>
        <v>3105.0728857020185</v>
      </c>
      <c r="G11" s="637">
        <f>huishoudens!F8</f>
        <v>39336.735071360112</v>
      </c>
      <c r="H11" s="637">
        <f>huishoudens!G8</f>
        <v>0</v>
      </c>
      <c r="I11" s="637">
        <f>huishoudens!H8</f>
        <v>0</v>
      </c>
      <c r="J11" s="637">
        <f>huishoudens!I8</f>
        <v>0</v>
      </c>
      <c r="K11" s="637">
        <f>huishoudens!J8</f>
        <v>251.77777165479031</v>
      </c>
      <c r="L11" s="637">
        <f>huishoudens!K8</f>
        <v>0</v>
      </c>
      <c r="M11" s="637">
        <f>huishoudens!L8</f>
        <v>0</v>
      </c>
      <c r="N11" s="637">
        <f>huishoudens!M8</f>
        <v>0</v>
      </c>
      <c r="O11" s="637">
        <f>huishoudens!N8</f>
        <v>8902.4992325711028</v>
      </c>
      <c r="P11" s="637">
        <f>huishoudens!O8</f>
        <v>577.33184184162633</v>
      </c>
      <c r="Q11" s="638">
        <f>huishoudens!P8</f>
        <v>2622.9558676135712</v>
      </c>
      <c r="R11" s="640">
        <f>SUM(C11:Q11)</f>
        <v>133142.83459340266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45238.046586547462</v>
      </c>
      <c r="D13" s="637">
        <f>industrie!C18</f>
        <v>0</v>
      </c>
      <c r="E13" s="637">
        <f>industrie!D18</f>
        <v>36033.21618318111</v>
      </c>
      <c r="F13" s="637">
        <f>industrie!E18</f>
        <v>67.324937243136702</v>
      </c>
      <c r="G13" s="637">
        <f>industrie!F18</f>
        <v>3790.5059396670013</v>
      </c>
      <c r="H13" s="637">
        <f>industrie!G18</f>
        <v>0</v>
      </c>
      <c r="I13" s="637">
        <f>industrie!H18</f>
        <v>0</v>
      </c>
      <c r="J13" s="637">
        <f>industrie!I18</f>
        <v>0</v>
      </c>
      <c r="K13" s="637">
        <f>industrie!J18</f>
        <v>9.3096925026719468</v>
      </c>
      <c r="L13" s="637">
        <f>industrie!K18</f>
        <v>0</v>
      </c>
      <c r="M13" s="637">
        <f>industrie!L18</f>
        <v>0</v>
      </c>
      <c r="N13" s="637">
        <f>industrie!M18</f>
        <v>0</v>
      </c>
      <c r="O13" s="637">
        <f>industrie!N18</f>
        <v>2643.1532171125018</v>
      </c>
      <c r="P13" s="637">
        <f>industrie!O18</f>
        <v>0</v>
      </c>
      <c r="Q13" s="638">
        <f>industrie!P18</f>
        <v>0</v>
      </c>
      <c r="R13" s="640">
        <f>SUM(C13:Q13)</f>
        <v>87781.556556253883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91965.991159396624</v>
      </c>
      <c r="D16" s="673">
        <f t="shared" ref="D16:R16" ca="1" si="0">SUM(D9:D15)</f>
        <v>289.44444446760002</v>
      </c>
      <c r="E16" s="673">
        <f t="shared" ca="1" si="0"/>
        <v>96097.682322569526</v>
      </c>
      <c r="F16" s="673">
        <f t="shared" ca="1" si="0"/>
        <v>3205.3481662606318</v>
      </c>
      <c r="G16" s="673">
        <f t="shared" ca="1" si="0"/>
        <v>46326.164563718237</v>
      </c>
      <c r="H16" s="673">
        <f t="shared" si="0"/>
        <v>0</v>
      </c>
      <c r="I16" s="673">
        <f t="shared" si="0"/>
        <v>0</v>
      </c>
      <c r="J16" s="673">
        <f t="shared" si="0"/>
        <v>0</v>
      </c>
      <c r="K16" s="673">
        <f t="shared" si="0"/>
        <v>261.11529735975608</v>
      </c>
      <c r="L16" s="673">
        <f t="shared" si="0"/>
        <v>0</v>
      </c>
      <c r="M16" s="673">
        <f t="shared" ca="1" si="0"/>
        <v>0</v>
      </c>
      <c r="N16" s="673">
        <f t="shared" si="0"/>
        <v>0</v>
      </c>
      <c r="O16" s="673">
        <f t="shared" ca="1" si="0"/>
        <v>12579.956271570572</v>
      </c>
      <c r="P16" s="673">
        <f t="shared" si="0"/>
        <v>582.22910260746744</v>
      </c>
      <c r="Q16" s="673">
        <f t="shared" si="0"/>
        <v>2885.6515591460461</v>
      </c>
      <c r="R16" s="673">
        <f t="shared" ca="1" si="0"/>
        <v>254193.58288709645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33.079454812493381</v>
      </c>
      <c r="D19" s="637">
        <f>transport!C54</f>
        <v>0</v>
      </c>
      <c r="E19" s="637">
        <f>transport!D54</f>
        <v>0</v>
      </c>
      <c r="F19" s="637">
        <f>transport!E54</f>
        <v>0</v>
      </c>
      <c r="G19" s="637">
        <f>transport!F54</f>
        <v>0</v>
      </c>
      <c r="H19" s="637">
        <f>transport!G54</f>
        <v>1358.4652905248734</v>
      </c>
      <c r="I19" s="637">
        <f>transport!H54</f>
        <v>0</v>
      </c>
      <c r="J19" s="637">
        <f>transport!I54</f>
        <v>0</v>
      </c>
      <c r="K19" s="637">
        <f>transport!J54</f>
        <v>0</v>
      </c>
      <c r="L19" s="637">
        <f>transport!K54</f>
        <v>0</v>
      </c>
      <c r="M19" s="637">
        <f>transport!L54</f>
        <v>0</v>
      </c>
      <c r="N19" s="637">
        <f>transport!M54</f>
        <v>152.06509378886395</v>
      </c>
      <c r="O19" s="637">
        <f>transport!N54</f>
        <v>0</v>
      </c>
      <c r="P19" s="637">
        <f>transport!O54</f>
        <v>0</v>
      </c>
      <c r="Q19" s="638">
        <f>transport!P54</f>
        <v>0</v>
      </c>
      <c r="R19" s="640">
        <f>SUM(C19:Q19)</f>
        <v>1543.6098391262308</v>
      </c>
      <c r="S19" s="67"/>
    </row>
    <row r="20" spans="1:19" s="439" customFormat="1">
      <c r="A20" s="757" t="s">
        <v>294</v>
      </c>
      <c r="B20" s="762"/>
      <c r="C20" s="637">
        <f>transport!B14</f>
        <v>950.53958811688506</v>
      </c>
      <c r="D20" s="637">
        <f>transport!C14</f>
        <v>0</v>
      </c>
      <c r="E20" s="637">
        <f>transport!D14</f>
        <v>826.74958660902189</v>
      </c>
      <c r="F20" s="637">
        <f>transport!E14</f>
        <v>303.33374028602395</v>
      </c>
      <c r="G20" s="637">
        <f>transport!F14</f>
        <v>0</v>
      </c>
      <c r="H20" s="637">
        <f>transport!G14</f>
        <v>118227.93481137023</v>
      </c>
      <c r="I20" s="637">
        <f>transport!H14</f>
        <v>40188.233637010897</v>
      </c>
      <c r="J20" s="637">
        <f>transport!I14</f>
        <v>0</v>
      </c>
      <c r="K20" s="637">
        <f>transport!J14</f>
        <v>0</v>
      </c>
      <c r="L20" s="637">
        <f>transport!K14</f>
        <v>0</v>
      </c>
      <c r="M20" s="637">
        <f>transport!L14</f>
        <v>0</v>
      </c>
      <c r="N20" s="637">
        <f>transport!M14</f>
        <v>16692.402463476676</v>
      </c>
      <c r="O20" s="637">
        <f>transport!N14</f>
        <v>0</v>
      </c>
      <c r="P20" s="637">
        <f>transport!O14</f>
        <v>0</v>
      </c>
      <c r="Q20" s="638">
        <f>transport!P14</f>
        <v>0</v>
      </c>
      <c r="R20" s="640">
        <f>SUM(C20:Q20)</f>
        <v>177189.19382686974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983.61904292937845</v>
      </c>
      <c r="D22" s="760">
        <f t="shared" ref="D22:R22" si="1">SUM(D18:D21)</f>
        <v>0</v>
      </c>
      <c r="E22" s="760">
        <f t="shared" si="1"/>
        <v>826.74958660902189</v>
      </c>
      <c r="F22" s="760">
        <f t="shared" si="1"/>
        <v>303.33374028602395</v>
      </c>
      <c r="G22" s="760">
        <f t="shared" si="1"/>
        <v>0</v>
      </c>
      <c r="H22" s="760">
        <f t="shared" si="1"/>
        <v>119586.40010189511</v>
      </c>
      <c r="I22" s="760">
        <f t="shared" si="1"/>
        <v>40188.233637010897</v>
      </c>
      <c r="J22" s="760">
        <f t="shared" si="1"/>
        <v>0</v>
      </c>
      <c r="K22" s="760">
        <f t="shared" si="1"/>
        <v>0</v>
      </c>
      <c r="L22" s="760">
        <f t="shared" si="1"/>
        <v>0</v>
      </c>
      <c r="M22" s="760">
        <f t="shared" si="1"/>
        <v>0</v>
      </c>
      <c r="N22" s="760">
        <f t="shared" si="1"/>
        <v>16844.46755726554</v>
      </c>
      <c r="O22" s="760">
        <f t="shared" si="1"/>
        <v>0</v>
      </c>
      <c r="P22" s="760">
        <f t="shared" si="1"/>
        <v>0</v>
      </c>
      <c r="Q22" s="760">
        <f t="shared" si="1"/>
        <v>0</v>
      </c>
      <c r="R22" s="760">
        <f t="shared" si="1"/>
        <v>178732.80366599598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321.98349867457404</v>
      </c>
      <c r="D24" s="637">
        <f>+landbouw!C8</f>
        <v>43.055555559000005</v>
      </c>
      <c r="E24" s="637">
        <f>+landbouw!D8</f>
        <v>59.670567594165114</v>
      </c>
      <c r="F24" s="637">
        <f>+landbouw!E8</f>
        <v>10.857776792838143</v>
      </c>
      <c r="G24" s="637">
        <f>+landbouw!F8</f>
        <v>1115.5738458260107</v>
      </c>
      <c r="H24" s="637">
        <f>+landbouw!G8</f>
        <v>0</v>
      </c>
      <c r="I24" s="637">
        <f>+landbouw!H8</f>
        <v>0</v>
      </c>
      <c r="J24" s="637">
        <f>+landbouw!I8</f>
        <v>0</v>
      </c>
      <c r="K24" s="637">
        <f>+landbouw!J8</f>
        <v>69.887640644738738</v>
      </c>
      <c r="L24" s="637">
        <f>+landbouw!K8</f>
        <v>0</v>
      </c>
      <c r="M24" s="637">
        <f>+landbouw!L8</f>
        <v>0</v>
      </c>
      <c r="N24" s="637">
        <f>+landbouw!M8</f>
        <v>0</v>
      </c>
      <c r="O24" s="637">
        <f>+landbouw!N8</f>
        <v>0</v>
      </c>
      <c r="P24" s="637">
        <f>+landbouw!O8</f>
        <v>0</v>
      </c>
      <c r="Q24" s="638">
        <f>+landbouw!P8</f>
        <v>0</v>
      </c>
      <c r="R24" s="640">
        <f>SUM(C24:Q24)</f>
        <v>1621.0288850913266</v>
      </c>
      <c r="S24" s="67"/>
    </row>
    <row r="25" spans="1:19" s="439" customFormat="1" ht="15" thickBot="1">
      <c r="A25" s="779" t="s">
        <v>634</v>
      </c>
      <c r="B25" s="890"/>
      <c r="C25" s="891">
        <f>IF(Onbekend_ele_kWh="---",0,Onbekend_ele_kWh)/1000+IF(REST_rest_ele_kWh="---",0,REST_rest_ele_kWh)/1000</f>
        <v>700.48962262633597</v>
      </c>
      <c r="D25" s="891"/>
      <c r="E25" s="891">
        <f>IF(onbekend_gas_kWh="---",0,onbekend_gas_kWh)/1000+IF(REST_rest_gas_kWh="---",0,REST_rest_gas_kWh)/1000</f>
        <v>1350.95020495369</v>
      </c>
      <c r="F25" s="891"/>
      <c r="G25" s="891"/>
      <c r="H25" s="891"/>
      <c r="I25" s="891"/>
      <c r="J25" s="891"/>
      <c r="K25" s="891"/>
      <c r="L25" s="891"/>
      <c r="M25" s="891"/>
      <c r="N25" s="891"/>
      <c r="O25" s="891"/>
      <c r="P25" s="891"/>
      <c r="Q25" s="892"/>
      <c r="R25" s="640">
        <f>SUM(C25:Q25)</f>
        <v>2051.4398275800258</v>
      </c>
      <c r="S25" s="67"/>
    </row>
    <row r="26" spans="1:19" s="439" customFormat="1" ht="15.75" thickBot="1">
      <c r="A26" s="645" t="s">
        <v>635</v>
      </c>
      <c r="B26" s="765"/>
      <c r="C26" s="760">
        <f>SUM(C24:C25)</f>
        <v>1022.47312130091</v>
      </c>
      <c r="D26" s="760">
        <f t="shared" ref="D26:R26" si="2">SUM(D24:D25)</f>
        <v>43.055555559000005</v>
      </c>
      <c r="E26" s="760">
        <f t="shared" si="2"/>
        <v>1410.620772547855</v>
      </c>
      <c r="F26" s="760">
        <f t="shared" si="2"/>
        <v>10.857776792838143</v>
      </c>
      <c r="G26" s="760">
        <f t="shared" si="2"/>
        <v>1115.5738458260107</v>
      </c>
      <c r="H26" s="760">
        <f t="shared" si="2"/>
        <v>0</v>
      </c>
      <c r="I26" s="760">
        <f t="shared" si="2"/>
        <v>0</v>
      </c>
      <c r="J26" s="760">
        <f t="shared" si="2"/>
        <v>0</v>
      </c>
      <c r="K26" s="760">
        <f t="shared" si="2"/>
        <v>69.887640644738738</v>
      </c>
      <c r="L26" s="760">
        <f t="shared" si="2"/>
        <v>0</v>
      </c>
      <c r="M26" s="760">
        <f t="shared" si="2"/>
        <v>0</v>
      </c>
      <c r="N26" s="760">
        <f t="shared" si="2"/>
        <v>0</v>
      </c>
      <c r="O26" s="760">
        <f t="shared" si="2"/>
        <v>0</v>
      </c>
      <c r="P26" s="760">
        <f t="shared" si="2"/>
        <v>0</v>
      </c>
      <c r="Q26" s="760">
        <f t="shared" si="2"/>
        <v>0</v>
      </c>
      <c r="R26" s="760">
        <f t="shared" si="2"/>
        <v>3672.4687126713525</v>
      </c>
      <c r="S26" s="67"/>
    </row>
    <row r="27" spans="1:19" s="439" customFormat="1" ht="17.25" thickTop="1" thickBot="1">
      <c r="A27" s="646" t="s">
        <v>109</v>
      </c>
      <c r="B27" s="752"/>
      <c r="C27" s="647">
        <f ca="1">C22+C16+C26</f>
        <v>93972.08332362691</v>
      </c>
      <c r="D27" s="647">
        <f t="shared" ref="D27:R27" ca="1" si="3">D22+D16+D26</f>
        <v>332.50000002660005</v>
      </c>
      <c r="E27" s="647">
        <f t="shared" ca="1" si="3"/>
        <v>98335.052681726404</v>
      </c>
      <c r="F27" s="647">
        <f t="shared" ca="1" si="3"/>
        <v>3519.5396833394939</v>
      </c>
      <c r="G27" s="647">
        <f t="shared" ca="1" si="3"/>
        <v>47441.738409544247</v>
      </c>
      <c r="H27" s="647">
        <f t="shared" si="3"/>
        <v>119586.40010189511</v>
      </c>
      <c r="I27" s="647">
        <f t="shared" si="3"/>
        <v>40188.233637010897</v>
      </c>
      <c r="J27" s="647">
        <f t="shared" si="3"/>
        <v>0</v>
      </c>
      <c r="K27" s="647">
        <f t="shared" si="3"/>
        <v>331.00293800449481</v>
      </c>
      <c r="L27" s="647">
        <f t="shared" si="3"/>
        <v>0</v>
      </c>
      <c r="M27" s="647">
        <f t="shared" ca="1" si="3"/>
        <v>0</v>
      </c>
      <c r="N27" s="647">
        <f t="shared" si="3"/>
        <v>16844.46755726554</v>
      </c>
      <c r="O27" s="647">
        <f t="shared" ca="1" si="3"/>
        <v>12579.956271570572</v>
      </c>
      <c r="P27" s="647">
        <f t="shared" si="3"/>
        <v>582.22910260746744</v>
      </c>
      <c r="Q27" s="647">
        <f t="shared" si="3"/>
        <v>2885.6515591460461</v>
      </c>
      <c r="R27" s="647">
        <f t="shared" ca="1" si="3"/>
        <v>436598.85526576376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3054.7765798931332</v>
      </c>
      <c r="D40" s="637">
        <f ca="1">tertiair!C20</f>
        <v>52.614916281439328</v>
      </c>
      <c r="E40" s="637">
        <f ca="1">tertiair!D20</f>
        <v>2661.2349126455333</v>
      </c>
      <c r="F40" s="637">
        <f ca="1">tertiair!E20</f>
        <v>7.4797279326131632</v>
      </c>
      <c r="G40" s="637">
        <f ca="1">tertiair!F20</f>
        <v>854.11258856852942</v>
      </c>
      <c r="H40" s="637">
        <f>tertiair!G20</f>
        <v>0</v>
      </c>
      <c r="I40" s="637">
        <f>tertiair!H20</f>
        <v>0</v>
      </c>
      <c r="J40" s="637">
        <f>tertiair!I20</f>
        <v>0</v>
      </c>
      <c r="K40" s="637">
        <f>tertiair!J20</f>
        <v>9.8529536120026077E-3</v>
      </c>
      <c r="L40" s="637">
        <f>tertiair!K20</f>
        <v>0</v>
      </c>
      <c r="M40" s="637">
        <f ca="1">tertiair!L20</f>
        <v>0</v>
      </c>
      <c r="N40" s="637">
        <f>tertiair!M20</f>
        <v>0</v>
      </c>
      <c r="O40" s="637">
        <f ca="1">tertiair!N20</f>
        <v>0</v>
      </c>
      <c r="P40" s="637">
        <f>tertiair!O20</f>
        <v>0</v>
      </c>
      <c r="Q40" s="720">
        <f>tertiair!P20</f>
        <v>0</v>
      </c>
      <c r="R40" s="798">
        <f t="shared" ca="1" si="4"/>
        <v>6630.2285782748604</v>
      </c>
    </row>
    <row r="41" spans="1:18">
      <c r="A41" s="770" t="s">
        <v>214</v>
      </c>
      <c r="B41" s="777"/>
      <c r="C41" s="637">
        <f ca="1">huishoudens!B12</f>
        <v>6292.2592395654938</v>
      </c>
      <c r="D41" s="637">
        <f ca="1">huishoudens!C12</f>
        <v>0</v>
      </c>
      <c r="E41" s="637">
        <f>huishoudens!D12</f>
        <v>9471.787247510927</v>
      </c>
      <c r="F41" s="637">
        <f>huishoudens!E12</f>
        <v>704.85154505435821</v>
      </c>
      <c r="G41" s="637">
        <f>huishoudens!F12</f>
        <v>10502.908264053151</v>
      </c>
      <c r="H41" s="637">
        <f>huishoudens!G12</f>
        <v>0</v>
      </c>
      <c r="I41" s="637">
        <f>huishoudens!H12</f>
        <v>0</v>
      </c>
      <c r="J41" s="637">
        <f>huishoudens!I12</f>
        <v>0</v>
      </c>
      <c r="K41" s="637">
        <f>huishoudens!J12</f>
        <v>89.129331165795762</v>
      </c>
      <c r="L41" s="637">
        <f>huishoudens!K12</f>
        <v>0</v>
      </c>
      <c r="M41" s="637">
        <f>huishoudens!L12</f>
        <v>0</v>
      </c>
      <c r="N41" s="637">
        <f>huishoudens!M12</f>
        <v>0</v>
      </c>
      <c r="O41" s="637">
        <f>huishoudens!N12</f>
        <v>0</v>
      </c>
      <c r="P41" s="637">
        <f>huishoudens!O12</f>
        <v>0</v>
      </c>
      <c r="Q41" s="720">
        <f>huishoudens!P12</f>
        <v>0</v>
      </c>
      <c r="R41" s="798">
        <f t="shared" ca="1" si="4"/>
        <v>27060.935627349729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9049.0100883334253</v>
      </c>
      <c r="D43" s="637">
        <f ca="1">industrie!C22</f>
        <v>0</v>
      </c>
      <c r="E43" s="637">
        <f>industrie!D22</f>
        <v>7278.7096690025846</v>
      </c>
      <c r="F43" s="637">
        <f>industrie!E22</f>
        <v>15.282760754192031</v>
      </c>
      <c r="G43" s="637">
        <f>industrie!F22</f>
        <v>1012.0650858910894</v>
      </c>
      <c r="H43" s="637">
        <f>industrie!G22</f>
        <v>0</v>
      </c>
      <c r="I43" s="637">
        <f>industrie!H22</f>
        <v>0</v>
      </c>
      <c r="J43" s="637">
        <f>industrie!I22</f>
        <v>0</v>
      </c>
      <c r="K43" s="637">
        <f>industrie!J22</f>
        <v>3.2956311459458689</v>
      </c>
      <c r="L43" s="637">
        <f>industrie!K22</f>
        <v>0</v>
      </c>
      <c r="M43" s="637">
        <f>industrie!L22</f>
        <v>0</v>
      </c>
      <c r="N43" s="637">
        <f>industrie!M22</f>
        <v>0</v>
      </c>
      <c r="O43" s="637">
        <f>industrie!N22</f>
        <v>0</v>
      </c>
      <c r="P43" s="637">
        <f>industrie!O22</f>
        <v>0</v>
      </c>
      <c r="Q43" s="720">
        <f>industrie!P22</f>
        <v>0</v>
      </c>
      <c r="R43" s="797">
        <f t="shared" ca="1" si="4"/>
        <v>17358.363235127235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18396.045907792053</v>
      </c>
      <c r="D46" s="673">
        <f t="shared" ref="D46:Q46" ca="1" si="5">SUM(D39:D45)</f>
        <v>52.614916281439328</v>
      </c>
      <c r="E46" s="673">
        <f t="shared" ca="1" si="5"/>
        <v>19411.731829159045</v>
      </c>
      <c r="F46" s="673">
        <f t="shared" ca="1" si="5"/>
        <v>727.61403374116344</v>
      </c>
      <c r="G46" s="673">
        <f t="shared" ca="1" si="5"/>
        <v>12369.08593851277</v>
      </c>
      <c r="H46" s="673">
        <f t="shared" si="5"/>
        <v>0</v>
      </c>
      <c r="I46" s="673">
        <f t="shared" si="5"/>
        <v>0</v>
      </c>
      <c r="J46" s="673">
        <f t="shared" si="5"/>
        <v>0</v>
      </c>
      <c r="K46" s="673">
        <f t="shared" si="5"/>
        <v>92.43481526535362</v>
      </c>
      <c r="L46" s="673">
        <f t="shared" si="5"/>
        <v>0</v>
      </c>
      <c r="M46" s="673">
        <f t="shared" ca="1" si="5"/>
        <v>0</v>
      </c>
      <c r="N46" s="673">
        <f t="shared" si="5"/>
        <v>0</v>
      </c>
      <c r="O46" s="673">
        <f t="shared" ca="1" si="5"/>
        <v>0</v>
      </c>
      <c r="P46" s="673">
        <f t="shared" si="5"/>
        <v>0</v>
      </c>
      <c r="Q46" s="673">
        <f t="shared" si="5"/>
        <v>0</v>
      </c>
      <c r="R46" s="673">
        <f ca="1">SUM(R39:R45)</f>
        <v>51049.52744075183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6.616915249471373</v>
      </c>
      <c r="D49" s="637">
        <f ca="1">transport!C58</f>
        <v>0</v>
      </c>
      <c r="E49" s="637">
        <f>transport!D58</f>
        <v>0</v>
      </c>
      <c r="F49" s="637">
        <f>transport!E58</f>
        <v>0</v>
      </c>
      <c r="G49" s="637">
        <f>transport!F58</f>
        <v>0</v>
      </c>
      <c r="H49" s="637">
        <f>transport!G58</f>
        <v>362.71023257014122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369.32714781961261</v>
      </c>
    </row>
    <row r="50" spans="1:18">
      <c r="A50" s="773" t="s">
        <v>294</v>
      </c>
      <c r="B50" s="783"/>
      <c r="C50" s="643">
        <f ca="1">transport!B18</f>
        <v>190.13735055456223</v>
      </c>
      <c r="D50" s="643">
        <f>transport!C18</f>
        <v>0</v>
      </c>
      <c r="E50" s="643">
        <f>transport!D18</f>
        <v>167.00341649502244</v>
      </c>
      <c r="F50" s="643">
        <f>transport!E18</f>
        <v>68.856759044927443</v>
      </c>
      <c r="G50" s="643">
        <f>transport!F18</f>
        <v>0</v>
      </c>
      <c r="H50" s="643">
        <f>transport!G18</f>
        <v>31566.858594635854</v>
      </c>
      <c r="I50" s="643">
        <f>transport!H18</f>
        <v>10006.870175615713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41999.726296346082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196.75426580403359</v>
      </c>
      <c r="D52" s="673">
        <f t="shared" ref="D52:Q52" ca="1" si="6">SUM(D48:D51)</f>
        <v>0</v>
      </c>
      <c r="E52" s="673">
        <f t="shared" si="6"/>
        <v>167.00341649502244</v>
      </c>
      <c r="F52" s="673">
        <f t="shared" si="6"/>
        <v>68.856759044927443</v>
      </c>
      <c r="G52" s="673">
        <f t="shared" si="6"/>
        <v>0</v>
      </c>
      <c r="H52" s="673">
        <f t="shared" si="6"/>
        <v>31929.568827205996</v>
      </c>
      <c r="I52" s="673">
        <f t="shared" si="6"/>
        <v>10006.870175615713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42369.053444165693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64.40666977538207</v>
      </c>
      <c r="D54" s="643">
        <f ca="1">+landbouw!C12</f>
        <v>7.8265950322678464</v>
      </c>
      <c r="E54" s="643">
        <f>+landbouw!D12</f>
        <v>12.053454654021353</v>
      </c>
      <c r="F54" s="643">
        <f>+landbouw!E12</f>
        <v>2.4647153319742587</v>
      </c>
      <c r="G54" s="643">
        <f>+landbouw!F12</f>
        <v>297.85821683554485</v>
      </c>
      <c r="H54" s="643">
        <f>+landbouw!G12</f>
        <v>0</v>
      </c>
      <c r="I54" s="643">
        <f>+landbouw!H12</f>
        <v>0</v>
      </c>
      <c r="J54" s="643">
        <f>+landbouw!I12</f>
        <v>0</v>
      </c>
      <c r="K54" s="643">
        <f>+landbouw!J12</f>
        <v>24.740224788237512</v>
      </c>
      <c r="L54" s="643">
        <f>+landbouw!K12</f>
        <v>0</v>
      </c>
      <c r="M54" s="643">
        <f>+landbouw!L12</f>
        <v>0</v>
      </c>
      <c r="N54" s="643">
        <f>+landbouw!M12</f>
        <v>0</v>
      </c>
      <c r="O54" s="643">
        <f>+landbouw!N12</f>
        <v>0</v>
      </c>
      <c r="P54" s="643">
        <f>+landbouw!O12</f>
        <v>0</v>
      </c>
      <c r="Q54" s="644">
        <f>+landbouw!P12</f>
        <v>0</v>
      </c>
      <c r="R54" s="672">
        <f ca="1">SUM(C54:Q54)</f>
        <v>409.34987641742788</v>
      </c>
    </row>
    <row r="55" spans="1:18" ht="15" thickBot="1">
      <c r="A55" s="773" t="s">
        <v>634</v>
      </c>
      <c r="B55" s="783"/>
      <c r="C55" s="643">
        <f ca="1">C25*'EF ele_warmte'!B12</f>
        <v>140.1196147979465</v>
      </c>
      <c r="D55" s="643"/>
      <c r="E55" s="643">
        <f>E25*EF_CO2_aardgas</f>
        <v>272.89194140064541</v>
      </c>
      <c r="F55" s="643"/>
      <c r="G55" s="643"/>
      <c r="H55" s="643"/>
      <c r="I55" s="643"/>
      <c r="J55" s="643"/>
      <c r="K55" s="643"/>
      <c r="L55" s="643"/>
      <c r="M55" s="643"/>
      <c r="N55" s="643"/>
      <c r="O55" s="643"/>
      <c r="P55" s="643"/>
      <c r="Q55" s="644"/>
      <c r="R55" s="672">
        <f ca="1">SUM(C55:Q55)</f>
        <v>413.0115561985919</v>
      </c>
    </row>
    <row r="56" spans="1:18" ht="15.75" thickBot="1">
      <c r="A56" s="771" t="s">
        <v>635</v>
      </c>
      <c r="B56" s="784"/>
      <c r="C56" s="673">
        <f ca="1">SUM(C54:C55)</f>
        <v>204.52628457332855</v>
      </c>
      <c r="D56" s="673">
        <f t="shared" ref="D56:Q56" ca="1" si="7">SUM(D54:D55)</f>
        <v>7.8265950322678464</v>
      </c>
      <c r="E56" s="673">
        <f t="shared" si="7"/>
        <v>284.94539605466679</v>
      </c>
      <c r="F56" s="673">
        <f t="shared" si="7"/>
        <v>2.4647153319742587</v>
      </c>
      <c r="G56" s="673">
        <f t="shared" si="7"/>
        <v>297.85821683554485</v>
      </c>
      <c r="H56" s="673">
        <f t="shared" si="7"/>
        <v>0</v>
      </c>
      <c r="I56" s="673">
        <f t="shared" si="7"/>
        <v>0</v>
      </c>
      <c r="J56" s="673">
        <f t="shared" si="7"/>
        <v>0</v>
      </c>
      <c r="K56" s="673">
        <f t="shared" si="7"/>
        <v>24.740224788237512</v>
      </c>
      <c r="L56" s="673">
        <f t="shared" si="7"/>
        <v>0</v>
      </c>
      <c r="M56" s="673">
        <f t="shared" si="7"/>
        <v>0</v>
      </c>
      <c r="N56" s="673">
        <f t="shared" si="7"/>
        <v>0</v>
      </c>
      <c r="O56" s="673">
        <f t="shared" si="7"/>
        <v>0</v>
      </c>
      <c r="P56" s="673">
        <f t="shared" si="7"/>
        <v>0</v>
      </c>
      <c r="Q56" s="674">
        <f t="shared" si="7"/>
        <v>0</v>
      </c>
      <c r="R56" s="675">
        <f ca="1">SUM(R54:R55)</f>
        <v>822.36143261601978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18797.326458169413</v>
      </c>
      <c r="D61" s="681">
        <f t="shared" ref="D61:Q61" ca="1" si="8">D46+D52+D56</f>
        <v>60.441511313707174</v>
      </c>
      <c r="E61" s="681">
        <f t="shared" ca="1" si="8"/>
        <v>19863.680641708735</v>
      </c>
      <c r="F61" s="681">
        <f t="shared" ca="1" si="8"/>
        <v>798.93550811806517</v>
      </c>
      <c r="G61" s="681">
        <f t="shared" ca="1" si="8"/>
        <v>12666.944155348314</v>
      </c>
      <c r="H61" s="681">
        <f t="shared" si="8"/>
        <v>31929.568827205996</v>
      </c>
      <c r="I61" s="681">
        <f t="shared" si="8"/>
        <v>10006.870175615713</v>
      </c>
      <c r="J61" s="681">
        <f t="shared" si="8"/>
        <v>0</v>
      </c>
      <c r="K61" s="681">
        <f t="shared" si="8"/>
        <v>117.17504005359113</v>
      </c>
      <c r="L61" s="681">
        <f t="shared" si="8"/>
        <v>0</v>
      </c>
      <c r="M61" s="681">
        <f t="shared" ca="1" si="8"/>
        <v>0</v>
      </c>
      <c r="N61" s="681">
        <f t="shared" si="8"/>
        <v>0</v>
      </c>
      <c r="O61" s="681">
        <f t="shared" ca="1" si="8"/>
        <v>0</v>
      </c>
      <c r="P61" s="681">
        <f t="shared" si="8"/>
        <v>0</v>
      </c>
      <c r="Q61" s="681">
        <f t="shared" si="8"/>
        <v>0</v>
      </c>
      <c r="R61" s="681">
        <f ca="1">R46+R52+R56</f>
        <v>94240.94231753354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0.20003096444540885</v>
      </c>
      <c r="D63" s="727">
        <f t="shared" ca="1" si="9"/>
        <v>0.18177898138006571</v>
      </c>
      <c r="E63" s="916">
        <f t="shared" ca="1" si="9"/>
        <v>0.20200000000000001</v>
      </c>
      <c r="F63" s="727">
        <f t="shared" ca="1" si="9"/>
        <v>0.22700000000000001</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104.66809482136884</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8780.6313297057241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27.782612839226662</v>
      </c>
      <c r="C76" s="694">
        <f>'lokale energieproductie'!B8*IFERROR(SUM(D76:H76)/SUM(D76:O76),0)</f>
        <v>146.93960939697334</v>
      </c>
      <c r="D76" s="899">
        <f>'lokale energieproductie'!C8</f>
        <v>157.23181971563315</v>
      </c>
      <c r="E76" s="900">
        <f>'lokale energieproductie'!D8</f>
        <v>0</v>
      </c>
      <c r="F76" s="900">
        <f>'lokale energieproductie'!E8</f>
        <v>0</v>
      </c>
      <c r="G76" s="900">
        <f>'lokale energieproductie'!F8</f>
        <v>0</v>
      </c>
      <c r="H76" s="900">
        <f>'lokale energieproductie'!G8</f>
        <v>0</v>
      </c>
      <c r="I76" s="900">
        <f>'lokale energieproductie'!I8</f>
        <v>29.72861293897315</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31.760827582557898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8913.0820373663191</v>
      </c>
      <c r="C78" s="699">
        <f>SUM(C72:C77)</f>
        <v>146.93960939697334</v>
      </c>
      <c r="D78" s="700">
        <f t="shared" ref="D78:H78" si="10">SUM(D76:D77)</f>
        <v>157.23181971563315</v>
      </c>
      <c r="E78" s="700">
        <f t="shared" si="10"/>
        <v>0</v>
      </c>
      <c r="F78" s="700">
        <f t="shared" si="10"/>
        <v>0</v>
      </c>
      <c r="G78" s="700">
        <f t="shared" si="10"/>
        <v>0</v>
      </c>
      <c r="H78" s="700">
        <f t="shared" si="10"/>
        <v>0</v>
      </c>
      <c r="I78" s="700">
        <f>SUM(I76:I77)</f>
        <v>29.72861293897315</v>
      </c>
      <c r="J78" s="700">
        <f>SUM(J76:J77)</f>
        <v>0</v>
      </c>
      <c r="K78" s="700">
        <f t="shared" ref="K78:L78" si="11">SUM(K76:K77)</f>
        <v>0</v>
      </c>
      <c r="L78" s="700">
        <f t="shared" si="11"/>
        <v>0</v>
      </c>
      <c r="M78" s="700">
        <f>SUM(M76:M77)</f>
        <v>0</v>
      </c>
      <c r="N78" s="700">
        <f>SUM(N76:N77)</f>
        <v>0</v>
      </c>
      <c r="O78" s="808">
        <f>SUM(O76:O77)</f>
        <v>0</v>
      </c>
      <c r="P78" s="701">
        <v>0</v>
      </c>
      <c r="Q78" s="701">
        <f>SUM(Q76:Q77)</f>
        <v>31.760827582557898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52.870886436493358</v>
      </c>
      <c r="C87" s="712">
        <f>'lokale energieproductie'!B17*IFERROR(SUM(D87:H87)/SUM(D87:O87),0)</f>
        <v>279.62911359010667</v>
      </c>
      <c r="D87" s="723">
        <f>'lokale energieproductie'!C17</f>
        <v>299.2154025431048</v>
      </c>
      <c r="E87" s="723">
        <f>'lokale energieproductie'!D17</f>
        <v>0</v>
      </c>
      <c r="F87" s="723">
        <f>'lokale energieproductie'!E17</f>
        <v>0</v>
      </c>
      <c r="G87" s="723">
        <f>'lokale energieproductie'!F17</f>
        <v>0</v>
      </c>
      <c r="H87" s="723">
        <f>'lokale energieproductie'!G17</f>
        <v>0</v>
      </c>
      <c r="I87" s="723">
        <f>'lokale energieproductie'!I17</f>
        <v>56.57416484570885</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60.441511313707174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52.870886436493358</v>
      </c>
      <c r="C90" s="699">
        <f>SUM(C87:C89)</f>
        <v>279.62911359010667</v>
      </c>
      <c r="D90" s="699">
        <f t="shared" ref="D90:H90" si="12">SUM(D87:D89)</f>
        <v>299.2154025431048</v>
      </c>
      <c r="E90" s="699">
        <f t="shared" si="12"/>
        <v>0</v>
      </c>
      <c r="F90" s="699">
        <f t="shared" si="12"/>
        <v>0</v>
      </c>
      <c r="G90" s="699">
        <f t="shared" si="12"/>
        <v>0</v>
      </c>
      <c r="H90" s="699">
        <f t="shared" si="12"/>
        <v>0</v>
      </c>
      <c r="I90" s="699">
        <f>SUM(I87:I89)</f>
        <v>56.57416484570885</v>
      </c>
      <c r="J90" s="699">
        <f>SUM(J87:J89)</f>
        <v>0</v>
      </c>
      <c r="K90" s="699">
        <f t="shared" ref="K90:L90" si="13">SUM(K87:K89)</f>
        <v>0</v>
      </c>
      <c r="L90" s="699">
        <f t="shared" si="13"/>
        <v>0</v>
      </c>
      <c r="M90" s="699">
        <f>SUM(M87:M89)</f>
        <v>0</v>
      </c>
      <c r="N90" s="699">
        <f>SUM(N87:N89)</f>
        <v>0</v>
      </c>
      <c r="O90" s="699">
        <f>SUM(O87:O89)</f>
        <v>0</v>
      </c>
      <c r="P90" s="699">
        <v>0</v>
      </c>
      <c r="Q90" s="699">
        <f>SUM(Q87:Q89)</f>
        <v>60.441511313707174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31456.426043892498</v>
      </c>
      <c r="C4" s="443">
        <f>huishoudens!C8</f>
        <v>0</v>
      </c>
      <c r="D4" s="443">
        <f>huishoudens!D8</f>
        <v>46890.035878766961</v>
      </c>
      <c r="E4" s="443">
        <f>huishoudens!E8</f>
        <v>3105.0728857020185</v>
      </c>
      <c r="F4" s="443">
        <f>huishoudens!F8</f>
        <v>39336.735071360112</v>
      </c>
      <c r="G4" s="443">
        <f>huishoudens!G8</f>
        <v>0</v>
      </c>
      <c r="H4" s="443">
        <f>huishoudens!H8</f>
        <v>0</v>
      </c>
      <c r="I4" s="443">
        <f>huishoudens!I8</f>
        <v>0</v>
      </c>
      <c r="J4" s="443">
        <f>huishoudens!J8</f>
        <v>251.77777165479031</v>
      </c>
      <c r="K4" s="443">
        <f>huishoudens!K8</f>
        <v>0</v>
      </c>
      <c r="L4" s="443">
        <f>huishoudens!L8</f>
        <v>0</v>
      </c>
      <c r="M4" s="443">
        <f>huishoudens!M8</f>
        <v>0</v>
      </c>
      <c r="N4" s="443">
        <f>huishoudens!N8</f>
        <v>8902.4992325711028</v>
      </c>
      <c r="O4" s="443">
        <f>huishoudens!O8</f>
        <v>577.33184184162633</v>
      </c>
      <c r="P4" s="444">
        <f>huishoudens!P8</f>
        <v>2622.9558676135712</v>
      </c>
      <c r="Q4" s="445">
        <f>SUM(B4:P4)</f>
        <v>133142.83459340266</v>
      </c>
    </row>
    <row r="5" spans="1:17">
      <c r="A5" s="442" t="s">
        <v>149</v>
      </c>
      <c r="B5" s="443">
        <f ca="1">tertiair!B16</f>
        <v>14666.328528956663</v>
      </c>
      <c r="C5" s="443">
        <f ca="1">tertiair!C16</f>
        <v>289.44444446760002</v>
      </c>
      <c r="D5" s="443">
        <f ca="1">tertiair!D16</f>
        <v>13174.430260621451</v>
      </c>
      <c r="E5" s="443">
        <f ca="1">tertiair!E16</f>
        <v>32.950343315476488</v>
      </c>
      <c r="F5" s="443">
        <f ca="1">tertiair!F16</f>
        <v>3198.9235526911211</v>
      </c>
      <c r="G5" s="443">
        <f>tertiair!G16</f>
        <v>0</v>
      </c>
      <c r="H5" s="443">
        <f>tertiair!H16</f>
        <v>0</v>
      </c>
      <c r="I5" s="443">
        <f>tertiair!I16</f>
        <v>0</v>
      </c>
      <c r="J5" s="443">
        <f>tertiair!J16</f>
        <v>2.7833202293792679E-2</v>
      </c>
      <c r="K5" s="443">
        <f>tertiair!K16</f>
        <v>0</v>
      </c>
      <c r="L5" s="443">
        <f ca="1">tertiair!L16</f>
        <v>0</v>
      </c>
      <c r="M5" s="443">
        <f>tertiair!M16</f>
        <v>0</v>
      </c>
      <c r="N5" s="443">
        <f ca="1">tertiair!N16</f>
        <v>1034.3038218869681</v>
      </c>
      <c r="O5" s="443">
        <f>tertiair!O16</f>
        <v>4.8972607658411542</v>
      </c>
      <c r="P5" s="444">
        <f>tertiair!P16</f>
        <v>262.69569153247511</v>
      </c>
      <c r="Q5" s="442">
        <f t="shared" ref="Q5:Q14" ca="1" si="0">SUM(B5:P5)</f>
        <v>32664.001737439889</v>
      </c>
    </row>
    <row r="6" spans="1:17">
      <c r="A6" s="442" t="s">
        <v>187</v>
      </c>
      <c r="B6" s="443">
        <f>'openbare verlichting'!B8</f>
        <v>605.19000000000005</v>
      </c>
      <c r="C6" s="443"/>
      <c r="D6" s="443"/>
      <c r="E6" s="443"/>
      <c r="F6" s="443"/>
      <c r="G6" s="443"/>
      <c r="H6" s="443"/>
      <c r="I6" s="443"/>
      <c r="J6" s="443"/>
      <c r="K6" s="443"/>
      <c r="L6" s="443"/>
      <c r="M6" s="443"/>
      <c r="N6" s="443"/>
      <c r="O6" s="443"/>
      <c r="P6" s="444"/>
      <c r="Q6" s="442">
        <f t="shared" si="0"/>
        <v>605.19000000000005</v>
      </c>
    </row>
    <row r="7" spans="1:17">
      <c r="A7" s="442" t="s">
        <v>105</v>
      </c>
      <c r="B7" s="443">
        <f>landbouw!B8</f>
        <v>321.98349867457404</v>
      </c>
      <c r="C7" s="443">
        <f>landbouw!C8</f>
        <v>43.055555559000005</v>
      </c>
      <c r="D7" s="443">
        <f>landbouw!D8</f>
        <v>59.670567594165114</v>
      </c>
      <c r="E7" s="443">
        <f>landbouw!E8</f>
        <v>10.857776792838143</v>
      </c>
      <c r="F7" s="443">
        <f>landbouw!F8</f>
        <v>1115.5738458260107</v>
      </c>
      <c r="G7" s="443">
        <f>landbouw!G8</f>
        <v>0</v>
      </c>
      <c r="H7" s="443">
        <f>landbouw!H8</f>
        <v>0</v>
      </c>
      <c r="I7" s="443">
        <f>landbouw!I8</f>
        <v>0</v>
      </c>
      <c r="J7" s="443">
        <f>landbouw!J8</f>
        <v>69.887640644738738</v>
      </c>
      <c r="K7" s="443">
        <f>landbouw!K8</f>
        <v>0</v>
      </c>
      <c r="L7" s="443">
        <f>landbouw!L8</f>
        <v>0</v>
      </c>
      <c r="M7" s="443">
        <f>landbouw!M8</f>
        <v>0</v>
      </c>
      <c r="N7" s="443">
        <f>landbouw!N8</f>
        <v>0</v>
      </c>
      <c r="O7" s="443">
        <f>landbouw!O8</f>
        <v>0</v>
      </c>
      <c r="P7" s="444">
        <f>landbouw!P8</f>
        <v>0</v>
      </c>
      <c r="Q7" s="442">
        <f t="shared" si="0"/>
        <v>1621.0288850913266</v>
      </c>
    </row>
    <row r="8" spans="1:17">
      <c r="A8" s="442" t="s">
        <v>569</v>
      </c>
      <c r="B8" s="443">
        <f>industrie!B18</f>
        <v>45238.046586547462</v>
      </c>
      <c r="C8" s="443">
        <f>industrie!C18</f>
        <v>0</v>
      </c>
      <c r="D8" s="443">
        <f>industrie!D18</f>
        <v>36033.21618318111</v>
      </c>
      <c r="E8" s="443">
        <f>industrie!E18</f>
        <v>67.324937243136702</v>
      </c>
      <c r="F8" s="443">
        <f>industrie!F18</f>
        <v>3790.5059396670013</v>
      </c>
      <c r="G8" s="443">
        <f>industrie!G18</f>
        <v>0</v>
      </c>
      <c r="H8" s="443">
        <f>industrie!H18</f>
        <v>0</v>
      </c>
      <c r="I8" s="443">
        <f>industrie!I18</f>
        <v>0</v>
      </c>
      <c r="J8" s="443">
        <f>industrie!J18</f>
        <v>9.3096925026719468</v>
      </c>
      <c r="K8" s="443">
        <f>industrie!K18</f>
        <v>0</v>
      </c>
      <c r="L8" s="443">
        <f>industrie!L18</f>
        <v>0</v>
      </c>
      <c r="M8" s="443">
        <f>industrie!M18</f>
        <v>0</v>
      </c>
      <c r="N8" s="443">
        <f>industrie!N18</f>
        <v>2643.1532171125018</v>
      </c>
      <c r="O8" s="443">
        <f>industrie!O18</f>
        <v>0</v>
      </c>
      <c r="P8" s="444">
        <f>industrie!P18</f>
        <v>0</v>
      </c>
      <c r="Q8" s="442">
        <f t="shared" si="0"/>
        <v>87781.556556253883</v>
      </c>
    </row>
    <row r="9" spans="1:17" s="448" customFormat="1">
      <c r="A9" s="446" t="s">
        <v>521</v>
      </c>
      <c r="B9" s="447">
        <f>transport!B14</f>
        <v>950.53958811688506</v>
      </c>
      <c r="C9" s="447">
        <f>transport!C14</f>
        <v>0</v>
      </c>
      <c r="D9" s="447">
        <f>transport!D14</f>
        <v>826.74958660902189</v>
      </c>
      <c r="E9" s="447">
        <f>transport!E14</f>
        <v>303.33374028602395</v>
      </c>
      <c r="F9" s="447">
        <f>transport!F14</f>
        <v>0</v>
      </c>
      <c r="G9" s="447">
        <f>transport!G14</f>
        <v>118227.93481137023</v>
      </c>
      <c r="H9" s="447">
        <f>transport!H14</f>
        <v>40188.233637010897</v>
      </c>
      <c r="I9" s="447">
        <f>transport!I14</f>
        <v>0</v>
      </c>
      <c r="J9" s="447">
        <f>transport!J14</f>
        <v>0</v>
      </c>
      <c r="K9" s="447">
        <f>transport!K14</f>
        <v>0</v>
      </c>
      <c r="L9" s="447">
        <f>transport!L14</f>
        <v>0</v>
      </c>
      <c r="M9" s="447">
        <f>transport!M14</f>
        <v>16692.402463476676</v>
      </c>
      <c r="N9" s="447">
        <f>transport!N14</f>
        <v>0</v>
      </c>
      <c r="O9" s="447">
        <f>transport!O14</f>
        <v>0</v>
      </c>
      <c r="P9" s="447">
        <f>transport!P14</f>
        <v>0</v>
      </c>
      <c r="Q9" s="446">
        <f>SUM(B9:P9)</f>
        <v>177189.19382686974</v>
      </c>
    </row>
    <row r="10" spans="1:17">
      <c r="A10" s="442" t="s">
        <v>511</v>
      </c>
      <c r="B10" s="443">
        <f>transport!B54</f>
        <v>33.079454812493381</v>
      </c>
      <c r="C10" s="443">
        <f>transport!C54</f>
        <v>0</v>
      </c>
      <c r="D10" s="443">
        <f>transport!D54</f>
        <v>0</v>
      </c>
      <c r="E10" s="443">
        <f>transport!E54</f>
        <v>0</v>
      </c>
      <c r="F10" s="443">
        <f>transport!F54</f>
        <v>0</v>
      </c>
      <c r="G10" s="443">
        <f>transport!G54</f>
        <v>1358.4652905248734</v>
      </c>
      <c r="H10" s="443">
        <f>transport!H54</f>
        <v>0</v>
      </c>
      <c r="I10" s="443">
        <f>transport!I54</f>
        <v>0</v>
      </c>
      <c r="J10" s="443">
        <f>transport!J54</f>
        <v>0</v>
      </c>
      <c r="K10" s="443">
        <f>transport!K54</f>
        <v>0</v>
      </c>
      <c r="L10" s="443">
        <f>transport!L54</f>
        <v>0</v>
      </c>
      <c r="M10" s="443">
        <f>transport!M54</f>
        <v>152.06509378886395</v>
      </c>
      <c r="N10" s="443">
        <f>transport!N54</f>
        <v>0</v>
      </c>
      <c r="O10" s="443">
        <f>transport!O54</f>
        <v>0</v>
      </c>
      <c r="P10" s="444">
        <f>transport!P54</f>
        <v>0</v>
      </c>
      <c r="Q10" s="442">
        <f t="shared" si="0"/>
        <v>1543.6098391262308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700.48962262633597</v>
      </c>
      <c r="C14" s="450"/>
      <c r="D14" s="450">
        <f>'SEAP template'!E25</f>
        <v>1350.95020495369</v>
      </c>
      <c r="E14" s="450"/>
      <c r="F14" s="450"/>
      <c r="G14" s="450"/>
      <c r="H14" s="450"/>
      <c r="I14" s="450"/>
      <c r="J14" s="450"/>
      <c r="K14" s="450"/>
      <c r="L14" s="450"/>
      <c r="M14" s="450"/>
      <c r="N14" s="450"/>
      <c r="O14" s="450"/>
      <c r="P14" s="451"/>
      <c r="Q14" s="442">
        <f t="shared" si="0"/>
        <v>2051.4398275800258</v>
      </c>
    </row>
    <row r="15" spans="1:17" s="454" customFormat="1">
      <c r="A15" s="452" t="s">
        <v>515</v>
      </c>
      <c r="B15" s="453">
        <f ca="1">SUM(B4:B14)</f>
        <v>93972.083323626925</v>
      </c>
      <c r="C15" s="453">
        <f t="shared" ref="C15:Q15" ca="1" si="1">SUM(C4:C14)</f>
        <v>332.50000002660005</v>
      </c>
      <c r="D15" s="453">
        <f t="shared" ca="1" si="1"/>
        <v>98335.052681726404</v>
      </c>
      <c r="E15" s="453">
        <f t="shared" ca="1" si="1"/>
        <v>3519.5396833394939</v>
      </c>
      <c r="F15" s="453">
        <f t="shared" ca="1" si="1"/>
        <v>47441.738409544247</v>
      </c>
      <c r="G15" s="453">
        <f t="shared" si="1"/>
        <v>119586.40010189511</v>
      </c>
      <c r="H15" s="453">
        <f t="shared" si="1"/>
        <v>40188.233637010897</v>
      </c>
      <c r="I15" s="453">
        <f t="shared" si="1"/>
        <v>0</v>
      </c>
      <c r="J15" s="453">
        <f t="shared" si="1"/>
        <v>331.00293800449481</v>
      </c>
      <c r="K15" s="453">
        <f t="shared" si="1"/>
        <v>0</v>
      </c>
      <c r="L15" s="453">
        <f t="shared" ca="1" si="1"/>
        <v>0</v>
      </c>
      <c r="M15" s="453">
        <f t="shared" si="1"/>
        <v>16844.46755726554</v>
      </c>
      <c r="N15" s="453">
        <f t="shared" ca="1" si="1"/>
        <v>12579.956271570572</v>
      </c>
      <c r="O15" s="453">
        <f t="shared" si="1"/>
        <v>582.22910260746744</v>
      </c>
      <c r="P15" s="453">
        <f t="shared" si="1"/>
        <v>2885.6515591460461</v>
      </c>
      <c r="Q15" s="453">
        <f t="shared" ca="1" si="1"/>
        <v>436598.8552657637</v>
      </c>
    </row>
    <row r="17" spans="1:17">
      <c r="A17" s="455" t="s">
        <v>516</v>
      </c>
      <c r="B17" s="732">
        <f ca="1">huishoudens!B10</f>
        <v>0.20003096444540888</v>
      </c>
      <c r="C17" s="732">
        <f ca="1">huishoudens!C10</f>
        <v>0.18177898138006571</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6292.2592395654938</v>
      </c>
      <c r="C22" s="443">
        <f t="shared" ref="C22:C32" ca="1" si="3">C4*$C$17</f>
        <v>0</v>
      </c>
      <c r="D22" s="443">
        <f t="shared" ref="D22:D32" si="4">D4*$D$17</f>
        <v>9471.787247510927</v>
      </c>
      <c r="E22" s="443">
        <f t="shared" ref="E22:E32" si="5">E4*$E$17</f>
        <v>704.85154505435821</v>
      </c>
      <c r="F22" s="443">
        <f t="shared" ref="F22:F32" si="6">F4*$F$17</f>
        <v>10502.908264053151</v>
      </c>
      <c r="G22" s="443">
        <f t="shared" ref="G22:G32" si="7">G4*$G$17</f>
        <v>0</v>
      </c>
      <c r="H22" s="443">
        <f t="shared" ref="H22:H32" si="8">H4*$H$17</f>
        <v>0</v>
      </c>
      <c r="I22" s="443">
        <f t="shared" ref="I22:I32" si="9">I4*$I$17</f>
        <v>0</v>
      </c>
      <c r="J22" s="443">
        <f t="shared" ref="J22:J32" si="10">J4*$J$17</f>
        <v>89.129331165795762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27060.935627349729</v>
      </c>
    </row>
    <row r="23" spans="1:17">
      <c r="A23" s="442" t="s">
        <v>149</v>
      </c>
      <c r="B23" s="443">
        <f t="shared" ca="1" si="2"/>
        <v>2933.7198405204163</v>
      </c>
      <c r="C23" s="443">
        <f t="shared" ca="1" si="3"/>
        <v>52.614916281439328</v>
      </c>
      <c r="D23" s="443">
        <f t="shared" ca="1" si="4"/>
        <v>2661.2349126455333</v>
      </c>
      <c r="E23" s="443">
        <f t="shared" ca="1" si="5"/>
        <v>7.4797279326131632</v>
      </c>
      <c r="F23" s="443">
        <f t="shared" ca="1" si="6"/>
        <v>854.11258856852942</v>
      </c>
      <c r="G23" s="443">
        <f t="shared" si="7"/>
        <v>0</v>
      </c>
      <c r="H23" s="443">
        <f t="shared" si="8"/>
        <v>0</v>
      </c>
      <c r="I23" s="443">
        <f t="shared" si="9"/>
        <v>0</v>
      </c>
      <c r="J23" s="443">
        <f t="shared" si="10"/>
        <v>9.8529536120026077E-3</v>
      </c>
      <c r="K23" s="443">
        <f t="shared" si="11"/>
        <v>0</v>
      </c>
      <c r="L23" s="443">
        <f t="shared" ca="1" si="12"/>
        <v>0</v>
      </c>
      <c r="M23" s="443">
        <f t="shared" si="13"/>
        <v>0</v>
      </c>
      <c r="N23" s="443">
        <f t="shared" ca="1" si="14"/>
        <v>0</v>
      </c>
      <c r="O23" s="443">
        <f t="shared" si="15"/>
        <v>0</v>
      </c>
      <c r="P23" s="444">
        <f t="shared" si="16"/>
        <v>0</v>
      </c>
      <c r="Q23" s="442">
        <f t="shared" ref="Q23:Q31" ca="1" si="17">SUM(B23:P23)</f>
        <v>6509.1718389021435</v>
      </c>
    </row>
    <row r="24" spans="1:17">
      <c r="A24" s="442" t="s">
        <v>187</v>
      </c>
      <c r="B24" s="443">
        <f t="shared" ca="1" si="2"/>
        <v>121.05673937271702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121.05673937271702</v>
      </c>
    </row>
    <row r="25" spans="1:17">
      <c r="A25" s="442" t="s">
        <v>105</v>
      </c>
      <c r="B25" s="443">
        <f t="shared" ca="1" si="2"/>
        <v>64.40666977538207</v>
      </c>
      <c r="C25" s="443">
        <f t="shared" ca="1" si="3"/>
        <v>7.8265950322678464</v>
      </c>
      <c r="D25" s="443">
        <f t="shared" si="4"/>
        <v>12.053454654021353</v>
      </c>
      <c r="E25" s="443">
        <f t="shared" si="5"/>
        <v>2.4647153319742587</v>
      </c>
      <c r="F25" s="443">
        <f t="shared" si="6"/>
        <v>297.85821683554485</v>
      </c>
      <c r="G25" s="443">
        <f t="shared" si="7"/>
        <v>0</v>
      </c>
      <c r="H25" s="443">
        <f t="shared" si="8"/>
        <v>0</v>
      </c>
      <c r="I25" s="443">
        <f t="shared" si="9"/>
        <v>0</v>
      </c>
      <c r="J25" s="443">
        <f t="shared" si="10"/>
        <v>24.740224788237512</v>
      </c>
      <c r="K25" s="443">
        <f t="shared" si="11"/>
        <v>0</v>
      </c>
      <c r="L25" s="443">
        <f t="shared" si="12"/>
        <v>0</v>
      </c>
      <c r="M25" s="443">
        <f t="shared" si="13"/>
        <v>0</v>
      </c>
      <c r="N25" s="443">
        <f t="shared" si="14"/>
        <v>0</v>
      </c>
      <c r="O25" s="443">
        <f t="shared" si="15"/>
        <v>0</v>
      </c>
      <c r="P25" s="444">
        <f t="shared" si="16"/>
        <v>0</v>
      </c>
      <c r="Q25" s="442">
        <f t="shared" ca="1" si="17"/>
        <v>409.34987641742788</v>
      </c>
    </row>
    <row r="26" spans="1:17">
      <c r="A26" s="442" t="s">
        <v>569</v>
      </c>
      <c r="B26" s="443">
        <f t="shared" ca="1" si="2"/>
        <v>9049.0100883334253</v>
      </c>
      <c r="C26" s="443">
        <f t="shared" ca="1" si="3"/>
        <v>0</v>
      </c>
      <c r="D26" s="443">
        <f t="shared" si="4"/>
        <v>7278.7096690025846</v>
      </c>
      <c r="E26" s="443">
        <f t="shared" si="5"/>
        <v>15.282760754192031</v>
      </c>
      <c r="F26" s="443">
        <f t="shared" si="6"/>
        <v>1012.0650858910894</v>
      </c>
      <c r="G26" s="443">
        <f t="shared" si="7"/>
        <v>0</v>
      </c>
      <c r="H26" s="443">
        <f t="shared" si="8"/>
        <v>0</v>
      </c>
      <c r="I26" s="443">
        <f t="shared" si="9"/>
        <v>0</v>
      </c>
      <c r="J26" s="443">
        <f t="shared" si="10"/>
        <v>3.2956311459458689</v>
      </c>
      <c r="K26" s="443">
        <f t="shared" si="11"/>
        <v>0</v>
      </c>
      <c r="L26" s="443">
        <f t="shared" si="12"/>
        <v>0</v>
      </c>
      <c r="M26" s="443">
        <f t="shared" si="13"/>
        <v>0</v>
      </c>
      <c r="N26" s="443">
        <f t="shared" si="14"/>
        <v>0</v>
      </c>
      <c r="O26" s="443">
        <f t="shared" si="15"/>
        <v>0</v>
      </c>
      <c r="P26" s="444">
        <f t="shared" si="16"/>
        <v>0</v>
      </c>
      <c r="Q26" s="442">
        <f t="shared" ca="1" si="17"/>
        <v>17358.363235127235</v>
      </c>
    </row>
    <row r="27" spans="1:17" s="448" customFormat="1">
      <c r="A27" s="446" t="s">
        <v>521</v>
      </c>
      <c r="B27" s="726">
        <f t="shared" ca="1" si="2"/>
        <v>190.13735055456223</v>
      </c>
      <c r="C27" s="447">
        <f t="shared" ca="1" si="3"/>
        <v>0</v>
      </c>
      <c r="D27" s="447">
        <f t="shared" si="4"/>
        <v>167.00341649502244</v>
      </c>
      <c r="E27" s="447">
        <f t="shared" si="5"/>
        <v>68.856759044927443</v>
      </c>
      <c r="F27" s="447">
        <f t="shared" si="6"/>
        <v>0</v>
      </c>
      <c r="G27" s="447">
        <f t="shared" si="7"/>
        <v>31566.858594635854</v>
      </c>
      <c r="H27" s="447">
        <f t="shared" si="8"/>
        <v>10006.870175615713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41999.726296346082</v>
      </c>
    </row>
    <row r="28" spans="1:17" ht="16.5" customHeight="1">
      <c r="A28" s="442" t="s">
        <v>511</v>
      </c>
      <c r="B28" s="443">
        <f t="shared" ca="1" si="2"/>
        <v>6.616915249471373</v>
      </c>
      <c r="C28" s="443">
        <f t="shared" ca="1" si="3"/>
        <v>0</v>
      </c>
      <c r="D28" s="443">
        <f t="shared" si="4"/>
        <v>0</v>
      </c>
      <c r="E28" s="443">
        <f t="shared" si="5"/>
        <v>0</v>
      </c>
      <c r="F28" s="443">
        <f t="shared" si="6"/>
        <v>0</v>
      </c>
      <c r="G28" s="443">
        <f t="shared" si="7"/>
        <v>362.71023257014122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369.32714781961261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140.1196147979465</v>
      </c>
      <c r="C32" s="443">
        <f t="shared" ca="1" si="3"/>
        <v>0</v>
      </c>
      <c r="D32" s="443">
        <f t="shared" si="4"/>
        <v>272.89194140064541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413.0115561985919</v>
      </c>
    </row>
    <row r="33" spans="1:17" s="454" customFormat="1">
      <c r="A33" s="452" t="s">
        <v>515</v>
      </c>
      <c r="B33" s="453">
        <f ca="1">SUM(B22:B32)</f>
        <v>18797.326458169417</v>
      </c>
      <c r="C33" s="453">
        <f t="shared" ref="C33:Q33" ca="1" si="19">SUM(C22:C32)</f>
        <v>60.441511313707174</v>
      </c>
      <c r="D33" s="453">
        <f t="shared" ca="1" si="19"/>
        <v>19863.680641708735</v>
      </c>
      <c r="E33" s="453">
        <f t="shared" ca="1" si="19"/>
        <v>798.93550811806517</v>
      </c>
      <c r="F33" s="453">
        <f t="shared" ca="1" si="19"/>
        <v>12666.944155348312</v>
      </c>
      <c r="G33" s="453">
        <f t="shared" si="19"/>
        <v>31929.568827205996</v>
      </c>
      <c r="H33" s="453">
        <f t="shared" si="19"/>
        <v>10006.870175615713</v>
      </c>
      <c r="I33" s="453">
        <f t="shared" si="19"/>
        <v>0</v>
      </c>
      <c r="J33" s="453">
        <f t="shared" si="19"/>
        <v>117.17504005359115</v>
      </c>
      <c r="K33" s="453">
        <f t="shared" si="19"/>
        <v>0</v>
      </c>
      <c r="L33" s="453">
        <f t="shared" ca="1" si="19"/>
        <v>0</v>
      </c>
      <c r="M33" s="453">
        <f t="shared" si="19"/>
        <v>0</v>
      </c>
      <c r="N33" s="453">
        <f t="shared" ca="1" si="19"/>
        <v>0</v>
      </c>
      <c r="O33" s="453">
        <f t="shared" si="19"/>
        <v>0</v>
      </c>
      <c r="P33" s="453">
        <f t="shared" si="19"/>
        <v>0</v>
      </c>
      <c r="Q33" s="453">
        <f t="shared" ca="1" si="19"/>
        <v>94240.94231753354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104.66809482136884</v>
      </c>
      <c r="C5" s="967"/>
      <c r="D5" s="967"/>
      <c r="E5" s="967"/>
      <c r="F5" s="967"/>
      <c r="G5" s="967"/>
      <c r="H5" s="967"/>
      <c r="I5" s="967"/>
      <c r="J5" s="967"/>
      <c r="K5" s="967"/>
      <c r="L5" s="967"/>
      <c r="M5" s="967"/>
      <c r="N5" s="967"/>
      <c r="O5" s="967"/>
      <c r="P5" s="968">
        <f>'SEAP template'!Q73</f>
        <v>0</v>
      </c>
    </row>
    <row r="6" spans="1:16">
      <c r="A6" s="972" t="s">
        <v>240</v>
      </c>
      <c r="B6" s="967">
        <f>'SEAP template'!B74</f>
        <v>8780.6313297057241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27.782612839226662</v>
      </c>
      <c r="C8" s="967">
        <f>'SEAP template'!C76</f>
        <v>146.93960939697334</v>
      </c>
      <c r="D8" s="967">
        <f>'SEAP template'!D76</f>
        <v>157.23181971563315</v>
      </c>
      <c r="E8" s="967">
        <f>'SEAP template'!E76</f>
        <v>0</v>
      </c>
      <c r="F8" s="967">
        <f>'SEAP template'!F76</f>
        <v>0</v>
      </c>
      <c r="G8" s="967">
        <f>'SEAP template'!G76</f>
        <v>0</v>
      </c>
      <c r="H8" s="967">
        <f>'SEAP template'!H76</f>
        <v>0</v>
      </c>
      <c r="I8" s="967">
        <f>'SEAP template'!I76</f>
        <v>29.72861293897315</v>
      </c>
      <c r="J8" s="967">
        <f>'SEAP template'!J76</f>
        <v>0</v>
      </c>
      <c r="K8" s="967">
        <f>'SEAP template'!K76</f>
        <v>0</v>
      </c>
      <c r="L8" s="967">
        <f>'SEAP template'!L76</f>
        <v>0</v>
      </c>
      <c r="M8" s="967">
        <f>'SEAP template'!M76</f>
        <v>0</v>
      </c>
      <c r="N8" s="967">
        <f>'SEAP template'!N76</f>
        <v>0</v>
      </c>
      <c r="O8" s="967">
        <f>'SEAP template'!O76</f>
        <v>0</v>
      </c>
      <c r="P8" s="968">
        <f>'SEAP template'!Q76</f>
        <v>31.760827582557898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8913.0820373663191</v>
      </c>
      <c r="C10" s="969">
        <f>SUM(C4:C9)</f>
        <v>146.93960939697334</v>
      </c>
      <c r="D10" s="969">
        <f t="shared" ref="D10:H10" si="0">SUM(D8:D9)</f>
        <v>157.23181971563315</v>
      </c>
      <c r="E10" s="969">
        <f t="shared" si="0"/>
        <v>0</v>
      </c>
      <c r="F10" s="969">
        <f t="shared" si="0"/>
        <v>0</v>
      </c>
      <c r="G10" s="969">
        <f t="shared" si="0"/>
        <v>0</v>
      </c>
      <c r="H10" s="969">
        <f t="shared" si="0"/>
        <v>0</v>
      </c>
      <c r="I10" s="969">
        <f>SUM(I8:I9)</f>
        <v>29.72861293897315</v>
      </c>
      <c r="J10" s="969">
        <f>SUM(J8:J9)</f>
        <v>0</v>
      </c>
      <c r="K10" s="969">
        <f t="shared" ref="K10:L10" si="1">SUM(K8:K9)</f>
        <v>0</v>
      </c>
      <c r="L10" s="969">
        <f t="shared" si="1"/>
        <v>0</v>
      </c>
      <c r="M10" s="969">
        <f>SUM(M8:M9)</f>
        <v>0</v>
      </c>
      <c r="N10" s="969">
        <f>SUM(N8:N9)</f>
        <v>0</v>
      </c>
      <c r="O10" s="969">
        <f>SUM(O8:O9)</f>
        <v>0</v>
      </c>
      <c r="P10" s="969">
        <f>SUM(P8:P9)</f>
        <v>31.760827582557898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0.20003096444540888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52.870886436493358</v>
      </c>
      <c r="C17" s="970">
        <f>'SEAP template'!C87</f>
        <v>279.62911359010667</v>
      </c>
      <c r="D17" s="968">
        <f>'SEAP template'!D87</f>
        <v>299.2154025431048</v>
      </c>
      <c r="E17" s="968">
        <f>'SEAP template'!E87</f>
        <v>0</v>
      </c>
      <c r="F17" s="968">
        <f>'SEAP template'!F87</f>
        <v>0</v>
      </c>
      <c r="G17" s="968">
        <f>'SEAP template'!G87</f>
        <v>0</v>
      </c>
      <c r="H17" s="968">
        <f>'SEAP template'!H87</f>
        <v>0</v>
      </c>
      <c r="I17" s="968">
        <f>'SEAP template'!I87</f>
        <v>56.57416484570885</v>
      </c>
      <c r="J17" s="968">
        <f>'SEAP template'!J87</f>
        <v>0</v>
      </c>
      <c r="K17" s="968">
        <f>'SEAP template'!K87</f>
        <v>0</v>
      </c>
      <c r="L17" s="968">
        <f>'SEAP template'!L87</f>
        <v>0</v>
      </c>
      <c r="M17" s="968">
        <f>'SEAP template'!M87</f>
        <v>0</v>
      </c>
      <c r="N17" s="968">
        <f>'SEAP template'!N87</f>
        <v>0</v>
      </c>
      <c r="O17" s="968">
        <f>'SEAP template'!O87</f>
        <v>0</v>
      </c>
      <c r="P17" s="968">
        <f>'SEAP template'!Q87</f>
        <v>60.441511313707174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52.870886436493358</v>
      </c>
      <c r="C20" s="969">
        <f>SUM(C17:C19)</f>
        <v>279.62911359010667</v>
      </c>
      <c r="D20" s="969">
        <f t="shared" ref="D20:H20" si="2">SUM(D17:D19)</f>
        <v>299.2154025431048</v>
      </c>
      <c r="E20" s="969">
        <f t="shared" si="2"/>
        <v>0</v>
      </c>
      <c r="F20" s="969">
        <f t="shared" si="2"/>
        <v>0</v>
      </c>
      <c r="G20" s="969">
        <f t="shared" si="2"/>
        <v>0</v>
      </c>
      <c r="H20" s="969">
        <f t="shared" si="2"/>
        <v>0</v>
      </c>
      <c r="I20" s="969">
        <f>SUM(I17:I19)</f>
        <v>56.57416484570885</v>
      </c>
      <c r="J20" s="969">
        <f>SUM(J17:J19)</f>
        <v>0</v>
      </c>
      <c r="K20" s="969">
        <f t="shared" ref="K20:L20" si="3">SUM(K17:K19)</f>
        <v>0</v>
      </c>
      <c r="L20" s="969">
        <f t="shared" si="3"/>
        <v>0</v>
      </c>
      <c r="M20" s="969">
        <f>SUM(M17:M19)</f>
        <v>0</v>
      </c>
      <c r="N20" s="969">
        <f>SUM(N17:N19)</f>
        <v>0</v>
      </c>
      <c r="O20" s="969">
        <f>SUM(O17:O19)</f>
        <v>0</v>
      </c>
      <c r="P20" s="969">
        <f>SUM(P17:P19)</f>
        <v>60.441511313707174</v>
      </c>
    </row>
    <row r="21" spans="1:16">
      <c r="B21" s="836"/>
    </row>
    <row r="22" spans="1:16">
      <c r="A22" s="455" t="s">
        <v>677</v>
      </c>
      <c r="B22" s="732" t="s">
        <v>675</v>
      </c>
      <c r="C22" s="732">
        <f ca="1">'EF ele_warmte'!B22</f>
        <v>0.18177898138006571</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0.20003096444540888</v>
      </c>
      <c r="C17" s="492">
        <f ca="1">'EF ele_warmte'!B22</f>
        <v>0.18177898138006571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2022-10-04T13:56:36Z</dcterms:modified>
</cp:coreProperties>
</file>