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DA1CEBA-844A-4F83-9682-9E122D4CA5A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16"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12" i="16" s="1"/>
  <c r="B33" i="16"/>
  <c r="C33" i="16" s="1"/>
  <c r="J11" i="16" s="1"/>
  <c r="B32" i="16"/>
  <c r="C32" i="16" s="1"/>
  <c r="B31" i="16"/>
  <c r="C31" i="16" s="1"/>
  <c r="F9" i="16" s="1"/>
  <c r="B30" i="16"/>
  <c r="C30" i="16"/>
  <c r="N8" i="16" s="1"/>
  <c r="B29" i="16"/>
  <c r="C29" i="16" s="1"/>
  <c r="N20" i="16"/>
  <c r="M20" i="16"/>
  <c r="M22" i="16"/>
  <c r="N43" i="14"/>
  <c r="L20" i="16"/>
  <c r="K20" i="16"/>
  <c r="J20" i="16"/>
  <c r="I20" i="16"/>
  <c r="H20" i="16"/>
  <c r="G20" i="16"/>
  <c r="F20" i="16"/>
  <c r="E20" i="16"/>
  <c r="D20" i="16"/>
  <c r="C5" i="16"/>
  <c r="B40" i="15"/>
  <c r="B32" i="15"/>
  <c r="C32" i="15"/>
  <c r="J12" i="15" s="1"/>
  <c r="B31" i="15"/>
  <c r="C31" i="15" s="1"/>
  <c r="E11" i="15" s="1"/>
  <c r="B30" i="15"/>
  <c r="C30" i="15" s="1"/>
  <c r="B29" i="15"/>
  <c r="B28" i="15"/>
  <c r="C28" i="15"/>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G20"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O20" i="59"/>
  <c r="K10" i="18"/>
  <c r="N77" i="14"/>
  <c r="L10" i="18"/>
  <c r="O77" i="14"/>
  <c r="H16" i="14"/>
  <c r="B8" i="9"/>
  <c r="L16" i="16"/>
  <c r="L18" i="16" s="1"/>
  <c r="M13" i="14"/>
  <c r="I14" i="15"/>
  <c r="I16" i="15"/>
  <c r="J10" i="14" s="1"/>
  <c r="B13" i="16"/>
  <c r="C35" i="16"/>
  <c r="E9" i="14"/>
  <c r="D14" i="15"/>
  <c r="P22" i="16"/>
  <c r="Q43" i="14" s="1"/>
  <c r="J8" i="17"/>
  <c r="K24" i="14" s="1"/>
  <c r="N13" i="15"/>
  <c r="F13" i="15"/>
  <c r="D13" i="15"/>
  <c r="B67" i="22"/>
  <c r="M11" i="22"/>
  <c r="G10" i="22"/>
  <c r="M9" i="22"/>
  <c r="G8" i="22"/>
  <c r="M7" i="22"/>
  <c r="G6" i="22"/>
  <c r="G11" i="22"/>
  <c r="M8" i="22"/>
  <c r="G7" i="22"/>
  <c r="M10" i="22"/>
  <c r="G9" i="22"/>
  <c r="G5" i="22" s="1"/>
  <c r="G14" i="22" s="1"/>
  <c r="G9" i="48" s="1"/>
  <c r="G15" i="48" s="1"/>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K5" i="48"/>
  <c r="K23" i="48"/>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M20" i="15"/>
  <c r="N40" i="14" s="1"/>
  <c r="N10" i="14"/>
  <c r="N16" i="14"/>
  <c r="G20" i="15"/>
  <c r="H40" i="14" s="1"/>
  <c r="H46" i="14" s="1"/>
  <c r="H20" i="15"/>
  <c r="I40" i="14"/>
  <c r="I46" i="14" s="1"/>
  <c r="I10" i="14"/>
  <c r="I16" i="14" s="1"/>
  <c r="B74" i="14"/>
  <c r="B6" i="59" s="1"/>
  <c r="F8" i="16"/>
  <c r="J9" i="16"/>
  <c r="B7" i="48"/>
  <c r="C26" i="14"/>
  <c r="B73" i="14"/>
  <c r="B5" i="59"/>
  <c r="F8" i="15"/>
  <c r="E14" i="16"/>
  <c r="B8" i="15"/>
  <c r="J8" i="15"/>
  <c r="I20" i="15"/>
  <c r="J40" i="14"/>
  <c r="J46" i="14" s="1"/>
  <c r="J61" i="14" s="1"/>
  <c r="J63" i="14" s="1"/>
  <c r="B10" i="15"/>
  <c r="E9" i="16"/>
  <c r="B6" i="15"/>
  <c r="D5" i="16"/>
  <c r="D18" i="16" s="1"/>
  <c r="D8" i="48" s="1"/>
  <c r="D26" i="48" s="1"/>
  <c r="F10" i="16"/>
  <c r="B15" i="16"/>
  <c r="F14" i="16"/>
  <c r="J6" i="15"/>
  <c r="B12" i="15"/>
  <c r="B7" i="16"/>
  <c r="N14" i="16"/>
  <c r="N11" i="16"/>
  <c r="N6" i="15"/>
  <c r="B8" i="16"/>
  <c r="J8" i="16"/>
  <c r="B10" i="16"/>
  <c r="E11" i="16"/>
  <c r="B14" i="16"/>
  <c r="E15" i="16"/>
  <c r="N7" i="16"/>
  <c r="N15" i="16"/>
  <c r="Q13" i="14"/>
  <c r="E11" i="48"/>
  <c r="E29" i="48"/>
  <c r="F9" i="14"/>
  <c r="D9" i="14"/>
  <c r="E19" i="19"/>
  <c r="F39" i="14"/>
  <c r="C11" i="48"/>
  <c r="D19" i="19"/>
  <c r="E39" i="14"/>
  <c r="C9" i="14"/>
  <c r="B11" i="48"/>
  <c r="E14" i="22"/>
  <c r="D5" i="22"/>
  <c r="D14" i="22" s="1"/>
  <c r="B14" i="22"/>
  <c r="P11" i="48"/>
  <c r="P29" i="48"/>
  <c r="H5" i="48"/>
  <c r="O11" i="48"/>
  <c r="P9" i="14"/>
  <c r="M5" i="48"/>
  <c r="M23" i="48" s="1"/>
  <c r="G29" i="48"/>
  <c r="E30" i="48"/>
  <c r="I31" i="48"/>
  <c r="I27" i="48"/>
  <c r="I30" i="48"/>
  <c r="K27" i="48"/>
  <c r="O30" i="48"/>
  <c r="K22" i="48"/>
  <c r="G22" i="48"/>
  <c r="M17" i="48"/>
  <c r="K30" i="48"/>
  <c r="F5" i="13"/>
  <c r="F8" i="13"/>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H88" i="14"/>
  <c r="F88" i="14"/>
  <c r="F18" i="59" s="1"/>
  <c r="L20" i="18"/>
  <c r="G77" i="14"/>
  <c r="O90" i="14"/>
  <c r="D11" i="14"/>
  <c r="C4" i="48"/>
  <c r="N46" i="14"/>
  <c r="G51" i="22"/>
  <c r="G50" i="22" s="1"/>
  <c r="G54" i="22"/>
  <c r="H19" i="14"/>
  <c r="M51" i="22"/>
  <c r="M50" i="22" s="1"/>
  <c r="M54" i="22" s="1"/>
  <c r="M58" i="22" s="1"/>
  <c r="N49" i="14" s="1"/>
  <c r="I5" i="48"/>
  <c r="I23" i="48" s="1"/>
  <c r="I33" i="48" s="1"/>
  <c r="J27" i="14"/>
  <c r="M24" i="48"/>
  <c r="M32" i="48"/>
  <c r="K15" i="48"/>
  <c r="H78" i="14"/>
  <c r="H9" i="59"/>
  <c r="N78" i="14"/>
  <c r="N9" i="59"/>
  <c r="G78" i="14"/>
  <c r="G9" i="59"/>
  <c r="G10" i="59" s="1"/>
  <c r="O78" i="14"/>
  <c r="O9" i="59"/>
  <c r="O10" i="59"/>
  <c r="P22" i="48"/>
  <c r="L8" i="48"/>
  <c r="L26" i="48" s="1"/>
  <c r="L22" i="16"/>
  <c r="M43" i="14"/>
  <c r="D10" i="14"/>
  <c r="L46" i="14"/>
  <c r="L61" i="14"/>
  <c r="L16" i="14"/>
  <c r="L27" i="14"/>
  <c r="L63" i="14" s="1"/>
  <c r="P8" i="48"/>
  <c r="P26" i="48"/>
  <c r="G31" i="20"/>
  <c r="H48" i="14"/>
  <c r="G12" i="22"/>
  <c r="K26" i="14"/>
  <c r="E8" i="17"/>
  <c r="O18" i="16"/>
  <c r="O8" i="48" s="1"/>
  <c r="O26" i="48" s="1"/>
  <c r="N5" i="13"/>
  <c r="N8" i="13"/>
  <c r="O11" i="14" s="1"/>
  <c r="N4" i="48"/>
  <c r="N22" i="48" s="1"/>
  <c r="H13" i="48"/>
  <c r="H31" i="48"/>
  <c r="H12" i="22"/>
  <c r="E12" i="13"/>
  <c r="F41" i="14" s="1"/>
  <c r="N8" i="17"/>
  <c r="N12" i="17"/>
  <c r="O54" i="14"/>
  <c r="O56" i="14" s="1"/>
  <c r="B9" i="48"/>
  <c r="E48" i="18"/>
  <c r="E8" i="18" s="1"/>
  <c r="F76" i="14" s="1"/>
  <c r="F8" i="59" s="1"/>
  <c r="F7" i="48"/>
  <c r="F25" i="48" s="1"/>
  <c r="M29" i="48"/>
  <c r="F12" i="17"/>
  <c r="G54" i="14" s="1"/>
  <c r="G56" i="14" s="1"/>
  <c r="C49" i="18"/>
  <c r="C48" i="18"/>
  <c r="E49" i="18"/>
  <c r="E17" i="18"/>
  <c r="F87" i="14"/>
  <c r="G49" i="18"/>
  <c r="H48" i="18"/>
  <c r="G48" i="18"/>
  <c r="L28" i="48"/>
  <c r="H49" i="18"/>
  <c r="I49" i="18"/>
  <c r="H17" i="18"/>
  <c r="F49" i="18"/>
  <c r="F48" i="18"/>
  <c r="I8" i="18" s="1"/>
  <c r="B48" i="18"/>
  <c r="L31" i="48"/>
  <c r="L24" i="48"/>
  <c r="L22" i="48"/>
  <c r="M22" i="48"/>
  <c r="I18" i="14"/>
  <c r="F20" i="14"/>
  <c r="F22" i="14" s="1"/>
  <c r="L30" i="48"/>
  <c r="B20" i="18"/>
  <c r="L29" i="48"/>
  <c r="M31" i="20"/>
  <c r="N48" i="14"/>
  <c r="N18" i="14"/>
  <c r="M13" i="48"/>
  <c r="M31" i="48"/>
  <c r="H31" i="20"/>
  <c r="I48" i="14"/>
  <c r="G13" i="48"/>
  <c r="G31" i="48"/>
  <c r="H18" i="14"/>
  <c r="M5" i="22"/>
  <c r="M14" i="22" s="1"/>
  <c r="H5" i="22"/>
  <c r="P20" i="15"/>
  <c r="Q40" i="14"/>
  <c r="Q10" i="14"/>
  <c r="Q16" i="14"/>
  <c r="Q27" i="14" s="1"/>
  <c r="F4" i="48"/>
  <c r="F22" i="48"/>
  <c r="F12" i="13"/>
  <c r="G41" i="14"/>
  <c r="P5" i="48"/>
  <c r="P23" i="48" s="1"/>
  <c r="F13" i="16"/>
  <c r="E13" i="16"/>
  <c r="N13" i="16"/>
  <c r="J13" i="16"/>
  <c r="Q11" i="48"/>
  <c r="R9" i="14"/>
  <c r="O29" i="48"/>
  <c r="H23" i="48"/>
  <c r="L27" i="48"/>
  <c r="M30" i="48"/>
  <c r="M26" i="48"/>
  <c r="M25" i="48"/>
  <c r="J5" i="13"/>
  <c r="J8" i="13"/>
  <c r="J4" i="48" s="1"/>
  <c r="C5" i="48"/>
  <c r="H14" i="22"/>
  <c r="I15" i="48"/>
  <c r="P33" i="48"/>
  <c r="C8" i="18"/>
  <c r="D76" i="14"/>
  <c r="N7" i="48"/>
  <c r="N25" i="48"/>
  <c r="O24" i="14"/>
  <c r="O26" i="14"/>
  <c r="C20" i="14"/>
  <c r="C22" i="14"/>
  <c r="I17" i="18"/>
  <c r="I87" i="14" s="1"/>
  <c r="I17" i="59" s="1"/>
  <c r="M87" i="14"/>
  <c r="M17" i="59" s="1"/>
  <c r="E18" i="22"/>
  <c r="F50" i="14"/>
  <c r="F52" i="14" s="1"/>
  <c r="E9" i="48"/>
  <c r="D5" i="48"/>
  <c r="G58" i="22"/>
  <c r="H49" i="14"/>
  <c r="G10" i="48"/>
  <c r="R18" i="14"/>
  <c r="Q13" i="48"/>
  <c r="I20" i="14"/>
  <c r="I22" i="14" s="1"/>
  <c r="I27" i="14" s="1"/>
  <c r="N12" i="13"/>
  <c r="O41" i="14" s="1"/>
  <c r="E4" i="48"/>
  <c r="E22" i="48" s="1"/>
  <c r="F11" i="14"/>
  <c r="J12" i="13"/>
  <c r="K41" i="14" s="1"/>
  <c r="K11" i="14"/>
  <c r="E27" i="48"/>
  <c r="H20" i="14"/>
  <c r="H22" i="14" s="1"/>
  <c r="H27" i="14" s="1"/>
  <c r="H18" i="22"/>
  <c r="I50" i="14"/>
  <c r="I52" i="14" s="1"/>
  <c r="I61" i="14" s="1"/>
  <c r="I63" i="14" s="1"/>
  <c r="G28" i="48"/>
  <c r="H9" i="48"/>
  <c r="H27" i="48" s="1"/>
  <c r="G27" i="48"/>
  <c r="G33" i="48" s="1"/>
  <c r="H15" i="48"/>
  <c r="H33" i="48"/>
  <c r="M9" i="48" l="1"/>
  <c r="N20" i="14"/>
  <c r="M18" i="22"/>
  <c r="N50" i="14" s="1"/>
  <c r="N52" i="14" s="1"/>
  <c r="N61" i="14" s="1"/>
  <c r="N63" i="14" s="1"/>
  <c r="P10" i="14"/>
  <c r="P16" i="14" s="1"/>
  <c r="P27" i="14" s="1"/>
  <c r="O5" i="48"/>
  <c r="O23" i="48" s="1"/>
  <c r="D18" i="22"/>
  <c r="E50" i="14" s="1"/>
  <c r="E52" i="14" s="1"/>
  <c r="E20" i="14"/>
  <c r="D9" i="48"/>
  <c r="M76" i="14"/>
  <c r="G18" i="22"/>
  <c r="H50" i="14" s="1"/>
  <c r="H52" i="14" s="1"/>
  <c r="H61" i="14" s="1"/>
  <c r="H63" i="14" s="1"/>
  <c r="D23" i="48"/>
  <c r="D8" i="59"/>
  <c r="E13" i="14"/>
  <c r="J22" i="48"/>
  <c r="O20" i="15"/>
  <c r="P40" i="14" s="1"/>
  <c r="J17" i="18"/>
  <c r="D22" i="16"/>
  <c r="E43" i="14" s="1"/>
  <c r="K18" i="59"/>
  <c r="K20" i="59" s="1"/>
  <c r="K90" i="14"/>
  <c r="B88" i="14"/>
  <c r="B18" i="59" s="1"/>
  <c r="F17" i="59"/>
  <c r="H90" i="14"/>
  <c r="H18" i="59"/>
  <c r="H20" i="59" s="1"/>
  <c r="C7" i="48"/>
  <c r="D24" i="14"/>
  <c r="B72" i="14"/>
  <c r="P15" i="48"/>
  <c r="O22" i="16"/>
  <c r="P43" i="14" s="1"/>
  <c r="D18" i="59"/>
  <c r="C88" i="14"/>
  <c r="C18" i="59" s="1"/>
  <c r="Q88" i="14"/>
  <c r="P18" i="59" s="1"/>
  <c r="H10" i="59"/>
  <c r="E7" i="16"/>
  <c r="J7" i="16"/>
  <c r="F7" i="16"/>
  <c r="J10" i="16"/>
  <c r="E10" i="16"/>
  <c r="N10" i="16"/>
  <c r="C8" i="48"/>
  <c r="D13" i="14"/>
  <c r="D16" i="14" s="1"/>
  <c r="Q46" i="14"/>
  <c r="Q61" i="14" s="1"/>
  <c r="Q63" i="14" s="1"/>
  <c r="N19" i="14"/>
  <c r="N22" i="14" s="1"/>
  <c r="N27" i="14" s="1"/>
  <c r="M10" i="48"/>
  <c r="N10" i="59"/>
  <c r="J7" i="15"/>
  <c r="E7" i="15"/>
  <c r="F7" i="15"/>
  <c r="N7" i="15"/>
  <c r="E10" i="15"/>
  <c r="F10" i="15"/>
  <c r="J10" i="15"/>
  <c r="N10" i="15"/>
  <c r="I76" i="14"/>
  <c r="P13" i="14"/>
  <c r="F24" i="14"/>
  <c r="F26" i="14" s="1"/>
  <c r="E7" i="48"/>
  <c r="E25" i="48" s="1"/>
  <c r="E12" i="17"/>
  <c r="F54" i="14" s="1"/>
  <c r="F56" i="14" s="1"/>
  <c r="P11" i="14"/>
  <c r="R11" i="14" s="1"/>
  <c r="O4" i="48"/>
  <c r="O12" i="13"/>
  <c r="P41" i="14" s="1"/>
  <c r="D48" i="18"/>
  <c r="J8" i="18" s="1"/>
  <c r="D49" i="18"/>
  <c r="D12" i="17"/>
  <c r="E54" i="14" s="1"/>
  <c r="E56" i="14" s="1"/>
  <c r="E24" i="14"/>
  <c r="E26" i="14" s="1"/>
  <c r="D7" i="48"/>
  <c r="D25" i="48" s="1"/>
  <c r="E10" i="14"/>
  <c r="D20" i="15"/>
  <c r="E40" i="14" s="1"/>
  <c r="E46" i="14" s="1"/>
  <c r="E61" i="14" s="1"/>
  <c r="G90" i="14"/>
  <c r="B4" i="48"/>
  <c r="N9" i="16"/>
  <c r="F12" i="15"/>
  <c r="E76" i="14"/>
  <c r="N8" i="15"/>
  <c r="E8" i="15"/>
  <c r="F11" i="16"/>
  <c r="O18" i="18"/>
  <c r="L6" i="17"/>
  <c r="L5" i="17" s="1"/>
  <c r="L8" i="17" s="1"/>
  <c r="K8" i="59"/>
  <c r="K10" i="59" s="1"/>
  <c r="K78" i="14"/>
  <c r="L18" i="59"/>
  <c r="L90" i="14"/>
  <c r="F20" i="18"/>
  <c r="C34" i="16"/>
  <c r="B9" i="16"/>
  <c r="B5" i="16" s="1"/>
  <c r="B18" i="16" s="1"/>
  <c r="E6" i="15"/>
  <c r="F6" i="15"/>
  <c r="L13" i="15"/>
  <c r="L16" i="15" s="1"/>
  <c r="C54" i="18"/>
  <c r="B9" i="18"/>
  <c r="J12" i="17"/>
  <c r="K54" i="14" s="1"/>
  <c r="K56" i="14" s="1"/>
  <c r="J7" i="48"/>
  <c r="J25" i="48" s="1"/>
  <c r="N20" i="59"/>
  <c r="C29" i="15"/>
  <c r="B9" i="15"/>
  <c r="B5" i="15" s="1"/>
  <c r="B16" i="15" s="1"/>
  <c r="N12" i="15"/>
  <c r="E12" i="15"/>
  <c r="N89" i="14"/>
  <c r="N19" i="59" s="1"/>
  <c r="K20" i="18"/>
  <c r="L20" i="59"/>
  <c r="J49" i="18"/>
  <c r="D17" i="18" s="1"/>
  <c r="B49" i="18"/>
  <c r="C17" i="18" s="1"/>
  <c r="B33" i="13"/>
  <c r="B54" i="18"/>
  <c r="D14" i="48"/>
  <c r="C13" i="14" l="1"/>
  <c r="B8" i="48"/>
  <c r="D58" i="18"/>
  <c r="G58" i="18"/>
  <c r="I19" i="18" s="1"/>
  <c r="I58" i="18"/>
  <c r="H19" i="18" s="1"/>
  <c r="B58" i="18"/>
  <c r="C19" i="18" s="1"/>
  <c r="E58" i="18"/>
  <c r="E19" i="18" s="1"/>
  <c r="H58" i="18"/>
  <c r="J19" i="18" s="1"/>
  <c r="J89" i="14" s="1"/>
  <c r="J19" i="59" s="1"/>
  <c r="J58" i="18"/>
  <c r="D19" i="18" s="1"/>
  <c r="E89" i="14" s="1"/>
  <c r="E19" i="59" s="1"/>
  <c r="C58" i="18"/>
  <c r="F58" i="18"/>
  <c r="O22" i="48"/>
  <c r="O33" i="48" s="1"/>
  <c r="O15" i="48"/>
  <c r="B4" i="59"/>
  <c r="J87" i="14"/>
  <c r="D57" i="18"/>
  <c r="H57" i="18"/>
  <c r="E57" i="18"/>
  <c r="E9" i="18" s="1"/>
  <c r="I57" i="18"/>
  <c r="H9" i="18" s="1"/>
  <c r="F57" i="18"/>
  <c r="J57" i="18"/>
  <c r="D9" i="18" s="1"/>
  <c r="B57" i="18"/>
  <c r="C9" i="18" s="1"/>
  <c r="C57" i="18"/>
  <c r="G57" i="18"/>
  <c r="I9" i="18" s="1"/>
  <c r="M24" i="14"/>
  <c r="M26" i="14" s="1"/>
  <c r="L12" i="17"/>
  <c r="M54" i="14" s="1"/>
  <c r="M56" i="14" s="1"/>
  <c r="L7" i="48"/>
  <c r="L25" i="48" s="1"/>
  <c r="E16" i="14"/>
  <c r="P46" i="14"/>
  <c r="P61" i="14" s="1"/>
  <c r="P63" i="14" s="1"/>
  <c r="Q76" i="14"/>
  <c r="M8" i="59"/>
  <c r="C20" i="18"/>
  <c r="D87" i="14"/>
  <c r="O17" i="18"/>
  <c r="C10" i="14"/>
  <c r="B5" i="48"/>
  <c r="B15" i="48" s="1"/>
  <c r="L5" i="48"/>
  <c r="M10" i="14"/>
  <c r="M16" i="14" s="1"/>
  <c r="M27" i="14" s="1"/>
  <c r="L20" i="15"/>
  <c r="M40" i="14" s="1"/>
  <c r="M46" i="14" s="1"/>
  <c r="M61" i="14" s="1"/>
  <c r="M63" i="14" s="1"/>
  <c r="E12" i="16"/>
  <c r="N12" i="16"/>
  <c r="N5" i="16" s="1"/>
  <c r="N18" i="16" s="1"/>
  <c r="J12" i="16"/>
  <c r="J5" i="16" s="1"/>
  <c r="J18" i="16" s="1"/>
  <c r="F12" i="16"/>
  <c r="F5" i="16" s="1"/>
  <c r="F18" i="16" s="1"/>
  <c r="Q4" i="48"/>
  <c r="J76" i="14"/>
  <c r="C76" i="14" s="1"/>
  <c r="O8" i="18"/>
  <c r="R19" i="14"/>
  <c r="R22" i="14" s="1"/>
  <c r="E5" i="16"/>
  <c r="E18" i="16" s="1"/>
  <c r="R24" i="14"/>
  <c r="R26" i="14" s="1"/>
  <c r="D26" i="14"/>
  <c r="D15" i="48"/>
  <c r="D27" i="48"/>
  <c r="D33" i="48" s="1"/>
  <c r="Q9" i="48"/>
  <c r="D32" i="48"/>
  <c r="Q14" i="48"/>
  <c r="E87" i="14"/>
  <c r="J9" i="15"/>
  <c r="J5" i="15" s="1"/>
  <c r="J16" i="15" s="1"/>
  <c r="N9" i="15"/>
  <c r="N5" i="15" s="1"/>
  <c r="N16" i="15" s="1"/>
  <c r="F9" i="15"/>
  <c r="E9" i="15"/>
  <c r="E5" i="15" s="1"/>
  <c r="E16" i="15" s="1"/>
  <c r="F5" i="15"/>
  <c r="F16" i="15" s="1"/>
  <c r="N90" i="14"/>
  <c r="E8" i="59"/>
  <c r="I8" i="59"/>
  <c r="M28" i="48"/>
  <c r="Q10" i="48"/>
  <c r="D27" i="14"/>
  <c r="B20" i="6" s="1"/>
  <c r="B22" i="6" s="1"/>
  <c r="B10" i="18"/>
  <c r="C15" i="48"/>
  <c r="R20" i="14"/>
  <c r="E22" i="14"/>
  <c r="E27" i="14" s="1"/>
  <c r="E63" i="14" s="1"/>
  <c r="M15" i="48"/>
  <c r="M27" i="48"/>
  <c r="M33" i="48" s="1"/>
  <c r="F10" i="14" l="1"/>
  <c r="E20" i="15"/>
  <c r="F40" i="14" s="1"/>
  <c r="E5" i="48"/>
  <c r="F8" i="48"/>
  <c r="F26" i="48" s="1"/>
  <c r="F22" i="16"/>
  <c r="G43" i="14" s="1"/>
  <c r="G13" i="14"/>
  <c r="O10" i="14"/>
  <c r="N5" i="48"/>
  <c r="N20" i="15"/>
  <c r="O40" i="14" s="1"/>
  <c r="J22" i="16"/>
  <c r="K43" i="14" s="1"/>
  <c r="J8" i="48"/>
  <c r="J26" i="48" s="1"/>
  <c r="K13" i="14"/>
  <c r="R13" i="14" s="1"/>
  <c r="C8" i="59"/>
  <c r="N8" i="48"/>
  <c r="N26" i="48" s="1"/>
  <c r="O13" i="14"/>
  <c r="N22" i="16"/>
  <c r="O43" i="14" s="1"/>
  <c r="C17" i="19"/>
  <c r="C19" i="19" s="1"/>
  <c r="D39" i="14" s="1"/>
  <c r="C56" i="22"/>
  <c r="C58" i="22" s="1"/>
  <c r="D49" i="14" s="1"/>
  <c r="D52" i="14" s="1"/>
  <c r="C20" i="16"/>
  <c r="C22" i="16" s="1"/>
  <c r="D43" i="14" s="1"/>
  <c r="C18" i="15"/>
  <c r="C20" i="15" s="1"/>
  <c r="D40" i="14" s="1"/>
  <c r="C22" i="59"/>
  <c r="C16" i="22"/>
  <c r="C10" i="17"/>
  <c r="C12" i="17" s="1"/>
  <c r="D54" i="14" s="1"/>
  <c r="D56" i="14" s="1"/>
  <c r="C17" i="49"/>
  <c r="C10" i="13"/>
  <c r="C29" i="20"/>
  <c r="P8" i="59"/>
  <c r="M77" i="14"/>
  <c r="H10" i="18"/>
  <c r="J20" i="15"/>
  <c r="K40" i="14" s="1"/>
  <c r="K46" i="14" s="1"/>
  <c r="K61" i="14" s="1"/>
  <c r="J5" i="48"/>
  <c r="K10" i="14"/>
  <c r="R10" i="14"/>
  <c r="C16" i="14"/>
  <c r="C27" i="14" s="1"/>
  <c r="B3" i="6" s="1"/>
  <c r="F77" i="14"/>
  <c r="E10" i="18"/>
  <c r="D20" i="18"/>
  <c r="L23" i="48"/>
  <c r="L33" i="48" s="1"/>
  <c r="L15" i="48"/>
  <c r="O20" i="18"/>
  <c r="E77" i="14"/>
  <c r="D10" i="18"/>
  <c r="J9" i="18"/>
  <c r="J20" i="18"/>
  <c r="F89" i="14"/>
  <c r="E20" i="18"/>
  <c r="F13" i="14"/>
  <c r="E22" i="16"/>
  <c r="F43" i="14" s="1"/>
  <c r="E8" i="48"/>
  <c r="E26" i="48" s="1"/>
  <c r="J8" i="59"/>
  <c r="M89" i="14"/>
  <c r="H20" i="18"/>
  <c r="Q7" i="48"/>
  <c r="G10" i="14"/>
  <c r="G16" i="14" s="1"/>
  <c r="G27" i="14" s="1"/>
  <c r="F20" i="15"/>
  <c r="G40" i="14" s="1"/>
  <c r="G46" i="14" s="1"/>
  <c r="G61" i="14" s="1"/>
  <c r="G63" i="14" s="1"/>
  <c r="F5" i="48"/>
  <c r="Q5" i="48" s="1"/>
  <c r="D77" i="14"/>
  <c r="C10" i="18"/>
  <c r="J17" i="59"/>
  <c r="J20" i="59" s="1"/>
  <c r="J90" i="14"/>
  <c r="B87" i="14"/>
  <c r="I89" i="14"/>
  <c r="I20" i="18"/>
  <c r="B76" i="14"/>
  <c r="E17" i="59"/>
  <c r="E20" i="59" s="1"/>
  <c r="E90" i="14"/>
  <c r="C87" i="14"/>
  <c r="D17" i="59"/>
  <c r="Q87" i="14"/>
  <c r="I77" i="14"/>
  <c r="I10" i="18"/>
  <c r="D89" i="14"/>
  <c r="O19" i="18"/>
  <c r="J77" i="14" l="1"/>
  <c r="J10" i="18"/>
  <c r="N23" i="48"/>
  <c r="N33" i="48" s="1"/>
  <c r="N15" i="48"/>
  <c r="C17" i="59"/>
  <c r="C20" i="59" s="1"/>
  <c r="O16" i="14"/>
  <c r="O27" i="14" s="1"/>
  <c r="E23" i="48"/>
  <c r="E33" i="48" s="1"/>
  <c r="E15" i="48"/>
  <c r="D19" i="59"/>
  <c r="D20" i="59" s="1"/>
  <c r="C89" i="14"/>
  <c r="C19" i="59" s="1"/>
  <c r="Q89" i="14"/>
  <c r="P19" i="59" s="1"/>
  <c r="I19" i="59"/>
  <c r="I20" i="59" s="1"/>
  <c r="I90" i="14"/>
  <c r="B89" i="14"/>
  <c r="B19" i="59" s="1"/>
  <c r="F23" i="48"/>
  <c r="F33" i="48" s="1"/>
  <c r="F15" i="48"/>
  <c r="Q8" i="48"/>
  <c r="Q15" i="48" s="1"/>
  <c r="R16" i="14"/>
  <c r="R27" i="14" s="1"/>
  <c r="B90" i="14"/>
  <c r="B17" i="59"/>
  <c r="B20" i="59" s="1"/>
  <c r="O9" i="18"/>
  <c r="O10" i="18" s="1"/>
  <c r="I9" i="59"/>
  <c r="I10" i="59" s="1"/>
  <c r="B77" i="14"/>
  <c r="B9" i="59" s="1"/>
  <c r="I78" i="14"/>
  <c r="D90" i="14"/>
  <c r="B8" i="59"/>
  <c r="B78" i="14"/>
  <c r="D9" i="59"/>
  <c r="D10" i="59" s="1"/>
  <c r="Q77" i="14"/>
  <c r="D78" i="14"/>
  <c r="C77" i="14"/>
  <c r="M19" i="59"/>
  <c r="M20" i="59" s="1"/>
  <c r="M90" i="14"/>
  <c r="F19" i="59"/>
  <c r="F20" i="59" s="1"/>
  <c r="F90" i="14"/>
  <c r="E9" i="59"/>
  <c r="E10" i="59" s="1"/>
  <c r="E78" i="14"/>
  <c r="F9" i="59"/>
  <c r="F10" i="59" s="1"/>
  <c r="F78" i="14"/>
  <c r="K16" i="14"/>
  <c r="K27" i="14" s="1"/>
  <c r="M9" i="59"/>
  <c r="M10" i="59" s="1"/>
  <c r="M78" i="14"/>
  <c r="C17" i="48"/>
  <c r="C12" i="13"/>
  <c r="D41" i="14" s="1"/>
  <c r="D46" i="14" s="1"/>
  <c r="D61" i="14" s="1"/>
  <c r="D63" i="14" s="1"/>
  <c r="F46" i="14"/>
  <c r="F61" i="14" s="1"/>
  <c r="F63" i="14" s="1"/>
  <c r="K63" i="14"/>
  <c r="P17" i="59"/>
  <c r="P20" i="59" s="1"/>
  <c r="Q90" i="14"/>
  <c r="B17" i="6" s="1"/>
  <c r="J23" i="48"/>
  <c r="J33" i="48" s="1"/>
  <c r="J15" i="48"/>
  <c r="O46" i="14"/>
  <c r="O61" i="14" s="1"/>
  <c r="O63" i="14" s="1"/>
  <c r="F16" i="14"/>
  <c r="F27" i="14" s="1"/>
  <c r="C27" i="48" l="1"/>
  <c r="C28" i="48"/>
  <c r="C32" i="48"/>
  <c r="C22" i="48"/>
  <c r="C24" i="48"/>
  <c r="C31" i="48"/>
  <c r="C30" i="48"/>
  <c r="C29" i="48"/>
  <c r="C23" i="48"/>
  <c r="C25" i="48"/>
  <c r="C26" i="48"/>
  <c r="C9" i="59"/>
  <c r="C10" i="59" s="1"/>
  <c r="C78" i="14"/>
  <c r="J9" i="59"/>
  <c r="J10" i="59" s="1"/>
  <c r="J78" i="14"/>
  <c r="B4" i="6"/>
  <c r="B12" i="6" s="1"/>
  <c r="B10" i="59"/>
  <c r="P9" i="59"/>
  <c r="P10" i="59" s="1"/>
  <c r="Q78" i="14"/>
  <c r="B9" i="6" s="1"/>
  <c r="C90" i="14"/>
  <c r="C33" i="48" l="1"/>
  <c r="C55" i="14"/>
  <c r="R55" i="14" s="1"/>
  <c r="B20" i="16"/>
  <c r="B22" i="16" s="1"/>
  <c r="C43" i="14" s="1"/>
  <c r="R43" i="14" s="1"/>
  <c r="C12" i="59"/>
  <c r="B17" i="19"/>
  <c r="B19" i="19" s="1"/>
  <c r="C39" i="14" s="1"/>
  <c r="B56" i="22"/>
  <c r="B58" i="22" s="1"/>
  <c r="C49" i="14" s="1"/>
  <c r="R49" i="14" s="1"/>
  <c r="B10" i="17"/>
  <c r="B12" i="17" s="1"/>
  <c r="C54" i="14" s="1"/>
  <c r="B29" i="20"/>
  <c r="B31" i="20" s="1"/>
  <c r="C48" i="14" s="1"/>
  <c r="B10" i="9"/>
  <c r="B12" i="9" s="1"/>
  <c r="B10" i="13"/>
  <c r="B17" i="49"/>
  <c r="B19" i="49" s="1"/>
  <c r="C42" i="14" s="1"/>
  <c r="R42" i="14" s="1"/>
  <c r="B18" i="15"/>
  <c r="B20" i="15" s="1"/>
  <c r="C40" i="14" s="1"/>
  <c r="R40" i="14" s="1"/>
  <c r="B16" i="22"/>
  <c r="B18" i="22" s="1"/>
  <c r="C50" i="14" s="1"/>
  <c r="R50" i="14" s="1"/>
  <c r="C52" i="14" l="1"/>
  <c r="R48" i="14"/>
  <c r="R52" i="14" s="1"/>
  <c r="C56" i="14"/>
  <c r="R54" i="14"/>
  <c r="R56" i="14" s="1"/>
  <c r="B12" i="13"/>
  <c r="C41" i="14" s="1"/>
  <c r="R41" i="14" s="1"/>
  <c r="B17" i="48"/>
  <c r="R39" i="14"/>
  <c r="R46" i="14" s="1"/>
  <c r="R61" i="14" s="1"/>
  <c r="C46" i="14" l="1"/>
  <c r="C61" i="14" s="1"/>
  <c r="C63" i="14" s="1"/>
  <c r="B24" i="48"/>
  <c r="Q24" i="48" s="1"/>
  <c r="B25" i="48"/>
  <c r="Q25" i="48" s="1"/>
  <c r="B31" i="48"/>
  <c r="Q31" i="48" s="1"/>
  <c r="B30" i="48"/>
  <c r="Q30" i="48" s="1"/>
  <c r="B32" i="48"/>
  <c r="Q32" i="48" s="1"/>
  <c r="B29" i="48"/>
  <c r="Q29" i="48" s="1"/>
  <c r="B27" i="48"/>
  <c r="Q27" i="48" s="1"/>
  <c r="B28" i="48"/>
  <c r="Q28" i="48" s="1"/>
  <c r="B22" i="48"/>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<sst xmlns="http://schemas.openxmlformats.org/spreadsheetml/2006/main" count="2340" uniqueCount="830">
  <si>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</si>
  <si>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</si>
  <si>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</si>
  <si>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</si>
  <si>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</si>
  <si>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</si>
  <si>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</si>
  <si>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</si>
  <si>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</si>
  <si>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</si>
  <si>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</si>
  <si>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</si>
  <si>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</si>
  <si>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</si>
  <si>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</si>
  <si>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</si>
  <si>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</si>
  <si>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</si>
  <si>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</si>
  <si>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</si>
  <si>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</si>
  <si>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</si>
  <si>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</si>
  <si>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</si>
  <si>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</si>
  <si>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</si>
  <si>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</si>
  <si>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</si>
  <si>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</si>
  <si>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</si>
  <si>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</si>
  <si>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</si>
  <si>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</si>
  <si>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</si>
  <si>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</si>
  <si>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</si>
  <si>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</si>
  <si>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</si>
  <si>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</si>
  <si>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</si>
  <si>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</si>
  <si>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</si>
  <si>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</si>
  <si>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</si>
  <si>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</si>
  <si>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</si>
  <si>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</si>
  <si>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</si>
  <si>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</si>
  <si>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</si>
  <si>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</si>
  <si>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</si>
  <si>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</si>
  <si>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</si>
  <si>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</si>
  <si>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</si>
  <si>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</si>
  <si>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</si>
  <si>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</si>
  <si>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</si>
  <si>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</si>
  <si>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</si>
  <si>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</si>
  <si>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</si>
  <si>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</si>
  <si>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</si>
  <si>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</si>
  <si>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</si>
  <si>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</si>
  <si>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</si>
  <si>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</si>
  <si>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</si>
  <si>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</si>
  <si>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</si>
  <si>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</si>
  <si>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</si>
  <si>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</si>
  <si>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</si>
  <si>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</si>
  <si>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</si>
  <si>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</si>
  <si>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</si>
  <si>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</si>
  <si>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</si>
  <si>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</si>
  <si>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</si>
  <si>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</si>
  <si>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</si>
  <si>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</si>
  <si>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</si>
  <si>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</si>
  <si>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</si>
  <si>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</si>
  <si>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</si>
  <si>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</si>
  <si>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</si>
  <si>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</si>
  <si>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</si>
  <si>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</si>
  <si>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</si>
  <si>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</si>
  <si>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</si>
  <si>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</si>
  <si>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</si>
  <si>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</si>
  <si>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</si>
  <si>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</si>
  <si>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</si>
  <si>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</si>
  <si>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</si>
  <si>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</si>
  <si>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</si>
  <si>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</si>
  <si>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</si>
  <si>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</si>
  <si>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</si>
  <si>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</si>
  <si>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</si>
  <si>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</si>
  <si>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</si>
  <si>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</si>
  <si>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</si>
  <si>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</si>
  <si>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</si>
  <si>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</si>
  <si>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</si>
  <si>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</si>
  <si>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</si>
  <si>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</si>
  <si>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</si>
  <si>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</si>
  <si>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</si>
  <si>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</si>
  <si>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</si>
  <si>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</si>
  <si>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</si>
  <si>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</si>
  <si>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</si>
  <si>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</si>
  <si>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</si>
  <si>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</si>
  <si>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</si>
  <si>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</si>
  <si>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</si>
  <si>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</si>
  <si>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</si>
  <si>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</si>
  <si>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</si>
  <si>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</si>
  <si>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</si>
  <si>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</si>
  <si>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</si>
  <si>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</si>
  <si>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</si>
  <si>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</si>
  <si>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</si>
  <si>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</si>
  <si>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</si>
  <si>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</si>
  <si>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</si>
  <si>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</si>
  <si>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</si>
  <si>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</si>
  <si>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</si>
  <si>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</si>
  <si>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</si>
  <si>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</si>
  <si>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</si>
  <si>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</si>
  <si>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</si>
  <si>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</si>
  <si>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</si>
  <si>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</si>
  <si>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</si>
  <si>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</si>
  <si>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</si>
  <si>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</si>
  <si>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</si>
  <si>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</si>
  <si>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</si>
  <si>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</si>
  <si>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</si>
  <si>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</si>
  <si>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</si>
  <si>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</si>
  <si>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</si>
  <si>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</si>
  <si>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</si>
  <si>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</si>
  <si>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</si>
  <si>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</si>
  <si>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</si>
  <si>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</si>
  <si>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</si>
  <si>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</si>
  <si>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</si>
  <si>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</si>
  <si>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</si>
  <si>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</si>
  <si>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</si>
  <si>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</si>
  <si>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</si>
  <si>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</si>
  <si>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</si>
  <si>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</si>
  <si>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</si>
  <si>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</si>
  <si>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</si>
  <si>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</si>
  <si>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</si>
  <si>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</si>
  <si>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</si>
  <si>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</si>
  <si>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</si>
  <si>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</si>
  <si>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</si>
  <si>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</si>
  <si>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</si>
  <si>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</si>
  <si>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</si>
  <si>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</si>
  <si>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</si>
  <si>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</si>
  <si>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</si>
  <si>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</si>
  <si>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</si>
  <si>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</si>
  <si>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</si>
  <si>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</si>
  <si>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</si>
  <si>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</si>
  <si>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</si>
  <si>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</si>
  <si>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</si>
  <si>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</si>
  <si>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</si>
  <si>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</si>
  <si>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</si>
  <si>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</si>
  <si>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</si>
  <si>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</si>
  <si>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</si>
  <si>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</si>
  <si>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</si>
  <si>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</si>
  <si>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</si>
  <si>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</si>
  <si>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</si>
  <si>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</si>
  <si>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</si>
  <si>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</si>
  <si>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</si>
  <si>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</si>
  <si>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</si>
  <si>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</si>
  <si>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</si>
  <si>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</si>
  <si>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</si>
  <si>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</si>
  <si>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</si>
  <si>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</si>
  <si>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</si>
  <si>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</si>
  <si>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</si>
  <si>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</si>
  <si>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</si>
  <si>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</si>
  <si>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</si>
  <si>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</si>
  <si>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</si>
  <si>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</si>
  <si>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</si>
  <si>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</si>
  <si>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</si>
  <si>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</si>
  <si>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</si>
  <si>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</si>
  <si>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</si>
  <si>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</si>
  <si>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</si>
  <si>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</si>
  <si>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</si>
  <si>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</si>
  <si>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</si>
  <si>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</si>
  <si>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</si>
  <si>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</si>
  <si>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</si>
  <si>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</si>
  <si>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</si>
  <si>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</si>
  <si>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</si>
  <si>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</si>
  <si>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</si>
  <si>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</si>
  <si>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</si>
  <si>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</si>
  <si>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</si>
  <si>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</si>
  <si>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</si>
  <si>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</si>
  <si>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</si>
  <si>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</si>
  <si>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</si>
  <si>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</si>
  <si>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</si>
  <si>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</si>
  <si>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</si>
  <si>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</si>
  <si>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</si>
  <si>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</si>
  <si>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</si>
  <si>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</si>
  <si>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</si>
  <si>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</si>
  <si>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</si>
  <si>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</si>
  <si>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</si>
  <si>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</si>
  <si>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</si>
  <si>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</si>
  <si>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</si>
  <si>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</si>
  <si>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</si>
  <si>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</si>
  <si>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</si>
  <si>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</si>
  <si>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</si>
  <si>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</si>
  <si>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</si>
  <si>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</si>
  <si>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</si>
  <si>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</si>
  <si>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</si>
  <si>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</si>
  <si>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</si>
  <si>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</si>
  <si>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</si>
  <si>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</si>
  <si>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</si>
  <si>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</si>
  <si>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</si>
  <si>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</si>
  <si>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</si>
  <si>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</si>
  <si>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</si>
  <si>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</si>
  <si>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</si>
  <si>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</si>
  <si>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</si>
  <si>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</si>
  <si>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</si>
  <si>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</si>
  <si>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</si>
  <si>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</si>
  <si>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</si>
  <si>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</si>
  <si>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</si>
  <si>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</si>
  <si>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</si>
  <si>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</si>
  <si>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</si>
  <si>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</si>
  <si>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</si>
  <si>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</si>
  <si>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</si>
  <si>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</si>
  <si>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</si>
  <si>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</si>
  <si>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</si>
  <si>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</si>
  <si>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</si>
  <si>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</si>
  <si>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</si>
  <si>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</si>
  <si>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</si>
  <si>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</si>
  <si>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</si>
  <si>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</si>
  <si>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</si>
  <si>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</si>
  <si>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</si>
  <si>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</si>
  <si>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</si>
  <si>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</si>
  <si>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</si>
  <si>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</si>
  <si>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</si>
  <si>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</si>
  <si>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</si>
  <si>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</si>
  <si>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</si>
  <si>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</si>
  <si>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</si>
  <si>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</si>
  <si>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</si>
  <si>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</si>
  <si>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</si>
  <si>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</si>
  <si>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</si>
  <si>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</si>
  <si>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</si>
  <si>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</si>
  <si>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</si>
  <si>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</si>
  <si>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</si>
  <si>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</si>
  <si>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</si>
  <si>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</si>
  <si>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</si>
  <si>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</si>
  <si>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</si>
  <si>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</si>
  <si>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</si>
  <si>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</si>
  <si>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</si>
  <si>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</si>
  <si>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</si>
  <si>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</si>
  <si>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</si>
  <si>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</si>
  <si>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</si>
  <si>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</si>
  <si>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</si>
  <si>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</si>
  <si>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</si>
  <si>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</si>
  <si>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</si>
  <si>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</si>
  <si>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</si>
  <si>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</si>
  <si>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</si>
  <si>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</si>
  <si>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</si>
  <si>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</si>
  <si>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</si>
  <si>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</si>
  <si>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</si>
  <si>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</si>
  <si>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</si>
  <si>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</si>
  <si>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</si>
  <si>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</si>
  <si>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</si>
  <si>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</si>
  <si>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</si>
  <si>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</si>
  <si>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</si>
  <si>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</si>
  <si>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</si>
  <si>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</si>
  <si>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</si>
  <si>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</si>
  <si>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</si>
  <si>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</si>
  <si>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</si>
  <si>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</si>
  <si>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</si>
  <si>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</si>
  <si>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</si>
  <si>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</si>
  <si>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</si>
  <si>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</si>
  <si>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</si>
  <si>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</si>
  <si>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</si>
  <si>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</si>
  <si>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</si>
  <si>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</si>
  <si>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</si>
  <si>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</si>
  <si>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</si>
  <si>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</si>
  <si>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</si>
  <si>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</si>
  <si>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</si>
  <si>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</si>
  <si>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</si>
  <si>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</si>
  <si>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</si>
  <si>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</si>
  <si>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</si>
  <si>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</si>
  <si>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</si>
  <si>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</si>
  <si>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</si>
  <si>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</si>
  <si>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</si>
  <si>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</si>
  <si>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</si>
  <si>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</si>
  <si>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</si>
  <si>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</si>
  <si>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</si>
  <si>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</si>
  <si>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</si>
  <si>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</si>
  <si>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</si>
  <si>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</si>
  <si>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</si>
  <si>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</si>
  <si>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</si>
  <si>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</si>
  <si>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</si>
  <si>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</si>
  <si>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</si>
  <si>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</si>
  <si>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</si>
  <si>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</si>
  <si>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</si>
  <si>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</si>
  <si>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</si>
  <si>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</si>
  <si>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</si>
  <si>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</si>
  <si>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</si>
  <si>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</si>
  <si>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</si>
  <si>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</si>
  <si>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</si>
  <si>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</si>
  <si>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</si>
  <si>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</si>
  <si>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</si>
  <si>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</si>
  <si>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</si>
  <si>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</si>
  <si>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</si>
  <si>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</si>
  <si>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</si>
  <si>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</si>
  <si>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</si>
  <si>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</si>
  <si>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</si>
  <si>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</si>
  <si>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</si>
  <si>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</si>
  <si>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</si>
  <si>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</si>
  <si>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</si>
  <si>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</si>
  <si>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</si>
  <si>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</si>
  <si>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</si>
  <si>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</si>
  <si>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</si>
  <si>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</si>
  <si>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</si>
  <si>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</si>
  <si>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</si>
  <si>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</si>
  <si>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</si>
  <si>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</si>
  <si>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</si>
  <si>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</si>
  <si>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</si>
  <si>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</si>
  <si>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</si>
  <si>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</si>
  <si>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</si>
  <si>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</si>
  <si>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</si>
  <si>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</si>
  <si>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</si>
  <si>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</si>
  <si>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</si>
  <si>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</si>
  <si>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</si>
  <si>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</si>
  <si>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</si>
  <si>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</si>
  <si>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</si>
  <si>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</si>
  <si>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</si>
  <si>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</si>
  <si>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</si>
  <si>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</si>
  <si>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</si>
  <si>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</si>
  <si>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</si>
  <si>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</si>
  <si>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</si>
  <si>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</si>
  <si>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</si>
  <si>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</si>
  <si>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</si>
  <si>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</si>
  <si>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</si>
  <si>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</si>
  <si>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</si>
  <si>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</si>
  <si>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</si>
  <si>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</si>
  <si>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</si>
  <si>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</si>
  <si>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</si>
  <si>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</si>
  <si>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</si>
  <si>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</si>
  <si>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</si>
  <si>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</si>
  <si>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</si>
  <si>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</si>
  <si>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</si>
  <si>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</si>
  <si>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</si>
  <si>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</si>
  <si>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</si>
  <si>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</si>
  <si>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</si>
  <si>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</si>
  <si>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</si>
  <si>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</si>
  <si>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</si>
  <si>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</si>
  <si>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</si>
  <si>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</si>
  <si>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</si>
  <si>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</si>
  <si>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</si>
  <si>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</si>
  <si>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</si>
  <si>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</si>
  <si>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</si>
  <si>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</si>
  <si>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</si>
  <si>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</si>
  <si>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</si>
  <si>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</si>
  <si>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</si>
  <si>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</si>
  <si>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</si>
  <si>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</si>
  <si>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</si>
  <si>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</si>
  <si>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</si>
  <si>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</si>
  <si>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</si>
  <si>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</si>
  <si>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</si>
  <si>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</si>
  <si>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</si>
  <si>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</si>
  <si>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</si>
  <si>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</si>
  <si>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</si>
  <si>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</si>
  <si>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</si>
  <si>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</si>
  <si>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</si>
  <si>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</si>
  <si>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</si>
  <si>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</si>
  <si>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</si>
  <si>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</si>
  <si>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</si>
  <si>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</si>
  <si>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</si>
  <si>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</si>
  <si>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</si>
  <si>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</si>
  <si>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</si>
  <si>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</si>
  <si>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</si>
  <si>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</si>
  <si>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</si>
  <si>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</si>
  <si>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</si>
  <si>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</si>
  <si>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</si>
  <si>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</si>
  <si>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</si>
  <si>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</si>
  <si>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</si>
  <si>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</si>
  <si>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</si>
  <si>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</si>
  <si>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</si>
  <si>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</si>
  <si>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</si>
  <si>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</si>
  <si>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</si>
  <si>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</si>
  <si>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</si>
  <si>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</si>
  <si>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</si>
  <si>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</si>
  <si>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</si>
  <si>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</si>
  <si>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</si>
  <si>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</si>
  <si>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</si>
  <si>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</si>
  <si>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</si>
  <si>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</si>
  <si>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</si>
  <si>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</si>
  <si>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</si>
  <si>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</si>
  <si>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</si>
  <si>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</si>
  <si>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</si>
  <si>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</si>
  <si>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</si>
  <si>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</si>
  <si>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</si>
  <si>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</si>
  <si>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</si>
  <si>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</si>
  <si>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</si>
  <si>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</si>
  <si>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</si>
  <si>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</si>
  <si>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</si>
  <si>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</si>
  <si>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</si>
  <si>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</si>
  <si>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</si>
  <si>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</si>
  <si>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</si>
  <si>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</si>
  <si>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</si>
  <si>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</si>
  <si>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</si>
  <si>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</si>
  <si>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</si>
  <si>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</si>
  <si>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</si>
  <si>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</si>
  <si>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</si>
  <si>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</si>
  <si>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</si>
  <si>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</si>
  <si>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</si>
  <si>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</si>
  <si>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</si>
  <si>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</si>
  <si>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</si>
  <si>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</si>
  <si>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</si>
  <si>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</si>
  <si>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</si>
  <si>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</si>
  <si>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</si>
  <si>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</si>
  <si>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</si>
  <si>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</si>
  <si>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</si>
  <si>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</si>
  <si>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</si>
  <si>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</si>
  <si>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</si>
  <si>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</si>
  <si>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</si>
  <si>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</si>
  <si>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</si>
  <si>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</si>
  <si>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</si>
  <si>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</si>
  <si>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</si>
  <si>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</si>
  <si>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</si>
  <si>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</si>
  <si>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</si>
  <si>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</si>
  <si>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</si>
  <si>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</si>
  <si>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</si>
  <si>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</si>
  <si>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</si>
  <si>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</si>
  <si>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</si>
  <si>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</si>
  <si>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</si>
  <si>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</si>
  <si>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</si>
  <si>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</si>
  <si>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</si>
  <si>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</si>
  <si>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</si>
  <si>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</si>
  <si>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</si>
  <si>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</si>
  <si>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</si>
  <si>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</si>
  <si>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</si>
  <si>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</si>
  <si>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</si>
  <si>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</si>
  <si>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</si>
  <si>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</si>
  <si>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</si>
  <si>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</si>
  <si>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</si>
  <si>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</si>
  <si>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</si>
  <si>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</si>
  <si>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</si>
  <si>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</si>
  <si>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</si>
  <si>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</si>
  <si>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</si>
  <si>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</si>
  <si>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</si>
  <si>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</si>
  <si>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</si>
  <si>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</si>
  <si>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</si>
  <si>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</si>
  <si>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</si>
  <si>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</si>
  <si>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</si>
  <si>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</si>
  <si>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</si>
  <si>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</si>
  <si>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</si>
  <si>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</si>
  <si>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</si>
  <si>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</si>
  <si>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</si>
  <si>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</si>
  <si>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</si>
  <si>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</si>
  <si>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</si>
  <si>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</si>
  <si>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</si>
  <si>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</si>
  <si>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24086</t>
  </si>
  <si>
    <t>OUD-HEVERLEE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</si>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</sst>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2884CC0-A81D-4693-9042-6CF55938B13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90568.727544419089</c:v>
                </c:pt>
                <c:pt idx="1">
                  <c:v>13962.2750254406</c:v>
                </c:pt>
                <c:pt idx="2">
                  <c:v>670.90293276064995</c:v>
                </c:pt>
                <c:pt idx="3">
                  <c:v>402.65563716440005</c:v>
                </c:pt>
                <c:pt idx="4">
                  <c:v>1515.9828504809986</c:v>
                </c:pt>
                <c:pt idx="5">
                  <c:v>96536.418657937524</c:v>
                </c:pt>
                <c:pt idx="6">
                  <c:v>973.55975204461186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90568.727544419089</c:v>
                </c:pt>
                <c:pt idx="1">
                  <c:v>13962.2750254406</c:v>
                </c:pt>
                <c:pt idx="2">
                  <c:v>670.90293276064995</c:v>
                </c:pt>
                <c:pt idx="3">
                  <c:v>402.65563716440005</c:v>
                </c:pt>
                <c:pt idx="4">
                  <c:v>1515.9828504809986</c:v>
                </c:pt>
                <c:pt idx="5">
                  <c:v>96536.418657937524</c:v>
                </c:pt>
                <c:pt idx="6">
                  <c:v>973.55975204461186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18358.427094714396</c:v>
                </c:pt>
                <c:pt idx="1">
                  <c:v>2709.9638135570972</c:v>
                </c:pt>
                <c:pt idx="2">
                  <c:v>125.01347904643693</c:v>
                </c:pt>
                <c:pt idx="3">
                  <c:v>97.262194133911052</c:v>
                </c:pt>
                <c:pt idx="4">
                  <c:v>316.97500117346789</c:v>
                </c:pt>
                <c:pt idx="5">
                  <c:v>22865.2465056861</c:v>
                </c:pt>
                <c:pt idx="6">
                  <c:v>232.65011578413507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18358.427094714396</c:v>
                </c:pt>
                <c:pt idx="1">
                  <c:v>2709.9638135570972</c:v>
                </c:pt>
                <c:pt idx="2">
                  <c:v>125.01347904643693</c:v>
                </c:pt>
                <c:pt idx="3">
                  <c:v>97.262194133911052</c:v>
                </c:pt>
                <c:pt idx="4">
                  <c:v>316.97500117346789</c:v>
                </c:pt>
                <c:pt idx="5">
                  <c:v>22865.2465056861</c:v>
                </c:pt>
                <c:pt idx="6">
                  <c:v>232.65011578413507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24086</v>
      </c>
      <c r="B6" s="380"/>
      <c r="C6" s="381"/>
    </row>
    <row r="7" spans="1:7" s="378" customFormat="1" ht="15.75" customHeight="1">
      <c r="A7" s="382" t="str">
        <f>txtMunicipality</f>
        <v>OUD-HEVERLEE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0.18633616420788027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0.18633616420788027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4391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640.92999999999984</v>
      </c>
      <c r="C14" s="323"/>
      <c r="D14" s="323"/>
      <c r="E14" s="323"/>
      <c r="F14" s="323"/>
    </row>
    <row r="15" spans="1:6">
      <c r="A15" s="1266" t="s">
        <v>177</v>
      </c>
      <c r="B15" s="1267">
        <v>1</v>
      </c>
      <c r="C15" s="323"/>
      <c r="D15" s="323"/>
      <c r="E15" s="323"/>
      <c r="F15" s="323"/>
    </row>
    <row r="16" spans="1:6">
      <c r="A16" s="1266" t="s">
        <v>6</v>
      </c>
      <c r="B16" s="1267">
        <v>0</v>
      </c>
      <c r="C16" s="323"/>
      <c r="D16" s="323"/>
      <c r="E16" s="323"/>
      <c r="F16" s="323"/>
    </row>
    <row r="17" spans="1:6">
      <c r="A17" s="1266" t="s">
        <v>7</v>
      </c>
      <c r="B17" s="1267">
        <v>127</v>
      </c>
      <c r="C17" s="323"/>
      <c r="D17" s="323"/>
      <c r="E17" s="323"/>
      <c r="F17" s="323"/>
    </row>
    <row r="18" spans="1:6">
      <c r="A18" s="1266" t="s">
        <v>8</v>
      </c>
      <c r="B18" s="1267">
        <v>135</v>
      </c>
      <c r="C18" s="323"/>
      <c r="D18" s="323"/>
      <c r="E18" s="323"/>
      <c r="F18" s="323"/>
    </row>
    <row r="19" spans="1:6">
      <c r="A19" s="1266" t="s">
        <v>9</v>
      </c>
      <c r="B19" s="1267">
        <v>206</v>
      </c>
      <c r="C19" s="323"/>
      <c r="D19" s="323"/>
      <c r="E19" s="323"/>
      <c r="F19" s="323"/>
    </row>
    <row r="20" spans="1:6">
      <c r="A20" s="1266" t="s">
        <v>10</v>
      </c>
      <c r="B20" s="1267">
        <v>45</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63</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260</v>
      </c>
      <c r="C29" s="323"/>
      <c r="D29" s="323"/>
      <c r="E29" s="323"/>
      <c r="F29" s="323"/>
    </row>
    <row r="30" spans="1:6">
      <c r="A30" s="1261" t="s">
        <v>629</v>
      </c>
      <c r="B30" s="1270">
        <v>42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1829.6657720553001</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2114</v>
      </c>
      <c r="D39" s="1267">
        <v>35698963.021132499</v>
      </c>
      <c r="E39" s="1267">
        <v>4350</v>
      </c>
      <c r="F39" s="1267">
        <v>16676264.423755299</v>
      </c>
    </row>
    <row r="40" spans="1:6">
      <c r="A40" s="1266" t="s">
        <v>29</v>
      </c>
      <c r="B40" s="1266" t="s">
        <v>28</v>
      </c>
      <c r="C40" s="1267">
        <v>0</v>
      </c>
      <c r="D40" s="1267">
        <v>0</v>
      </c>
      <c r="E40" s="1267">
        <v>0</v>
      </c>
      <c r="F40" s="1267">
        <v>0</v>
      </c>
    </row>
    <row r="41" spans="1:6">
      <c r="A41" s="1266" t="s">
        <v>31</v>
      </c>
      <c r="B41" s="1266" t="s">
        <v>32</v>
      </c>
      <c r="C41" s="1267">
        <v>17</v>
      </c>
      <c r="D41" s="1267">
        <v>421997.401247264</v>
      </c>
      <c r="E41" s="1267">
        <v>61</v>
      </c>
      <c r="F41" s="1267">
        <v>508850.09326276201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3</v>
      </c>
      <c r="F44" s="1267">
        <v>21805.604004882502</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97873.875968855602</v>
      </c>
      <c r="E48" s="1267">
        <v>2</v>
      </c>
      <c r="F48" s="1267">
        <v>6061.5008085866002</v>
      </c>
    </row>
    <row r="49" spans="1:6">
      <c r="A49" s="1266" t="s">
        <v>31</v>
      </c>
      <c r="B49" s="1266" t="s">
        <v>39</v>
      </c>
      <c r="C49" s="1267">
        <v>0</v>
      </c>
      <c r="D49" s="1267">
        <v>0</v>
      </c>
      <c r="E49" s="1267">
        <v>0</v>
      </c>
      <c r="F49" s="1267">
        <v>0</v>
      </c>
    </row>
    <row r="50" spans="1:6">
      <c r="A50" s="1266" t="s">
        <v>31</v>
      </c>
      <c r="B50" s="1266" t="s">
        <v>40</v>
      </c>
      <c r="C50" s="1267">
        <v>0</v>
      </c>
      <c r="D50" s="1267">
        <v>0</v>
      </c>
      <c r="E50" s="1267">
        <v>6</v>
      </c>
      <c r="F50" s="1267">
        <v>90876.566327790002</v>
      </c>
    </row>
    <row r="51" spans="1:6">
      <c r="A51" s="1266" t="s">
        <v>41</v>
      </c>
      <c r="B51" s="1266" t="s">
        <v>42</v>
      </c>
      <c r="C51" s="1267">
        <v>4</v>
      </c>
      <c r="D51" s="1267">
        <v>104198.007641989</v>
      </c>
      <c r="E51" s="1267">
        <v>13</v>
      </c>
      <c r="F51" s="1267">
        <v>65436.741629384298</v>
      </c>
    </row>
    <row r="52" spans="1:6">
      <c r="A52" s="1266" t="s">
        <v>41</v>
      </c>
      <c r="B52" s="1266" t="s">
        <v>28</v>
      </c>
      <c r="C52" s="1267">
        <v>0</v>
      </c>
      <c r="D52" s="1267">
        <v>0</v>
      </c>
      <c r="E52" s="1267">
        <v>0</v>
      </c>
      <c r="F52" s="1267">
        <v>0</v>
      </c>
    </row>
    <row r="53" spans="1:6">
      <c r="A53" s="1266" t="s">
        <v>43</v>
      </c>
      <c r="B53" s="1266" t="s">
        <v>44</v>
      </c>
      <c r="C53" s="1267">
        <v>36</v>
      </c>
      <c r="D53" s="1267">
        <v>1658675.9247620599</v>
      </c>
      <c r="E53" s="1267">
        <v>127</v>
      </c>
      <c r="F53" s="1267">
        <v>1052948.0024099899</v>
      </c>
    </row>
    <row r="54" spans="1:6">
      <c r="A54" s="1266" t="s">
        <v>45</v>
      </c>
      <c r="B54" s="1266" t="s">
        <v>46</v>
      </c>
      <c r="C54" s="1267">
        <v>0</v>
      </c>
      <c r="D54" s="1267">
        <v>0</v>
      </c>
      <c r="E54" s="1267">
        <v>1</v>
      </c>
      <c r="F54" s="1267">
        <v>670902.93276064994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14</v>
      </c>
      <c r="D57" s="1267">
        <v>726525.49706329301</v>
      </c>
      <c r="E57" s="1267">
        <v>53</v>
      </c>
      <c r="F57" s="1267">
        <v>1062072.5720811</v>
      </c>
    </row>
    <row r="58" spans="1:6">
      <c r="A58" s="1266" t="s">
        <v>48</v>
      </c>
      <c r="B58" s="1266" t="s">
        <v>50</v>
      </c>
      <c r="C58" s="1267">
        <v>16</v>
      </c>
      <c r="D58" s="1267">
        <v>672305.33975565305</v>
      </c>
      <c r="E58" s="1267">
        <v>32</v>
      </c>
      <c r="F58" s="1267">
        <v>248131.279555241</v>
      </c>
    </row>
    <row r="59" spans="1:6">
      <c r="A59" s="1266" t="s">
        <v>48</v>
      </c>
      <c r="B59" s="1266" t="s">
        <v>51</v>
      </c>
      <c r="C59" s="1267">
        <v>22</v>
      </c>
      <c r="D59" s="1267">
        <v>702629.31941701402</v>
      </c>
      <c r="E59" s="1267">
        <v>59</v>
      </c>
      <c r="F59" s="1267">
        <v>946332.385672812</v>
      </c>
    </row>
    <row r="60" spans="1:6">
      <c r="A60" s="1266" t="s">
        <v>48</v>
      </c>
      <c r="B60" s="1266" t="s">
        <v>52</v>
      </c>
      <c r="C60" s="1267">
        <v>26</v>
      </c>
      <c r="D60" s="1267">
        <v>1634577.3544235299</v>
      </c>
      <c r="E60" s="1267">
        <v>36</v>
      </c>
      <c r="F60" s="1267">
        <v>1226317.7209032399</v>
      </c>
    </row>
    <row r="61" spans="1:6">
      <c r="A61" s="1266" t="s">
        <v>48</v>
      </c>
      <c r="B61" s="1266" t="s">
        <v>53</v>
      </c>
      <c r="C61" s="1267">
        <v>88</v>
      </c>
      <c r="D61" s="1267">
        <v>3000329.2137431898</v>
      </c>
      <c r="E61" s="1267">
        <v>221</v>
      </c>
      <c r="F61" s="1267">
        <v>2501874.3243753598</v>
      </c>
    </row>
    <row r="62" spans="1:6">
      <c r="A62" s="1266" t="s">
        <v>48</v>
      </c>
      <c r="B62" s="1266" t="s">
        <v>54</v>
      </c>
      <c r="C62" s="1267">
        <v>5</v>
      </c>
      <c r="D62" s="1267">
        <v>86537.390666622596</v>
      </c>
      <c r="E62" s="1267">
        <v>6</v>
      </c>
      <c r="F62" s="1267">
        <v>19862.436400709401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2580.5739498287999</v>
      </c>
    </row>
    <row r="66" spans="1:6">
      <c r="A66" s="1266" t="s">
        <v>55</v>
      </c>
      <c r="B66" s="1266" t="s">
        <v>57</v>
      </c>
      <c r="C66" s="1267">
        <v>0</v>
      </c>
      <c r="D66" s="1267">
        <v>0</v>
      </c>
      <c r="E66" s="1267">
        <v>8</v>
      </c>
      <c r="F66" s="1267">
        <v>33283.673047695498</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32785350</v>
      </c>
      <c r="E73" s="441"/>
      <c r="F73" s="323"/>
    </row>
    <row r="74" spans="1:6">
      <c r="A74" s="1266" t="s">
        <v>63</v>
      </c>
      <c r="B74" s="1266" t="s">
        <v>589</v>
      </c>
      <c r="C74" s="1280" t="s">
        <v>591</v>
      </c>
      <c r="D74" s="1281">
        <v>2212059.1140463911</v>
      </c>
      <c r="E74" s="441"/>
      <c r="F74" s="323"/>
    </row>
    <row r="75" spans="1:6">
      <c r="A75" s="1266" t="s">
        <v>64</v>
      </c>
      <c r="B75" s="1266" t="s">
        <v>588</v>
      </c>
      <c r="C75" s="1280" t="s">
        <v>592</v>
      </c>
      <c r="D75" s="1281">
        <v>30466424</v>
      </c>
      <c r="E75" s="441"/>
      <c r="F75" s="323"/>
    </row>
    <row r="76" spans="1:6">
      <c r="A76" s="1266" t="s">
        <v>64</v>
      </c>
      <c r="B76" s="1266" t="s">
        <v>589</v>
      </c>
      <c r="C76" s="1280" t="s">
        <v>593</v>
      </c>
      <c r="D76" s="1281">
        <v>1602751.1140463909</v>
      </c>
      <c r="E76" s="441"/>
      <c r="F76" s="323"/>
    </row>
    <row r="77" spans="1:6">
      <c r="A77" s="1266" t="s">
        <v>65</v>
      </c>
      <c r="B77" s="1266" t="s">
        <v>588</v>
      </c>
      <c r="C77" s="1280" t="s">
        <v>594</v>
      </c>
      <c r="D77" s="1281">
        <v>39575738</v>
      </c>
      <c r="E77" s="441"/>
      <c r="F77" s="323"/>
    </row>
    <row r="78" spans="1:6">
      <c r="A78" s="1261" t="s">
        <v>65</v>
      </c>
      <c r="B78" s="1261" t="s">
        <v>589</v>
      </c>
      <c r="C78" s="1261" t="s">
        <v>595</v>
      </c>
      <c r="D78" s="1282">
        <v>3564538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272231.77190721827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4766.406377863761</v>
      </c>
      <c r="C91" s="323"/>
      <c r="D91" s="323"/>
      <c r="E91" s="323"/>
      <c r="F91" s="323"/>
    </row>
    <row r="92" spans="1:6">
      <c r="A92" s="1261" t="s">
        <v>68</v>
      </c>
      <c r="B92" s="1262">
        <v>0</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446</v>
      </c>
      <c r="C97" s="323"/>
      <c r="D97" s="323"/>
      <c r="E97" s="323"/>
      <c r="F97" s="323"/>
    </row>
    <row r="98" spans="1:6">
      <c r="A98" s="1266" t="s">
        <v>71</v>
      </c>
      <c r="B98" s="1267">
        <v>1</v>
      </c>
      <c r="C98" s="323"/>
      <c r="D98" s="323"/>
      <c r="E98" s="323"/>
      <c r="F98" s="323"/>
    </row>
    <row r="99" spans="1:6">
      <c r="A99" s="1266" t="s">
        <v>72</v>
      </c>
      <c r="B99" s="1267">
        <v>73</v>
      </c>
      <c r="C99" s="323"/>
      <c r="D99" s="323"/>
      <c r="E99" s="323"/>
      <c r="F99" s="323"/>
    </row>
    <row r="100" spans="1:6">
      <c r="A100" s="1266" t="s">
        <v>73</v>
      </c>
      <c r="B100" s="1267">
        <v>431</v>
      </c>
      <c r="C100" s="323"/>
      <c r="D100" s="323"/>
      <c r="E100" s="323"/>
      <c r="F100" s="323"/>
    </row>
    <row r="101" spans="1:6">
      <c r="A101" s="1266" t="s">
        <v>74</v>
      </c>
      <c r="B101" s="1267">
        <v>63</v>
      </c>
      <c r="C101" s="323"/>
      <c r="D101" s="323"/>
      <c r="E101" s="323"/>
      <c r="F101" s="323"/>
    </row>
    <row r="102" spans="1:6">
      <c r="A102" s="1266" t="s">
        <v>75</v>
      </c>
      <c r="B102" s="1267">
        <v>40</v>
      </c>
      <c r="C102" s="323"/>
      <c r="D102" s="323"/>
      <c r="E102" s="323"/>
      <c r="F102" s="323"/>
    </row>
    <row r="103" spans="1:6">
      <c r="A103" s="1266" t="s">
        <v>76</v>
      </c>
      <c r="B103" s="1267">
        <v>76</v>
      </c>
      <c r="C103" s="323"/>
      <c r="D103" s="323"/>
      <c r="E103" s="323"/>
      <c r="F103" s="323"/>
    </row>
    <row r="104" spans="1:6">
      <c r="A104" s="1266" t="s">
        <v>77</v>
      </c>
      <c r="B104" s="1267">
        <v>2517</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74</v>
      </c>
      <c r="C123" s="1267">
        <v>27</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110</v>
      </c>
      <c r="C129" s="323"/>
      <c r="D129" s="323"/>
      <c r="E129" s="323"/>
      <c r="F129" s="323"/>
    </row>
    <row r="130" spans="1:6">
      <c r="A130" s="1266" t="s">
        <v>282</v>
      </c>
      <c r="B130" s="1267">
        <v>3</v>
      </c>
      <c r="C130" s="323"/>
      <c r="D130" s="323"/>
      <c r="E130" s="323"/>
      <c r="F130" s="323"/>
    </row>
    <row r="131" spans="1:6">
      <c r="A131" s="1266" t="s">
        <v>283</v>
      </c>
      <c r="B131" s="1267">
        <v>1</v>
      </c>
      <c r="C131" s="323"/>
      <c r="D131" s="323"/>
      <c r="E131" s="323"/>
      <c r="F131" s="323"/>
    </row>
    <row r="132" spans="1:6">
      <c r="A132" s="1261" t="s">
        <v>284</v>
      </c>
      <c r="B132" s="1262">
        <v>27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30388.322164489346</v>
      </c>
      <c r="C3" s="43" t="s">
        <v>163</v>
      </c>
      <c r="D3" s="43"/>
      <c r="E3" s="153"/>
      <c r="F3" s="43"/>
      <c r="G3" s="43"/>
      <c r="H3" s="43"/>
      <c r="I3" s="43"/>
      <c r="J3" s="43"/>
      <c r="K3" s="96"/>
    </row>
    <row r="4" spans="1:11">
      <c r="A4" s="348" t="s">
        <v>164</v>
      </c>
      <c r="B4" s="49">
        <f>IF(ISERROR('SEAP template'!B78+'SEAP template'!C78),0,'SEAP template'!B78+'SEAP template'!C78)</f>
        <v>4766.406377863761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0.18633616420788027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670.90293276064995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670.90293276064995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0.18633616420788027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125.01347904643693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16676.2644237553</v>
      </c>
      <c r="C5" s="17">
        <f>IF(ISERROR('Eigen informatie GS &amp; warmtenet'!B59),0,'Eigen informatie GS &amp; warmtenet'!B59)</f>
        <v>0</v>
      </c>
      <c r="D5" s="30">
        <f>(SUM(HH_hh_gas_kWh,HH_rest_gas_kWh)/1000)*0.903</f>
        <v>32236.163608082647</v>
      </c>
      <c r="E5" s="17">
        <f>B32*B41</f>
        <v>2157.9814210597087</v>
      </c>
      <c r="F5" s="17">
        <f>B36*B45</f>
        <v>27338.470488093186</v>
      </c>
      <c r="G5" s="18"/>
      <c r="H5" s="17"/>
      <c r="I5" s="17"/>
      <c r="J5" s="17">
        <f>B35*B44+C35*C44</f>
        <v>174.98196450355161</v>
      </c>
      <c r="K5" s="17"/>
      <c r="L5" s="17"/>
      <c r="M5" s="17"/>
      <c r="N5" s="17">
        <f>B34*B43+C34*C43</f>
        <v>5870.2091774016517</v>
      </c>
      <c r="O5" s="17">
        <f>B52*B53*B54</f>
        <v>273.78623427541038</v>
      </c>
      <c r="P5" s="17">
        <f>B60*B61*B62/1000-B60*B61*B62/1000/B63</f>
        <v>1074.4638493838725</v>
      </c>
    </row>
    <row r="6" spans="1:16">
      <c r="A6" s="16" t="s">
        <v>556</v>
      </c>
      <c r="B6" s="734">
        <f>kWh_PV_kleiner_dan_10kW</f>
        <v>4766.406377863761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21442.670801619061</v>
      </c>
      <c r="C8" s="21">
        <f>C5</f>
        <v>0</v>
      </c>
      <c r="D8" s="21">
        <f>D5</f>
        <v>32236.163608082647</v>
      </c>
      <c r="E8" s="21">
        <f>E5</f>
        <v>2157.9814210597087</v>
      </c>
      <c r="F8" s="21">
        <f>F5</f>
        <v>27338.470488093186</v>
      </c>
      <c r="G8" s="21"/>
      <c r="H8" s="21"/>
      <c r="I8" s="21"/>
      <c r="J8" s="21">
        <f>J5</f>
        <v>174.98196450355161</v>
      </c>
      <c r="K8" s="21"/>
      <c r="L8" s="21">
        <f>L5</f>
        <v>0</v>
      </c>
      <c r="M8" s="21">
        <f>M5</f>
        <v>0</v>
      </c>
      <c r="N8" s="21">
        <f>N5</f>
        <v>5870.2091774016517</v>
      </c>
      <c r="O8" s="21">
        <f>O5</f>
        <v>273.78623427541038</v>
      </c>
      <c r="P8" s="21">
        <f>P5</f>
        <v>1074.4638493838725</v>
      </c>
    </row>
    <row r="9" spans="1:16">
      <c r="B9" s="19"/>
      <c r="C9" s="19"/>
      <c r="D9" s="253"/>
      <c r="E9" s="19"/>
      <c r="F9" s="19"/>
      <c r="G9" s="19"/>
      <c r="H9" s="19"/>
      <c r="I9" s="19"/>
      <c r="J9" s="19"/>
      <c r="K9" s="19"/>
      <c r="L9" s="19"/>
      <c r="M9" s="19"/>
      <c r="N9" s="19"/>
      <c r="O9" s="19"/>
      <c r="P9" s="19"/>
    </row>
    <row r="10" spans="1:16">
      <c r="A10" s="24" t="s">
        <v>207</v>
      </c>
      <c r="B10" s="25">
        <f ca="1">'EF ele_warmte'!B12</f>
        <v>0.18633616420788027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3995.5450275460089</v>
      </c>
      <c r="C12" s="23">
        <f ca="1">C10*C8</f>
        <v>0</v>
      </c>
      <c r="D12" s="23">
        <f>D8*D10</f>
        <v>6511.705048832695</v>
      </c>
      <c r="E12" s="23">
        <f>E10*E8</f>
        <v>489.86178258055389</v>
      </c>
      <c r="F12" s="23">
        <f>F10*F8</f>
        <v>7299.3716203208814</v>
      </c>
      <c r="G12" s="23"/>
      <c r="H12" s="23"/>
      <c r="I12" s="23"/>
      <c r="J12" s="23">
        <f>J10*J8</f>
        <v>61.943615434257268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4391</v>
      </c>
      <c r="C26" s="36"/>
      <c r="D26" s="224"/>
    </row>
    <row r="27" spans="1:5" s="15" customFormat="1">
      <c r="A27" s="226" t="s">
        <v>770</v>
      </c>
      <c r="B27" s="37">
        <f>SUM(HH_hh_gas_aantal,HH_rest_gas_aantal)</f>
        <v>2114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2008.3</v>
      </c>
      <c r="C31" s="34" t="s">
        <v>104</v>
      </c>
      <c r="D31" s="170"/>
    </row>
    <row r="32" spans="1:5">
      <c r="A32" s="167" t="s">
        <v>72</v>
      </c>
      <c r="B32" s="33">
        <f>IF((B21*($B$26-($B$27-0.05*$B$27)-$B$60))&lt;0,0,(B21*($B$26-($B$27-0.05*$B$27)-$B$60)))</f>
        <v>37.255669319858256</v>
      </c>
      <c r="C32" s="34" t="s">
        <v>104</v>
      </c>
      <c r="D32" s="170"/>
    </row>
    <row r="33" spans="1:6">
      <c r="A33" s="167" t="s">
        <v>73</v>
      </c>
      <c r="B33" s="33">
        <f>IF((B22*($B$26-($B$27-0.05*$B$27)-$B$60))&lt;0,0,B22*($B$26-($B$27-0.05*$B$27)-$B$60))</f>
        <v>604.95828409154706</v>
      </c>
      <c r="C33" s="34" t="s">
        <v>104</v>
      </c>
      <c r="D33" s="170"/>
    </row>
    <row r="34" spans="1:6">
      <c r="A34" s="167" t="s">
        <v>74</v>
      </c>
      <c r="B34" s="33">
        <f>IF((B24*($B$26-($B$27-0.05*$B$27)-$B$60))&lt;0,0,B24*($B$26-($B$27-0.05*$B$27)-$B$60))</f>
        <v>264.52204039320401</v>
      </c>
      <c r="C34" s="33">
        <f>B26*C24</f>
        <v>737.6869451386242</v>
      </c>
      <c r="D34" s="229"/>
    </row>
    <row r="35" spans="1:6">
      <c r="A35" s="167" t="s">
        <v>76</v>
      </c>
      <c r="B35" s="33">
        <f>IF((B19*($B$26-($B$27-0.05*$B$27)-$B$60))&lt;0,0,B19*($B$26-($B$27-0.05*$B$27)-$B$60))</f>
        <v>16.194950633395603</v>
      </c>
      <c r="C35" s="33">
        <f>B35/2</f>
        <v>8.0974753166978015</v>
      </c>
      <c r="D35" s="229"/>
    </row>
    <row r="36" spans="1:6">
      <c r="A36" s="167" t="s">
        <v>77</v>
      </c>
      <c r="B36" s="33">
        <f>IF((B18*($B$26-($B$27-0.05*$B$27)-$B$60))&lt;0,0,B18*($B$26-($B$27-0.05*$B$27)-$B$60))</f>
        <v>1357.769055561994</v>
      </c>
      <c r="C36" s="34" t="s">
        <v>104</v>
      </c>
      <c r="D36" s="170"/>
    </row>
    <row r="37" spans="1:6">
      <c r="A37" s="167" t="s">
        <v>78</v>
      </c>
      <c r="B37" s="33">
        <f>B60</f>
        <v>102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6004.590718988462</v>
      </c>
      <c r="C5" s="17">
        <f>IF(ISERROR('Eigen informatie GS &amp; warmtenet'!B60),0,'Eigen informatie GS &amp; warmtenet'!B60)</f>
        <v>0</v>
      </c>
      <c r="D5" s="30">
        <f>SUM(D6:D12)</f>
        <v>6161.0824159075801</v>
      </c>
      <c r="E5" s="17">
        <f>SUM(E6:E12)</f>
        <v>13.146489828186027</v>
      </c>
      <c r="F5" s="17">
        <f>SUM(F6:F12)</f>
        <v>1286.7583538305246</v>
      </c>
      <c r="G5" s="18"/>
      <c r="H5" s="17"/>
      <c r="I5" s="17"/>
      <c r="J5" s="17">
        <f>SUM(J6:J12)</f>
        <v>1.1383235790995132E-2</v>
      </c>
      <c r="K5" s="17"/>
      <c r="L5" s="17"/>
      <c r="M5" s="17"/>
      <c r="N5" s="17">
        <f>SUM(N6:N12)</f>
        <v>429.45474304603874</v>
      </c>
      <c r="O5" s="17">
        <f>B38*B39*B40</f>
        <v>14.691782297523464</v>
      </c>
      <c r="P5" s="17">
        <f>B46*B47*B48/1000-B46*B47*B48/1000/B49</f>
        <v>52.539138306495019</v>
      </c>
      <c r="R5" s="32"/>
    </row>
    <row r="6" spans="1:18">
      <c r="A6" s="32" t="s">
        <v>53</v>
      </c>
      <c r="B6" s="37">
        <f>B26</f>
        <v>2501.8743243753597</v>
      </c>
      <c r="C6" s="33"/>
      <c r="D6" s="37">
        <f>IF(ISERROR(TER_kantoor_gas_kWh/1000),0,TER_kantoor_gas_kWh/1000)*0.903</f>
        <v>2709.2972800101006</v>
      </c>
      <c r="E6" s="33">
        <f>$C$26*'E Balans VL '!I12/100/3.6*1000000</f>
        <v>0</v>
      </c>
      <c r="F6" s="33">
        <f>$C$26*('E Balans VL '!L12+'E Balans VL '!N12)/100/3.6*1000000</f>
        <v>286.03805456153617</v>
      </c>
      <c r="G6" s="34"/>
      <c r="H6" s="33"/>
      <c r="I6" s="33"/>
      <c r="J6" s="33">
        <f>$C$26*('E Balans VL '!D12+'E Balans VL '!E12)/100/3.6*1000000</f>
        <v>0</v>
      </c>
      <c r="K6" s="33"/>
      <c r="L6" s="33"/>
      <c r="M6" s="33"/>
      <c r="N6" s="33">
        <f>$C$26*'E Balans VL '!Y12/100/3.6*1000000</f>
        <v>2.8337505027476659</v>
      </c>
      <c r="O6" s="33"/>
      <c r="P6" s="33"/>
      <c r="R6" s="32"/>
    </row>
    <row r="7" spans="1:18">
      <c r="A7" s="32" t="s">
        <v>52</v>
      </c>
      <c r="B7" s="37">
        <f t="shared" ref="B7:B12" si="0">B27</f>
        <v>1226.3177209032399</v>
      </c>
      <c r="C7" s="33"/>
      <c r="D7" s="37">
        <f>IF(ISERROR(TER_horeca_gas_kWh/1000),0,TER_horeca_gas_kWh/1000)*0.903</f>
        <v>1476.0233510444475</v>
      </c>
      <c r="E7" s="33">
        <f>$C$27*'E Balans VL '!I9/100/3.6*1000000</f>
        <v>0</v>
      </c>
      <c r="F7" s="33">
        <f>$C$27*('E Balans VL '!L9+'E Balans VL '!N9)/100/3.6*1000000</f>
        <v>128.91455950575693</v>
      </c>
      <c r="G7" s="34"/>
      <c r="H7" s="33"/>
      <c r="I7" s="33"/>
      <c r="J7" s="33">
        <f>$C$27*('E Balans VL '!D9+'E Balans VL '!E9)/100/3.6*1000000</f>
        <v>0</v>
      </c>
      <c r="K7" s="33"/>
      <c r="L7" s="33"/>
      <c r="M7" s="33"/>
      <c r="N7" s="33">
        <f>$C$27*'E Balans VL '!Y9/100/3.6*1000000</f>
        <v>13.813859661485901</v>
      </c>
      <c r="O7" s="33"/>
      <c r="P7" s="33"/>
      <c r="R7" s="32"/>
    </row>
    <row r="8" spans="1:18">
      <c r="A8" s="6" t="s">
        <v>51</v>
      </c>
      <c r="B8" s="37">
        <f t="shared" si="0"/>
        <v>946.33238567281205</v>
      </c>
      <c r="C8" s="33"/>
      <c r="D8" s="37">
        <f>IF(ISERROR(TER_handel_gas_kWh/1000),0,TER_handel_gas_kWh/1000)*0.903</f>
        <v>634.47427543356366</v>
      </c>
      <c r="E8" s="33">
        <f>$C$28*'E Balans VL '!I13/100/3.6*1000000</f>
        <v>0.20398689279798726</v>
      </c>
      <c r="F8" s="33">
        <f>$C$28*('E Balans VL '!L13+'E Balans VL '!N13)/100/3.6*1000000</f>
        <v>133.08389742428744</v>
      </c>
      <c r="G8" s="34"/>
      <c r="H8" s="33"/>
      <c r="I8" s="33"/>
      <c r="J8" s="33">
        <f>$C$28*('E Balans VL '!D13+'E Balans VL '!E13)/100/3.6*1000000</f>
        <v>0</v>
      </c>
      <c r="K8" s="33"/>
      <c r="L8" s="33"/>
      <c r="M8" s="33"/>
      <c r="N8" s="33">
        <f>$C$28*'E Balans VL '!Y13/100/3.6*1000000</f>
        <v>0.90802368480756146</v>
      </c>
      <c r="O8" s="33"/>
      <c r="P8" s="33"/>
      <c r="R8" s="32"/>
    </row>
    <row r="9" spans="1:18">
      <c r="A9" s="32" t="s">
        <v>50</v>
      </c>
      <c r="B9" s="37">
        <f t="shared" si="0"/>
        <v>248.13127955524101</v>
      </c>
      <c r="C9" s="33"/>
      <c r="D9" s="37">
        <f>IF(ISERROR(TER_gezond_gas_kWh/1000),0,TER_gezond_gas_kWh/1000)*0.903</f>
        <v>607.09172179935479</v>
      </c>
      <c r="E9" s="33">
        <f>$C$29*'E Balans VL '!I10/100/3.6*1000000</f>
        <v>0</v>
      </c>
      <c r="F9" s="33">
        <f>$C$29*('E Balans VL '!L10+'E Balans VL '!N10)/100/3.6*1000000</f>
        <v>6.7566820473739515</v>
      </c>
      <c r="G9" s="34"/>
      <c r="H9" s="33"/>
      <c r="I9" s="33"/>
      <c r="J9" s="33">
        <f>$C$29*('E Balans VL '!D10+'E Balans VL '!E10)/100/3.6*1000000</f>
        <v>0</v>
      </c>
      <c r="K9" s="33"/>
      <c r="L9" s="33"/>
      <c r="M9" s="33"/>
      <c r="N9" s="33">
        <f>$C$29*'E Balans VL '!Y10/100/3.6*1000000</f>
        <v>1.5731571754637237</v>
      </c>
      <c r="O9" s="33"/>
      <c r="P9" s="33"/>
      <c r="R9" s="32"/>
    </row>
    <row r="10" spans="1:18">
      <c r="A10" s="32" t="s">
        <v>49</v>
      </c>
      <c r="B10" s="37">
        <f t="shared" si="0"/>
        <v>1062.0725720810999</v>
      </c>
      <c r="C10" s="33"/>
      <c r="D10" s="37">
        <f>IF(ISERROR(TER_ander_gas_kWh/1000),0,TER_ander_gas_kWh/1000)*0.903</f>
        <v>656.05252384815356</v>
      </c>
      <c r="E10" s="33">
        <f>$C$30*'E Balans VL '!I14/100/3.6*1000000</f>
        <v>12.94250293538804</v>
      </c>
      <c r="F10" s="33">
        <f>$C$30*('E Balans VL '!L14+'E Balans VL '!N14)/100/3.6*1000000</f>
        <v>731.13509806071511</v>
      </c>
      <c r="G10" s="34"/>
      <c r="H10" s="33"/>
      <c r="I10" s="33"/>
      <c r="J10" s="33">
        <f>$C$30*('E Balans VL '!D14+'E Balans VL '!E14)/100/3.6*1000000</f>
        <v>1.1383235790995132E-2</v>
      </c>
      <c r="K10" s="33"/>
      <c r="L10" s="33"/>
      <c r="M10" s="33"/>
      <c r="N10" s="33">
        <f>$C$30*'E Balans VL '!Y14/100/3.6*1000000</f>
        <v>410.27658435519089</v>
      </c>
      <c r="O10" s="33"/>
      <c r="P10" s="33"/>
      <c r="R10" s="32"/>
    </row>
    <row r="11" spans="1:18">
      <c r="A11" s="32" t="s">
        <v>54</v>
      </c>
      <c r="B11" s="37">
        <f t="shared" si="0"/>
        <v>19.862436400709402</v>
      </c>
      <c r="C11" s="33"/>
      <c r="D11" s="37">
        <f>IF(ISERROR(TER_onderwijs_gas_kWh/1000),0,TER_onderwijs_gas_kWh/1000)*0.903</f>
        <v>78.143263771960207</v>
      </c>
      <c r="E11" s="33">
        <f>$C$31*'E Balans VL '!I11/100/3.6*1000000</f>
        <v>0</v>
      </c>
      <c r="F11" s="33">
        <f>$C$31*('E Balans VL '!L11+'E Balans VL '!N11)/100/3.6*1000000</f>
        <v>0.83006223085509745</v>
      </c>
      <c r="G11" s="34"/>
      <c r="H11" s="33"/>
      <c r="I11" s="33"/>
      <c r="J11" s="33">
        <f>$C$31*('E Balans VL '!D11+'E Balans VL '!E11)/100/3.6*1000000</f>
        <v>0</v>
      </c>
      <c r="K11" s="33"/>
      <c r="L11" s="33"/>
      <c r="M11" s="33"/>
      <c r="N11" s="33">
        <f>$C$31*'E Balans VL '!Y11/100/3.6*1000000</f>
        <v>4.9367666343027923E-2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6004.590718988462</v>
      </c>
      <c r="C16" s="21">
        <f t="shared" ca="1" si="1"/>
        <v>0</v>
      </c>
      <c r="D16" s="21">
        <f t="shared" ca="1" si="1"/>
        <v>6161.0824159075801</v>
      </c>
      <c r="E16" s="21">
        <f t="shared" ca="1" si="1"/>
        <v>13.146489828186027</v>
      </c>
      <c r="F16" s="21">
        <f t="shared" ca="1" si="1"/>
        <v>1286.7583538305246</v>
      </c>
      <c r="G16" s="21">
        <f t="shared" si="1"/>
        <v>0</v>
      </c>
      <c r="H16" s="21">
        <f t="shared" si="1"/>
        <v>0</v>
      </c>
      <c r="I16" s="21">
        <f t="shared" si="1"/>
        <v>0</v>
      </c>
      <c r="J16" s="21">
        <f t="shared" si="1"/>
        <v>1.1383235790995132E-2</v>
      </c>
      <c r="K16" s="21">
        <f t="shared" si="1"/>
        <v>0</v>
      </c>
      <c r="L16" s="21">
        <f t="shared" ca="1" si="1"/>
        <v>0</v>
      </c>
      <c r="M16" s="21">
        <f t="shared" si="1"/>
        <v>0</v>
      </c>
      <c r="N16" s="21">
        <f t="shared" ca="1" si="1"/>
        <v>429.45474304603874</v>
      </c>
      <c r="O16" s="21">
        <f>O5</f>
        <v>14.691782297523464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0.18633616420788027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1118.8724022145479</v>
      </c>
      <c r="C20" s="23">
        <f t="shared" ref="C20:P20" ca="1" si="2">C16*C18</f>
        <v>0</v>
      </c>
      <c r="D20" s="23">
        <f t="shared" ca="1" si="2"/>
        <v>1244.5386480133313</v>
      </c>
      <c r="E20" s="23">
        <f t="shared" ca="1" si="2"/>
        <v>2.9842531909982282</v>
      </c>
      <c r="F20" s="23">
        <f t="shared" ca="1" si="2"/>
        <v>343.56448047275006</v>
      </c>
      <c r="G20" s="23">
        <f t="shared" si="2"/>
        <v>0</v>
      </c>
      <c r="H20" s="23">
        <f t="shared" si="2"/>
        <v>0</v>
      </c>
      <c r="I20" s="23">
        <f t="shared" si="2"/>
        <v>0</v>
      </c>
      <c r="J20" s="23">
        <f t="shared" si="2"/>
        <v>4.0296654700122765E-3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2501.8743243753597</v>
      </c>
      <c r="C26" s="39">
        <f>IF(ISERROR(B26*3.6/1000000/'E Balans VL '!Z12*100),0,B26*3.6/1000000/'E Balans VL '!Z12*100)</f>
        <v>7.6907739252169399E-2</v>
      </c>
      <c r="D26" s="232" t="s">
        <v>768</v>
      </c>
      <c r="F26" s="6"/>
    </row>
    <row r="27" spans="1:18" ht="30">
      <c r="A27" s="227" t="s">
        <v>52</v>
      </c>
      <c r="B27" s="33">
        <f>IF(ISERROR(TER_horeca_ele_kWh/1000),0,TER_horeca_ele_kWh/1000)</f>
        <v>1226.3177209032399</v>
      </c>
      <c r="C27" s="39">
        <f>IF(ISERROR(B27*3.6/1000000/'E Balans VL '!Z9*100),0,B27*3.6/1000000/'E Balans VL '!Z9*100)</f>
        <v>9.9575095002496311E-2</v>
      </c>
      <c r="D27" s="232" t="s">
        <v>768</v>
      </c>
      <c r="F27" s="6"/>
    </row>
    <row r="28" spans="1:18" ht="30">
      <c r="A28" s="167" t="s">
        <v>51</v>
      </c>
      <c r="B28" s="33">
        <f>IF(ISERROR(TER_handel_ele_kWh/1000),0,TER_handel_ele_kWh/1000)</f>
        <v>946.33238567281205</v>
      </c>
      <c r="C28" s="39">
        <f>IF(ISERROR(B28*3.6/1000000/'E Balans VL '!Z13*100),0,B28*3.6/1000000/'E Balans VL '!Z13*100)</f>
        <v>3.1116646736723187E-2</v>
      </c>
      <c r="D28" s="232" t="s">
        <v>768</v>
      </c>
      <c r="F28" s="6"/>
    </row>
    <row r="29" spans="1:18" ht="30">
      <c r="A29" s="227" t="s">
        <v>50</v>
      </c>
      <c r="B29" s="33">
        <f>IF(ISERROR(TER_gezond_ele_kWh/1000),0,TER_gezond_ele_kWh/1000)</f>
        <v>248.13127955524101</v>
      </c>
      <c r="C29" s="39">
        <f>IF(ISERROR(B29*3.6/1000000/'E Balans VL '!Z10*100),0,B29*3.6/1000000/'E Balans VL '!Z10*100)</f>
        <v>2.4210111188312015E-2</v>
      </c>
      <c r="D29" s="232" t="s">
        <v>768</v>
      </c>
      <c r="F29" s="6"/>
    </row>
    <row r="30" spans="1:18" ht="30">
      <c r="A30" s="227" t="s">
        <v>49</v>
      </c>
      <c r="B30" s="33">
        <f>IF(ISERROR(TER_ander_ele_kWh/1000),0,TER_ander_ele_kWh/1000)</f>
        <v>1062.0725720810999</v>
      </c>
      <c r="C30" s="39">
        <f>IF(ISERROR(B30*3.6/1000000/'E Balans VL '!Z14*100),0,B30*3.6/1000000/'E Balans VL '!Z14*100)</f>
        <v>4.6620760918751399E-2</v>
      </c>
      <c r="D30" s="232" t="s">
        <v>768</v>
      </c>
      <c r="F30" s="6"/>
    </row>
    <row r="31" spans="1:18" ht="30">
      <c r="A31" s="227" t="s">
        <v>54</v>
      </c>
      <c r="B31" s="33">
        <f>IF(ISERROR(TER_onderwijs_ele_kWh/1000),0,TER_onderwijs_ele_kWh/1000)</f>
        <v>19.862436400709402</v>
      </c>
      <c r="C31" s="39">
        <f>IF(ISERROR(B31*3.6/1000000/'E Balans VL '!Z11*100),0,B31*3.6/1000000/'E Balans VL '!Z11*100)</f>
        <v>6.8045466420901049E-3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627.59376440402116</v>
      </c>
      <c r="C5" s="17">
        <f>IF(ISERROR('Eigen informatie GS &amp; warmtenet'!B61),0,'Eigen informatie GS &amp; warmtenet'!B61)</f>
        <v>0</v>
      </c>
      <c r="D5" s="30">
        <f>SUM(D6:D15)</f>
        <v>469.44376332615599</v>
      </c>
      <c r="E5" s="17">
        <f>SUM(E6:E15)</f>
        <v>3.0659232805574259</v>
      </c>
      <c r="F5" s="17">
        <f>SUM(F6:F15)</f>
        <v>391.371138065374</v>
      </c>
      <c r="G5" s="18"/>
      <c r="H5" s="17"/>
      <c r="I5" s="17"/>
      <c r="J5" s="17">
        <f>SUM(J6:J15)</f>
        <v>3.3581337891495977E-2</v>
      </c>
      <c r="K5" s="17"/>
      <c r="L5" s="17"/>
      <c r="M5" s="17"/>
      <c r="N5" s="17">
        <f>SUM(N6:N15)</f>
        <v>24.474680066998726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21.8056040048825</v>
      </c>
      <c r="C8" s="33"/>
      <c r="D8" s="37">
        <f>IF( ISERROR(IND_metaal_Gas_kWH/1000),0,IND_metaal_Gas_kWH/1000)*0.903</f>
        <v>0</v>
      </c>
      <c r="E8" s="33">
        <f>C30*'E Balans VL '!I18/100/3.6*1000000</f>
        <v>6.3494440008567299E-2</v>
      </c>
      <c r="F8" s="33">
        <f>C30*'E Balans VL '!L18/100/3.6*1000000+C30*'E Balans VL '!N18/100/3.6*1000000</f>
        <v>0.83803420390147398</v>
      </c>
      <c r="G8" s="34"/>
      <c r="H8" s="33"/>
      <c r="I8" s="33"/>
      <c r="J8" s="40">
        <f>C30*'E Balans VL '!D18/100/3.6*1000000+C30*'E Balans VL '!E18/100/3.6*1000000</f>
        <v>5.8921204173991508E-17</v>
      </c>
      <c r="K8" s="33"/>
      <c r="L8" s="33"/>
      <c r="M8" s="33"/>
      <c r="N8" s="33">
        <f>C30*'E Balans VL '!Y18/100/3.6*1000000</f>
        <v>0.32342867231907479</v>
      </c>
      <c r="O8" s="33"/>
      <c r="P8" s="33"/>
      <c r="R8" s="32"/>
    </row>
    <row r="9" spans="1:18">
      <c r="A9" s="6" t="s">
        <v>32</v>
      </c>
      <c r="B9" s="37">
        <f t="shared" si="0"/>
        <v>508.85009326276202</v>
      </c>
      <c r="C9" s="33"/>
      <c r="D9" s="37">
        <f>IF( ISERROR(IND_andere_gas_kWh/1000),0,IND_andere_gas_kWh/1000)*0.903</f>
        <v>381.06365332627939</v>
      </c>
      <c r="E9" s="33">
        <f>C31*'E Balans VL '!I19/100/3.6*1000000</f>
        <v>2.5804566760940149</v>
      </c>
      <c r="F9" s="33">
        <f>C31*'E Balans VL '!L19/100/3.6*1000000+C31*'E Balans VL '!N19/100/3.6*1000000</f>
        <v>385.10676879252333</v>
      </c>
      <c r="G9" s="34"/>
      <c r="H9" s="33"/>
      <c r="I9" s="33"/>
      <c r="J9" s="40">
        <f>C31*'E Balans VL '!D19/100/3.6*1000000+C31*'E Balans VL '!E19/100/3.6*1000000</f>
        <v>0</v>
      </c>
      <c r="K9" s="33"/>
      <c r="L9" s="33"/>
      <c r="M9" s="33"/>
      <c r="N9" s="33">
        <f>C31*'E Balans VL '!Y19/100/3.6*1000000</f>
        <v>18.731378309641769</v>
      </c>
      <c r="O9" s="33"/>
      <c r="P9" s="33"/>
      <c r="R9" s="32"/>
    </row>
    <row r="10" spans="1:18">
      <c r="A10" s="6" t="s">
        <v>40</v>
      </c>
      <c r="B10" s="37">
        <f t="shared" si="0"/>
        <v>90.876566327790002</v>
      </c>
      <c r="C10" s="33"/>
      <c r="D10" s="37">
        <f>IF( ISERROR(IND_voed_gas_kWh/1000),0,IND_voed_gas_kWh/1000)*0.903</f>
        <v>0</v>
      </c>
      <c r="E10" s="33">
        <f>C32*'E Balans VL '!I20/100/3.6*1000000</f>
        <v>0.10627150503725916</v>
      </c>
      <c r="F10" s="33">
        <f>C32*'E Balans VL '!L20/100/3.6*1000000+C32*'E Balans VL '!N20/100/3.6*1000000</f>
        <v>4.2435444730558523</v>
      </c>
      <c r="G10" s="34"/>
      <c r="H10" s="33"/>
      <c r="I10" s="33"/>
      <c r="J10" s="40">
        <f>C32*'E Balans VL '!D20/100/3.6*1000000+C32*'E Balans VL '!E20/100/3.6*1000000</f>
        <v>0</v>
      </c>
      <c r="K10" s="33"/>
      <c r="L10" s="33"/>
      <c r="M10" s="33"/>
      <c r="N10" s="33">
        <f>C32*'E Balans VL '!Y20/100/3.6*1000000</f>
        <v>5.2117697635827813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6.0615008085866</v>
      </c>
      <c r="C15" s="33"/>
      <c r="D15" s="37">
        <f>IF( ISERROR(IND_rest_gas_kWh/1000),0,IND_rest_gas_kWh/1000)*0.903</f>
        <v>88.380109999876609</v>
      </c>
      <c r="E15" s="33">
        <f>C37*'E Balans VL '!I15/100/3.6*1000000</f>
        <v>0.31570065941758479</v>
      </c>
      <c r="F15" s="33">
        <f>C37*'E Balans VL '!L15/100/3.6*1000000+C37*'E Balans VL '!N15/100/3.6*1000000</f>
        <v>1.1827905958933196</v>
      </c>
      <c r="G15" s="34"/>
      <c r="H15" s="33"/>
      <c r="I15" s="33"/>
      <c r="J15" s="40">
        <f>C37*'E Balans VL '!D15/100/3.6*1000000+C37*'E Balans VL '!E15/100/3.6*1000000</f>
        <v>3.3581337891495922E-2</v>
      </c>
      <c r="K15" s="33"/>
      <c r="L15" s="33"/>
      <c r="M15" s="33"/>
      <c r="N15" s="33">
        <f>C37*'E Balans VL '!Y15/100/3.6*1000000</f>
        <v>0.20810332145510049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627.59376440402116</v>
      </c>
      <c r="C18" s="21">
        <f>C5+C16</f>
        <v>0</v>
      </c>
      <c r="D18" s="21">
        <f>MAX((D5+D16),0)</f>
        <v>469.44376332615599</v>
      </c>
      <c r="E18" s="21">
        <f>MAX((E5+E16),0)</f>
        <v>3.0659232805574259</v>
      </c>
      <c r="F18" s="21">
        <f>MAX((F5+F16),0)</f>
        <v>391.371138065374</v>
      </c>
      <c r="G18" s="21"/>
      <c r="H18" s="21"/>
      <c r="I18" s="21"/>
      <c r="J18" s="21">
        <f>MAX((J5+J16),0)</f>
        <v>3.3581337891495977E-2</v>
      </c>
      <c r="K18" s="21"/>
      <c r="L18" s="21">
        <f>MAX((L5+L16),0)</f>
        <v>0</v>
      </c>
      <c r="M18" s="21"/>
      <c r="N18" s="21">
        <f>MAX((N5+N16),0)</f>
        <v>24.474680066998726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0.18633616420788027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116.94341473982941</v>
      </c>
      <c r="C22" s="23">
        <f ca="1">C18*C20</f>
        <v>0</v>
      </c>
      <c r="D22" s="23">
        <f>D18*D20</f>
        <v>94.827640191883518</v>
      </c>
      <c r="E22" s="23">
        <f>E18*E20</f>
        <v>0.69596458468653566</v>
      </c>
      <c r="F22" s="23">
        <f>F18*F20</f>
        <v>104.49609386345486</v>
      </c>
      <c r="G22" s="23"/>
      <c r="H22" s="23"/>
      <c r="I22" s="23"/>
      <c r="J22" s="23">
        <f>J18*J20</f>
        <v>1.1887793613589576E-2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21.8056040048825</v>
      </c>
      <c r="C30" s="39">
        <f>IF(ISERROR(B30*3.6/1000000/'E Balans VL '!Z18*100),0,B30*3.6/1000000/'E Balans VL '!Z18*100)</f>
        <v>1.5284592758143241E-3</v>
      </c>
      <c r="D30" s="232" t="s">
        <v>768</v>
      </c>
    </row>
    <row r="31" spans="1:18" ht="30">
      <c r="A31" s="6" t="s">
        <v>32</v>
      </c>
      <c r="B31" s="37">
        <f>IF( ISERROR(IND_ander_ele_kWh/1000),0,IND_ander_ele_kWh/1000)</f>
        <v>508.85009326276202</v>
      </c>
      <c r="C31" s="39">
        <f>IF(ISERROR(B31*3.6/1000000/'E Balans VL '!Z19*100),0,B31*3.6/1000000/'E Balans VL '!Z19*100)</f>
        <v>2.3841009585297879E-2</v>
      </c>
      <c r="D31" s="232" t="s">
        <v>768</v>
      </c>
    </row>
    <row r="32" spans="1:18" ht="30">
      <c r="A32" s="167" t="s">
        <v>40</v>
      </c>
      <c r="B32" s="37">
        <f>IF( ISERROR(IND_voed_ele_kWh/1000),0,IND_voed_ele_kWh/1000)</f>
        <v>90.876566327790002</v>
      </c>
      <c r="C32" s="39">
        <f>IF(ISERROR(B32*3.6/1000000/'E Balans VL '!Z20*100),0,B32*3.6/1000000/'E Balans VL '!Z20*100)</f>
        <v>2.9996685339439407E-3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6.0615008085866</v>
      </c>
      <c r="C37" s="39">
        <f>IF(ISERROR(B37*3.6/1000000/'E Balans VL '!Z15*100),0,B37*3.6/1000000/'E Balans VL '!Z15*100)</f>
        <v>5.5801404585603013E-5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65.436741629384301</v>
      </c>
      <c r="C5" s="17">
        <f>'Eigen informatie GS &amp; warmtenet'!B62</f>
        <v>0</v>
      </c>
      <c r="D5" s="30">
        <f>IF(ISERROR(SUM(LB_lb_gas_kWh,LB_rest_gas_kWh)/1000),0,SUM(LB_lb_gas_kWh,LB_rest_gas_kWh)/1000)*0.903</f>
        <v>94.090800900716062</v>
      </c>
      <c r="E5" s="17">
        <f>B17*'E Balans VL '!I25/3.6*1000000/100</f>
        <v>2.2066271643956767</v>
      </c>
      <c r="F5" s="17">
        <f>B17*('E Balans VL '!L25/3.6*1000000+'E Balans VL '!N25/3.6*1000000)/100</f>
        <v>226.71819462274755</v>
      </c>
      <c r="G5" s="18"/>
      <c r="H5" s="17"/>
      <c r="I5" s="17"/>
      <c r="J5" s="17">
        <f>('E Balans VL '!D25+'E Balans VL '!E25)/3.6*1000000*landbouw!B17/100</f>
        <v>14.203272847156491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65.436741629384301</v>
      </c>
      <c r="C8" s="21">
        <f>C5+C6</f>
        <v>0</v>
      </c>
      <c r="D8" s="21">
        <f>MAX((D5+D6),0)</f>
        <v>94.090800900716062</v>
      </c>
      <c r="E8" s="21">
        <f>MAX((E5+E6),0)</f>
        <v>2.2066271643956767</v>
      </c>
      <c r="F8" s="21">
        <f>MAX((F5+F6),0)</f>
        <v>226.71819462274755</v>
      </c>
      <c r="G8" s="21"/>
      <c r="H8" s="21"/>
      <c r="I8" s="21"/>
      <c r="J8" s="21">
        <f>MAX((J5+J6),0)</f>
        <v>14.203272847156491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0.18633616420788027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12.193231433481587</v>
      </c>
      <c r="C12" s="23">
        <f ca="1">C8*C10</f>
        <v>0</v>
      </c>
      <c r="D12" s="23">
        <f>D8*D10</f>
        <v>19.006341781944645</v>
      </c>
      <c r="E12" s="23">
        <f>E8*E10</f>
        <v>0.50090436631781865</v>
      </c>
      <c r="F12" s="23">
        <f>F8*F10</f>
        <v>60.533757964273597</v>
      </c>
      <c r="G12" s="23"/>
      <c r="H12" s="23"/>
      <c r="I12" s="23"/>
      <c r="J12" s="23">
        <f>J8*J10</f>
        <v>5.0279585878933979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9.3476066646754914E-3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30.379524295576182</v>
      </c>
      <c r="C26" s="242">
        <f>B26*'GWP N2O_CH4'!B5</f>
        <v>637.97001020709979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2.0546473005100214</v>
      </c>
      <c r="C27" s="242">
        <f>B27*'GWP N2O_CH4'!B5</f>
        <v>43.147593310710448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0.47623439070922469</v>
      </c>
      <c r="C28" s="242">
        <f>B28*'GWP N2O_CH4'!B4</f>
        <v>147.63266111985965</v>
      </c>
      <c r="D28" s="50"/>
    </row>
    <row r="29" spans="1:4">
      <c r="A29" s="41" t="s">
        <v>266</v>
      </c>
      <c r="B29" s="242">
        <f>B34*'ha_N2O bodem landbouw'!B4</f>
        <v>4.3408221334352044</v>
      </c>
      <c r="C29" s="242">
        <f>B29*'GWP N2O_CH4'!B4</f>
        <v>1345.6548613649134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9.5170869449066854E-4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1.8119371781153545E-3</v>
      </c>
      <c r="C5" s="428" t="s">
        <v>204</v>
      </c>
      <c r="D5" s="413">
        <f>SUM(D6:D11)</f>
        <v>1.7014765112758261E-3</v>
      </c>
      <c r="E5" s="413">
        <f>SUM(E6:E11)</f>
        <v>6.0424466911360782E-4</v>
      </c>
      <c r="F5" s="426" t="s">
        <v>204</v>
      </c>
      <c r="G5" s="413">
        <f>SUM(G6:G11)</f>
        <v>0.22889883851022386</v>
      </c>
      <c r="H5" s="413">
        <f>SUM(H6:H11)</f>
        <v>8.1849021363526134E-2</v>
      </c>
      <c r="I5" s="428" t="s">
        <v>204</v>
      </c>
      <c r="J5" s="428" t="s">
        <v>204</v>
      </c>
      <c r="K5" s="428" t="s">
        <v>204</v>
      </c>
      <c r="L5" s="428" t="s">
        <v>204</v>
      </c>
      <c r="M5" s="413">
        <f>SUM(M6:M11)</f>
        <v>3.266558893632026E-2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4.8474565584561747E-4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4.4686238812792554E-4</v>
      </c>
      <c r="E6" s="839">
        <f>vkm_GW_PW*SUMIFS(TableVerdeelsleutelVkm[LPG],TableVerdeelsleutelVkm[Voertuigtype],"Lichte voertuigen")*SUMIFS(TableECFTransport[EnergieConsumptieFactor (PJ per km)],TableECFTransport[Index],CONCATENATE($A6,"_LPG_LPG"))</f>
        <v>1.502304421751685E-4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4.2518039028698072E-2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2.1259111041677364E-2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6.5887163619286759E-3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9.1934760074475119E-7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2.0334509184001249E-2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1.4655686486740757E-7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2.2762349536621681E-3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5.9445242032744709E-4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7.1102574291043012E-4</v>
      </c>
      <c r="E8" s="416">
        <f>vkm_NGW_PW*SUMIFS(TableVerdeelsleutelVkm[LPG],TableVerdeelsleutelVkm[Voertuigtype],"Lichte voertuigen")*SUMIFS(TableECFTransport[EnergieConsumptieFactor (PJ per km)],TableECFTransport[Index],CONCATENATE($A8,"_LPG_LPG"))</f>
        <v>2.2828258053632722E-4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5.9140867185511016E-2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3.3185978150718422E-2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9.4757349185920717E-3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6.6611483478584137E-7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1.8967289592065392E-2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1.2817164877176834E-7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2.1231883311068045E-3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7.296721920005628E-4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5.4358838023747043E-4</v>
      </c>
      <c r="E10" s="416">
        <f>vkm_SW_PW*SUMIFS(TableVerdeelsleutelVkm[LPG],TableVerdeelsleutelVkm[Voertuigtype],"Lichte voertuigen")*SUMIFS(TableECFTransport[EnergieConsumptieFactor (PJ per km)],TableECFTransport[Index],CONCATENATE($A10,"_LPG_LPG"))</f>
        <v>2.257316464021121E-4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5.711338280936757E-2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2.7403414366032081E-2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8.7512051424383421E-3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1.4814475061966034E-6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3.0824750710580558E-2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2.4307658462393212E-7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3.4505092285921964E-3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503.31588280982072</v>
      </c>
      <c r="C14" s="21"/>
      <c r="D14" s="21">
        <f t="shared" ref="D14:M14" si="0">((D5)*10^9/3600)+D12</f>
        <v>472.632364243285</v>
      </c>
      <c r="E14" s="21">
        <f t="shared" si="0"/>
        <v>167.84574142044661</v>
      </c>
      <c r="F14" s="21"/>
      <c r="G14" s="21">
        <f t="shared" si="0"/>
        <v>63583.010697284408</v>
      </c>
      <c r="H14" s="21">
        <f t="shared" si="0"/>
        <v>22735.839267646148</v>
      </c>
      <c r="I14" s="21"/>
      <c r="J14" s="21"/>
      <c r="K14" s="21"/>
      <c r="L14" s="21"/>
      <c r="M14" s="21">
        <f t="shared" si="0"/>
        <v>9073.7747045334054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0.18633616420788027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93.78595098768497</v>
      </c>
      <c r="C18" s="23"/>
      <c r="D18" s="23">
        <f t="shared" ref="D18:M18" si="1">D14*D16</f>
        <v>95.471737577143571</v>
      </c>
      <c r="E18" s="23">
        <f t="shared" si="1"/>
        <v>38.100983302441385</v>
      </c>
      <c r="F18" s="23"/>
      <c r="G18" s="23">
        <f t="shared" si="1"/>
        <v>16976.663856174939</v>
      </c>
      <c r="H18" s="23">
        <f t="shared" si="1"/>
        <v>5661.223977643891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7.5107951524658719E-5</v>
      </c>
      <c r="C50" s="312">
        <f t="shared" ref="C50:P50" si="2">SUM(C51:C52)</f>
        <v>0</v>
      </c>
      <c r="D50" s="312">
        <f t="shared" si="2"/>
        <v>0</v>
      </c>
      <c r="E50" s="312">
        <f t="shared" si="2"/>
        <v>0</v>
      </c>
      <c r="F50" s="312">
        <f t="shared" si="2"/>
        <v>0</v>
      </c>
      <c r="G50" s="312">
        <f t="shared" si="2"/>
        <v>3.0844385364579394E-3</v>
      </c>
      <c r="H50" s="312">
        <f t="shared" si="2"/>
        <v>0</v>
      </c>
      <c r="I50" s="312">
        <f t="shared" si="2"/>
        <v>0</v>
      </c>
      <c r="J50" s="312">
        <f t="shared" si="2"/>
        <v>0</v>
      </c>
      <c r="K50" s="312">
        <f t="shared" si="2"/>
        <v>0</v>
      </c>
      <c r="L50" s="312">
        <f t="shared" si="2"/>
        <v>0</v>
      </c>
      <c r="M50" s="312">
        <f t="shared" si="2"/>
        <v>3.4526861937800448E-4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7.5107951524658719E-5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3.0844385364579394E-3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3.4526861937800448E-4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20.863319867960758</v>
      </c>
      <c r="C54" s="21">
        <f t="shared" ref="C54:P54" si="3">(C50)*10^9/3600</f>
        <v>0</v>
      </c>
      <c r="D54" s="21">
        <f t="shared" si="3"/>
        <v>0</v>
      </c>
      <c r="E54" s="21">
        <f t="shared" si="3"/>
        <v>0</v>
      </c>
      <c r="F54" s="21">
        <f t="shared" si="3"/>
        <v>0</v>
      </c>
      <c r="G54" s="21">
        <f t="shared" si="3"/>
        <v>856.78848234942768</v>
      </c>
      <c r="H54" s="21">
        <f t="shared" si="3"/>
        <v>0</v>
      </c>
      <c r="I54" s="21">
        <f t="shared" si="3"/>
        <v>0</v>
      </c>
      <c r="J54" s="21">
        <f t="shared" si="3"/>
        <v>0</v>
      </c>
      <c r="K54" s="21">
        <f t="shared" si="3"/>
        <v>0</v>
      </c>
      <c r="L54" s="21">
        <f t="shared" si="3"/>
        <v>0</v>
      </c>
      <c r="M54" s="21">
        <f t="shared" si="3"/>
        <v>95.907949827223462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0.18633616420788027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3.8875909968378668</v>
      </c>
      <c r="C58" s="23">
        <f t="shared" ref="C58:P58" ca="1" si="4">C54*C56</f>
        <v>0</v>
      </c>
      <c r="D58" s="23">
        <f t="shared" si="4"/>
        <v>0</v>
      </c>
      <c r="E58" s="23">
        <f t="shared" si="4"/>
        <v>0</v>
      </c>
      <c r="F58" s="23">
        <f t="shared" si="4"/>
        <v>0</v>
      </c>
      <c r="G58" s="23">
        <f t="shared" si="4"/>
        <v>228.7625247872972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4766.406377863761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4766.406377863761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6675.4936517491115</v>
      </c>
      <c r="D10" s="637">
        <f ca="1">tertiair!C16</f>
        <v>0</v>
      </c>
      <c r="E10" s="637">
        <f ca="1">tertiair!D16</f>
        <v>6161.0824159075801</v>
      </c>
      <c r="F10" s="637">
        <f ca="1">tertiair!E16</f>
        <v>13.146489828186027</v>
      </c>
      <c r="G10" s="637">
        <f ca="1">tertiair!F16</f>
        <v>1286.7583538305246</v>
      </c>
      <c r="H10" s="637">
        <f>tertiair!G16</f>
        <v>0</v>
      </c>
      <c r="I10" s="637">
        <f>tertiair!H16</f>
        <v>0</v>
      </c>
      <c r="J10" s="637">
        <f>tertiair!I16</f>
        <v>0</v>
      </c>
      <c r="K10" s="637">
        <f>tertiair!J16</f>
        <v>1.1383235790995132E-2</v>
      </c>
      <c r="L10" s="637">
        <f>tertiair!K16</f>
        <v>0</v>
      </c>
      <c r="M10" s="637">
        <f ca="1">tertiair!L16</f>
        <v>0</v>
      </c>
      <c r="N10" s="637">
        <f>tertiair!M16</f>
        <v>0</v>
      </c>
      <c r="O10" s="637">
        <f ca="1">tertiair!N16</f>
        <v>429.45474304603874</v>
      </c>
      <c r="P10" s="637">
        <f>tertiair!O16</f>
        <v>14.691782297523464</v>
      </c>
      <c r="Q10" s="638">
        <f>tertiair!P16</f>
        <v>52.539138306495019</v>
      </c>
      <c r="R10" s="640">
        <f ca="1">SUM(C10:Q10)</f>
        <v>14633.17795820125</v>
      </c>
      <c r="S10" s="67"/>
    </row>
    <row r="11" spans="1:19" s="439" customFormat="1">
      <c r="A11" s="757" t="s">
        <v>214</v>
      </c>
      <c r="B11" s="762"/>
      <c r="C11" s="637">
        <f>huishoudens!B8</f>
        <v>21442.670801619061</v>
      </c>
      <c r="D11" s="637">
        <f>huishoudens!C8</f>
        <v>0</v>
      </c>
      <c r="E11" s="637">
        <f>huishoudens!D8</f>
        <v>32236.163608082647</v>
      </c>
      <c r="F11" s="637">
        <f>huishoudens!E8</f>
        <v>2157.9814210597087</v>
      </c>
      <c r="G11" s="637">
        <f>huishoudens!F8</f>
        <v>27338.470488093186</v>
      </c>
      <c r="H11" s="637">
        <f>huishoudens!G8</f>
        <v>0</v>
      </c>
      <c r="I11" s="637">
        <f>huishoudens!H8</f>
        <v>0</v>
      </c>
      <c r="J11" s="637">
        <f>huishoudens!I8</f>
        <v>0</v>
      </c>
      <c r="K11" s="637">
        <f>huishoudens!J8</f>
        <v>174.98196450355161</v>
      </c>
      <c r="L11" s="637">
        <f>huishoudens!K8</f>
        <v>0</v>
      </c>
      <c r="M11" s="637">
        <f>huishoudens!L8</f>
        <v>0</v>
      </c>
      <c r="N11" s="637">
        <f>huishoudens!M8</f>
        <v>0</v>
      </c>
      <c r="O11" s="637">
        <f>huishoudens!N8</f>
        <v>5870.2091774016517</v>
      </c>
      <c r="P11" s="637">
        <f>huishoudens!O8</f>
        <v>273.78623427541038</v>
      </c>
      <c r="Q11" s="638">
        <f>huishoudens!P8</f>
        <v>1074.4638493838725</v>
      </c>
      <c r="R11" s="640">
        <f>SUM(C11:Q11)</f>
        <v>90568.727544419089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627.59376440402116</v>
      </c>
      <c r="D13" s="637">
        <f>industrie!C18</f>
        <v>0</v>
      </c>
      <c r="E13" s="637">
        <f>industrie!D18</f>
        <v>469.44376332615599</v>
      </c>
      <c r="F13" s="637">
        <f>industrie!E18</f>
        <v>3.0659232805574259</v>
      </c>
      <c r="G13" s="637">
        <f>industrie!F18</f>
        <v>391.371138065374</v>
      </c>
      <c r="H13" s="637">
        <f>industrie!G18</f>
        <v>0</v>
      </c>
      <c r="I13" s="637">
        <f>industrie!H18</f>
        <v>0</v>
      </c>
      <c r="J13" s="637">
        <f>industrie!I18</f>
        <v>0</v>
      </c>
      <c r="K13" s="637">
        <f>industrie!J18</f>
        <v>3.3581337891495977E-2</v>
      </c>
      <c r="L13" s="637">
        <f>industrie!K18</f>
        <v>0</v>
      </c>
      <c r="M13" s="637">
        <f>industrie!L18</f>
        <v>0</v>
      </c>
      <c r="N13" s="637">
        <f>industrie!M18</f>
        <v>0</v>
      </c>
      <c r="O13" s="637">
        <f>industrie!N18</f>
        <v>24.474680066998726</v>
      </c>
      <c r="P13" s="637">
        <f>industrie!O18</f>
        <v>0</v>
      </c>
      <c r="Q13" s="638">
        <f>industrie!P18</f>
        <v>0</v>
      </c>
      <c r="R13" s="640">
        <f>SUM(C13:Q13)</f>
        <v>1515.9828504809986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28745.758217772192</v>
      </c>
      <c r="D16" s="673">
        <f t="shared" ref="D16:R16" ca="1" si="0">SUM(D9:D15)</f>
        <v>0</v>
      </c>
      <c r="E16" s="673">
        <f t="shared" ca="1" si="0"/>
        <v>38866.689787316383</v>
      </c>
      <c r="F16" s="673">
        <f t="shared" ca="1" si="0"/>
        <v>2174.1938341684522</v>
      </c>
      <c r="G16" s="673">
        <f t="shared" ca="1" si="0"/>
        <v>29016.599979989085</v>
      </c>
      <c r="H16" s="673">
        <f t="shared" si="0"/>
        <v>0</v>
      </c>
      <c r="I16" s="673">
        <f t="shared" si="0"/>
        <v>0</v>
      </c>
      <c r="J16" s="673">
        <f t="shared" si="0"/>
        <v>0</v>
      </c>
      <c r="K16" s="673">
        <f t="shared" si="0"/>
        <v>175.02692907723409</v>
      </c>
      <c r="L16" s="673">
        <f t="shared" si="0"/>
        <v>0</v>
      </c>
      <c r="M16" s="673">
        <f t="shared" ca="1" si="0"/>
        <v>0</v>
      </c>
      <c r="N16" s="673">
        <f t="shared" si="0"/>
        <v>0</v>
      </c>
      <c r="O16" s="673">
        <f t="shared" ca="1" si="0"/>
        <v>6324.1386005146896</v>
      </c>
      <c r="P16" s="673">
        <f t="shared" si="0"/>
        <v>288.47801657293383</v>
      </c>
      <c r="Q16" s="673">
        <f t="shared" si="0"/>
        <v>1127.0029876903675</v>
      </c>
      <c r="R16" s="673">
        <f t="shared" ca="1" si="0"/>
        <v>106717.88835310134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20.863319867960758</v>
      </c>
      <c r="D19" s="637">
        <f>transport!C54</f>
        <v>0</v>
      </c>
      <c r="E19" s="637">
        <f>transport!D54</f>
        <v>0</v>
      </c>
      <c r="F19" s="637">
        <f>transport!E54</f>
        <v>0</v>
      </c>
      <c r="G19" s="637">
        <f>transport!F54</f>
        <v>0</v>
      </c>
      <c r="H19" s="637">
        <f>transport!G54</f>
        <v>856.78848234942768</v>
      </c>
      <c r="I19" s="637">
        <f>transport!H54</f>
        <v>0</v>
      </c>
      <c r="J19" s="637">
        <f>transport!I54</f>
        <v>0</v>
      </c>
      <c r="K19" s="637">
        <f>transport!J54</f>
        <v>0</v>
      </c>
      <c r="L19" s="637">
        <f>transport!K54</f>
        <v>0</v>
      </c>
      <c r="M19" s="637">
        <f>transport!L54</f>
        <v>0</v>
      </c>
      <c r="N19" s="637">
        <f>transport!M54</f>
        <v>95.907949827223462</v>
      </c>
      <c r="O19" s="637">
        <f>transport!N54</f>
        <v>0</v>
      </c>
      <c r="P19" s="637">
        <f>transport!O54</f>
        <v>0</v>
      </c>
      <c r="Q19" s="638">
        <f>transport!P54</f>
        <v>0</v>
      </c>
      <c r="R19" s="640">
        <f>SUM(C19:Q19)</f>
        <v>973.55975204461186</v>
      </c>
      <c r="S19" s="67"/>
    </row>
    <row r="20" spans="1:19" s="439" customFormat="1">
      <c r="A20" s="757" t="s">
        <v>294</v>
      </c>
      <c r="B20" s="762"/>
      <c r="C20" s="637">
        <f>transport!B14</f>
        <v>503.31588280982072</v>
      </c>
      <c r="D20" s="637">
        <f>transport!C14</f>
        <v>0</v>
      </c>
      <c r="E20" s="637">
        <f>transport!D14</f>
        <v>472.632364243285</v>
      </c>
      <c r="F20" s="637">
        <f>transport!E14</f>
        <v>167.84574142044661</v>
      </c>
      <c r="G20" s="637">
        <f>transport!F14</f>
        <v>0</v>
      </c>
      <c r="H20" s="637">
        <f>transport!G14</f>
        <v>63583.010697284408</v>
      </c>
      <c r="I20" s="637">
        <f>transport!H14</f>
        <v>22735.839267646148</v>
      </c>
      <c r="J20" s="637">
        <f>transport!I14</f>
        <v>0</v>
      </c>
      <c r="K20" s="637">
        <f>transport!J14</f>
        <v>0</v>
      </c>
      <c r="L20" s="637">
        <f>transport!K14</f>
        <v>0</v>
      </c>
      <c r="M20" s="637">
        <f>transport!L14</f>
        <v>0</v>
      </c>
      <c r="N20" s="637">
        <f>transport!M14</f>
        <v>9073.7747045334054</v>
      </c>
      <c r="O20" s="637">
        <f>transport!N14</f>
        <v>0</v>
      </c>
      <c r="P20" s="637">
        <f>transport!O14</f>
        <v>0</v>
      </c>
      <c r="Q20" s="638">
        <f>transport!P14</f>
        <v>0</v>
      </c>
      <c r="R20" s="640">
        <f>SUM(C20:Q20)</f>
        <v>96536.418657937524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524.17920267778152</v>
      </c>
      <c r="D22" s="760">
        <f t="shared" ref="D22:R22" si="1">SUM(D18:D21)</f>
        <v>0</v>
      </c>
      <c r="E22" s="760">
        <f t="shared" si="1"/>
        <v>472.632364243285</v>
      </c>
      <c r="F22" s="760">
        <f t="shared" si="1"/>
        <v>167.84574142044661</v>
      </c>
      <c r="G22" s="760">
        <f t="shared" si="1"/>
        <v>0</v>
      </c>
      <c r="H22" s="760">
        <f t="shared" si="1"/>
        <v>64439.799179633832</v>
      </c>
      <c r="I22" s="760">
        <f t="shared" si="1"/>
        <v>22735.839267646148</v>
      </c>
      <c r="J22" s="760">
        <f t="shared" si="1"/>
        <v>0</v>
      </c>
      <c r="K22" s="760">
        <f t="shared" si="1"/>
        <v>0</v>
      </c>
      <c r="L22" s="760">
        <f t="shared" si="1"/>
        <v>0</v>
      </c>
      <c r="M22" s="760">
        <f t="shared" si="1"/>
        <v>0</v>
      </c>
      <c r="N22" s="760">
        <f t="shared" si="1"/>
        <v>9169.6826543606294</v>
      </c>
      <c r="O22" s="760">
        <f t="shared" si="1"/>
        <v>0</v>
      </c>
      <c r="P22" s="760">
        <f t="shared" si="1"/>
        <v>0</v>
      </c>
      <c r="Q22" s="760">
        <f t="shared" si="1"/>
        <v>0</v>
      </c>
      <c r="R22" s="760">
        <f t="shared" si="1"/>
        <v>97509.978409982141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65.436741629384301</v>
      </c>
      <c r="D24" s="637">
        <f>+landbouw!C8</f>
        <v>0</v>
      </c>
      <c r="E24" s="637">
        <f>+landbouw!D8</f>
        <v>94.090800900716062</v>
      </c>
      <c r="F24" s="637">
        <f>+landbouw!E8</f>
        <v>2.2066271643956767</v>
      </c>
      <c r="G24" s="637">
        <f>+landbouw!F8</f>
        <v>226.71819462274755</v>
      </c>
      <c r="H24" s="637">
        <f>+landbouw!G8</f>
        <v>0</v>
      </c>
      <c r="I24" s="637">
        <f>+landbouw!H8</f>
        <v>0</v>
      </c>
      <c r="J24" s="637">
        <f>+landbouw!I8</f>
        <v>0</v>
      </c>
      <c r="K24" s="637">
        <f>+landbouw!J8</f>
        <v>14.203272847156491</v>
      </c>
      <c r="L24" s="637">
        <f>+landbouw!K8</f>
        <v>0</v>
      </c>
      <c r="M24" s="637">
        <f>+landbouw!L8</f>
        <v>0</v>
      </c>
      <c r="N24" s="637">
        <f>+landbouw!M8</f>
        <v>0</v>
      </c>
      <c r="O24" s="637">
        <f>+landbouw!N8</f>
        <v>0</v>
      </c>
      <c r="P24" s="637">
        <f>+landbouw!O8</f>
        <v>0</v>
      </c>
      <c r="Q24" s="638">
        <f>+landbouw!P8</f>
        <v>0</v>
      </c>
      <c r="R24" s="640">
        <f>SUM(C24:Q24)</f>
        <v>402.65563716440005</v>
      </c>
      <c r="S24" s="67"/>
    </row>
    <row r="25" spans="1:19" s="439" customFormat="1" ht="15" thickBot="1">
      <c r="A25" s="779" t="s">
        <v>634</v>
      </c>
      <c r="B25" s="890"/>
      <c r="C25" s="891">
        <f>IF(Onbekend_ele_kWh="---",0,Onbekend_ele_kWh)/1000+IF(REST_rest_ele_kWh="---",0,REST_rest_ele_kWh)/1000</f>
        <v>1052.9480024099898</v>
      </c>
      <c r="D25" s="891"/>
      <c r="E25" s="891">
        <f>IF(onbekend_gas_kWh="---",0,onbekend_gas_kWh)/1000+IF(REST_rest_gas_kWh="---",0,REST_rest_gas_kWh)/1000</f>
        <v>1658.6759247620598</v>
      </c>
      <c r="F25" s="891"/>
      <c r="G25" s="891"/>
      <c r="H25" s="891"/>
      <c r="I25" s="891"/>
      <c r="J25" s="891"/>
      <c r="K25" s="891"/>
      <c r="L25" s="891"/>
      <c r="M25" s="891"/>
      <c r="N25" s="891"/>
      <c r="O25" s="891"/>
      <c r="P25" s="891"/>
      <c r="Q25" s="892"/>
      <c r="R25" s="640">
        <f>SUM(C25:Q25)</f>
        <v>2711.6239271720497</v>
      </c>
      <c r="S25" s="67"/>
    </row>
    <row r="26" spans="1:19" s="439" customFormat="1" ht="15.75" thickBot="1">
      <c r="A26" s="645" t="s">
        <v>635</v>
      </c>
      <c r="B26" s="765"/>
      <c r="C26" s="760">
        <f>SUM(C24:C25)</f>
        <v>1118.3847440393743</v>
      </c>
      <c r="D26" s="760">
        <f t="shared" ref="D26:R26" si="2">SUM(D24:D25)</f>
        <v>0</v>
      </c>
      <c r="E26" s="760">
        <f t="shared" si="2"/>
        <v>1752.7667256627758</v>
      </c>
      <c r="F26" s="760">
        <f t="shared" si="2"/>
        <v>2.2066271643956767</v>
      </c>
      <c r="G26" s="760">
        <f t="shared" si="2"/>
        <v>226.71819462274755</v>
      </c>
      <c r="H26" s="760">
        <f t="shared" si="2"/>
        <v>0</v>
      </c>
      <c r="I26" s="760">
        <f t="shared" si="2"/>
        <v>0</v>
      </c>
      <c r="J26" s="760">
        <f t="shared" si="2"/>
        <v>0</v>
      </c>
      <c r="K26" s="760">
        <f t="shared" si="2"/>
        <v>14.203272847156491</v>
      </c>
      <c r="L26" s="760">
        <f t="shared" si="2"/>
        <v>0</v>
      </c>
      <c r="M26" s="760">
        <f t="shared" si="2"/>
        <v>0</v>
      </c>
      <c r="N26" s="760">
        <f t="shared" si="2"/>
        <v>0</v>
      </c>
      <c r="O26" s="760">
        <f t="shared" si="2"/>
        <v>0</v>
      </c>
      <c r="P26" s="760">
        <f t="shared" si="2"/>
        <v>0</v>
      </c>
      <c r="Q26" s="760">
        <f t="shared" si="2"/>
        <v>0</v>
      </c>
      <c r="R26" s="760">
        <f t="shared" si="2"/>
        <v>3114.2795643364498</v>
      </c>
      <c r="S26" s="67"/>
    </row>
    <row r="27" spans="1:19" s="439" customFormat="1" ht="17.25" thickTop="1" thickBot="1">
      <c r="A27" s="646" t="s">
        <v>109</v>
      </c>
      <c r="B27" s="752"/>
      <c r="C27" s="647">
        <f ca="1">C22+C16+C26</f>
        <v>30388.322164489346</v>
      </c>
      <c r="D27" s="647">
        <f t="shared" ref="D27:R27" ca="1" si="3">D22+D16+D26</f>
        <v>0</v>
      </c>
      <c r="E27" s="647">
        <f t="shared" ca="1" si="3"/>
        <v>41092.088877222443</v>
      </c>
      <c r="F27" s="647">
        <f t="shared" ca="1" si="3"/>
        <v>2344.2462027532947</v>
      </c>
      <c r="G27" s="647">
        <f t="shared" ca="1" si="3"/>
        <v>29243.318174611832</v>
      </c>
      <c r="H27" s="647">
        <f t="shared" si="3"/>
        <v>64439.799179633832</v>
      </c>
      <c r="I27" s="647">
        <f t="shared" si="3"/>
        <v>22735.839267646148</v>
      </c>
      <c r="J27" s="647">
        <f t="shared" si="3"/>
        <v>0</v>
      </c>
      <c r="K27" s="647">
        <f t="shared" si="3"/>
        <v>189.23020192439057</v>
      </c>
      <c r="L27" s="647">
        <f t="shared" si="3"/>
        <v>0</v>
      </c>
      <c r="M27" s="647">
        <f t="shared" ca="1" si="3"/>
        <v>0</v>
      </c>
      <c r="N27" s="647">
        <f t="shared" si="3"/>
        <v>9169.6826543606294</v>
      </c>
      <c r="O27" s="647">
        <f t="shared" ca="1" si="3"/>
        <v>6324.1386005146896</v>
      </c>
      <c r="P27" s="647">
        <f t="shared" si="3"/>
        <v>288.47801657293383</v>
      </c>
      <c r="Q27" s="647">
        <f t="shared" si="3"/>
        <v>1127.0029876903675</v>
      </c>
      <c r="R27" s="647">
        <f t="shared" ca="1" si="3"/>
        <v>207342.14632741993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1243.8858812609849</v>
      </c>
      <c r="D40" s="637">
        <f ca="1">tertiair!C20</f>
        <v>0</v>
      </c>
      <c r="E40" s="637">
        <f ca="1">tertiair!D20</f>
        <v>1244.5386480133313</v>
      </c>
      <c r="F40" s="637">
        <f ca="1">tertiair!E20</f>
        <v>2.9842531909982282</v>
      </c>
      <c r="G40" s="637">
        <f ca="1">tertiair!F20</f>
        <v>343.56448047275006</v>
      </c>
      <c r="H40" s="637">
        <f>tertiair!G20</f>
        <v>0</v>
      </c>
      <c r="I40" s="637">
        <f>tertiair!H20</f>
        <v>0</v>
      </c>
      <c r="J40" s="637">
        <f>tertiair!I20</f>
        <v>0</v>
      </c>
      <c r="K40" s="637">
        <f>tertiair!J20</f>
        <v>4.0296654700122765E-3</v>
      </c>
      <c r="L40" s="637">
        <f>tertiair!K20</f>
        <v>0</v>
      </c>
      <c r="M40" s="637">
        <f ca="1">tertiair!L20</f>
        <v>0</v>
      </c>
      <c r="N40" s="637">
        <f>tertiair!M20</f>
        <v>0</v>
      </c>
      <c r="O40" s="637">
        <f ca="1">tertiair!N20</f>
        <v>0</v>
      </c>
      <c r="P40" s="637">
        <f>tertiair!O20</f>
        <v>0</v>
      </c>
      <c r="Q40" s="720">
        <f>tertiair!P20</f>
        <v>0</v>
      </c>
      <c r="R40" s="798">
        <f t="shared" ca="1" si="4"/>
        <v>2834.9772926035344</v>
      </c>
    </row>
    <row r="41" spans="1:18">
      <c r="A41" s="770" t="s">
        <v>214</v>
      </c>
      <c r="B41" s="777"/>
      <c r="C41" s="637">
        <f ca="1">huishoudens!B12</f>
        <v>3995.5450275460089</v>
      </c>
      <c r="D41" s="637">
        <f ca="1">huishoudens!C12</f>
        <v>0</v>
      </c>
      <c r="E41" s="637">
        <f>huishoudens!D12</f>
        <v>6511.705048832695</v>
      </c>
      <c r="F41" s="637">
        <f>huishoudens!E12</f>
        <v>489.86178258055389</v>
      </c>
      <c r="G41" s="637">
        <f>huishoudens!F12</f>
        <v>7299.3716203208814</v>
      </c>
      <c r="H41" s="637">
        <f>huishoudens!G12</f>
        <v>0</v>
      </c>
      <c r="I41" s="637">
        <f>huishoudens!H12</f>
        <v>0</v>
      </c>
      <c r="J41" s="637">
        <f>huishoudens!I12</f>
        <v>0</v>
      </c>
      <c r="K41" s="637">
        <f>huishoudens!J12</f>
        <v>61.943615434257268</v>
      </c>
      <c r="L41" s="637">
        <f>huishoudens!K12</f>
        <v>0</v>
      </c>
      <c r="M41" s="637">
        <f>huishoudens!L12</f>
        <v>0</v>
      </c>
      <c r="N41" s="637">
        <f>huishoudens!M12</f>
        <v>0</v>
      </c>
      <c r="O41" s="637">
        <f>huishoudens!N12</f>
        <v>0</v>
      </c>
      <c r="P41" s="637">
        <f>huishoudens!O12</f>
        <v>0</v>
      </c>
      <c r="Q41" s="720">
        <f>huishoudens!P12</f>
        <v>0</v>
      </c>
      <c r="R41" s="798">
        <f t="shared" ca="1" si="4"/>
        <v>18358.427094714396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116.94341473982941</v>
      </c>
      <c r="D43" s="637">
        <f ca="1">industrie!C22</f>
        <v>0</v>
      </c>
      <c r="E43" s="637">
        <f>industrie!D22</f>
        <v>94.827640191883518</v>
      </c>
      <c r="F43" s="637">
        <f>industrie!E22</f>
        <v>0.69596458468653566</v>
      </c>
      <c r="G43" s="637">
        <f>industrie!F22</f>
        <v>104.49609386345486</v>
      </c>
      <c r="H43" s="637">
        <f>industrie!G22</f>
        <v>0</v>
      </c>
      <c r="I43" s="637">
        <f>industrie!H22</f>
        <v>0</v>
      </c>
      <c r="J43" s="637">
        <f>industrie!I22</f>
        <v>0</v>
      </c>
      <c r="K43" s="637">
        <f>industrie!J22</f>
        <v>1.1887793613589576E-2</v>
      </c>
      <c r="L43" s="637">
        <f>industrie!K22</f>
        <v>0</v>
      </c>
      <c r="M43" s="637">
        <f>industrie!L22</f>
        <v>0</v>
      </c>
      <c r="N43" s="637">
        <f>industrie!M22</f>
        <v>0</v>
      </c>
      <c r="O43" s="637">
        <f>industrie!N22</f>
        <v>0</v>
      </c>
      <c r="P43" s="637">
        <f>industrie!O22</f>
        <v>0</v>
      </c>
      <c r="Q43" s="720">
        <f>industrie!P22</f>
        <v>0</v>
      </c>
      <c r="R43" s="797">
        <f t="shared" ca="1" si="4"/>
        <v>316.97500117346789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5356.3743235468237</v>
      </c>
      <c r="D46" s="673">
        <f t="shared" ref="D46:Q46" ca="1" si="5">SUM(D39:D45)</f>
        <v>0</v>
      </c>
      <c r="E46" s="673">
        <f t="shared" ca="1" si="5"/>
        <v>7851.0713370379099</v>
      </c>
      <c r="F46" s="673">
        <f t="shared" ca="1" si="5"/>
        <v>493.54200035623865</v>
      </c>
      <c r="G46" s="673">
        <f t="shared" ca="1" si="5"/>
        <v>7747.4321946570863</v>
      </c>
      <c r="H46" s="673">
        <f t="shared" si="5"/>
        <v>0</v>
      </c>
      <c r="I46" s="673">
        <f t="shared" si="5"/>
        <v>0</v>
      </c>
      <c r="J46" s="673">
        <f t="shared" si="5"/>
        <v>0</v>
      </c>
      <c r="K46" s="673">
        <f t="shared" si="5"/>
        <v>61.959532893340871</v>
      </c>
      <c r="L46" s="673">
        <f t="shared" si="5"/>
        <v>0</v>
      </c>
      <c r="M46" s="673">
        <f t="shared" ca="1" si="5"/>
        <v>0</v>
      </c>
      <c r="N46" s="673">
        <f t="shared" si="5"/>
        <v>0</v>
      </c>
      <c r="O46" s="673">
        <f t="shared" ca="1" si="5"/>
        <v>0</v>
      </c>
      <c r="P46" s="673">
        <f t="shared" si="5"/>
        <v>0</v>
      </c>
      <c r="Q46" s="673">
        <f t="shared" si="5"/>
        <v>0</v>
      </c>
      <c r="R46" s="673">
        <f ca="1">SUM(R39:R45)</f>
        <v>21510.379388491398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3.8875909968378668</v>
      </c>
      <c r="D49" s="637">
        <f ca="1">transport!C58</f>
        <v>0</v>
      </c>
      <c r="E49" s="637">
        <f>transport!D58</f>
        <v>0</v>
      </c>
      <c r="F49" s="637">
        <f>transport!E58</f>
        <v>0</v>
      </c>
      <c r="G49" s="637">
        <f>transport!F58</f>
        <v>0</v>
      </c>
      <c r="H49" s="637">
        <f>transport!G58</f>
        <v>228.7625247872972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232.65011578413507</v>
      </c>
    </row>
    <row r="50" spans="1:18">
      <c r="A50" s="773" t="s">
        <v>294</v>
      </c>
      <c r="B50" s="783"/>
      <c r="C50" s="643">
        <f ca="1">transport!B18</f>
        <v>93.78595098768497</v>
      </c>
      <c r="D50" s="643">
        <f>transport!C18</f>
        <v>0</v>
      </c>
      <c r="E50" s="643">
        <f>transport!D18</f>
        <v>95.471737577143571</v>
      </c>
      <c r="F50" s="643">
        <f>transport!E18</f>
        <v>38.100983302441385</v>
      </c>
      <c r="G50" s="643">
        <f>transport!F18</f>
        <v>0</v>
      </c>
      <c r="H50" s="643">
        <f>transport!G18</f>
        <v>16976.663856174939</v>
      </c>
      <c r="I50" s="643">
        <f>transport!H18</f>
        <v>5661.223977643891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22865.2465056861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97.673541984522842</v>
      </c>
      <c r="D52" s="673">
        <f t="shared" ref="D52:Q52" ca="1" si="6">SUM(D48:D51)</f>
        <v>0</v>
      </c>
      <c r="E52" s="673">
        <f t="shared" si="6"/>
        <v>95.471737577143571</v>
      </c>
      <c r="F52" s="673">
        <f t="shared" si="6"/>
        <v>38.100983302441385</v>
      </c>
      <c r="G52" s="673">
        <f t="shared" si="6"/>
        <v>0</v>
      </c>
      <c r="H52" s="673">
        <f t="shared" si="6"/>
        <v>17205.426380962235</v>
      </c>
      <c r="I52" s="673">
        <f t="shared" si="6"/>
        <v>5661.223977643891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23097.896621470234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12.193231433481587</v>
      </c>
      <c r="D54" s="643">
        <f ca="1">+landbouw!C12</f>
        <v>0</v>
      </c>
      <c r="E54" s="643">
        <f>+landbouw!D12</f>
        <v>19.006341781944645</v>
      </c>
      <c r="F54" s="643">
        <f>+landbouw!E12</f>
        <v>0.50090436631781865</v>
      </c>
      <c r="G54" s="643">
        <f>+landbouw!F12</f>
        <v>60.533757964273597</v>
      </c>
      <c r="H54" s="643">
        <f>+landbouw!G12</f>
        <v>0</v>
      </c>
      <c r="I54" s="643">
        <f>+landbouw!H12</f>
        <v>0</v>
      </c>
      <c r="J54" s="643">
        <f>+landbouw!I12</f>
        <v>0</v>
      </c>
      <c r="K54" s="643">
        <f>+landbouw!J12</f>
        <v>5.0279585878933979</v>
      </c>
      <c r="L54" s="643">
        <f>+landbouw!K12</f>
        <v>0</v>
      </c>
      <c r="M54" s="643">
        <f>+landbouw!L12</f>
        <v>0</v>
      </c>
      <c r="N54" s="643">
        <f>+landbouw!M12</f>
        <v>0</v>
      </c>
      <c r="O54" s="643">
        <f>+landbouw!N12</f>
        <v>0</v>
      </c>
      <c r="P54" s="643">
        <f>+landbouw!O12</f>
        <v>0</v>
      </c>
      <c r="Q54" s="644">
        <f>+landbouw!P12</f>
        <v>0</v>
      </c>
      <c r="R54" s="672">
        <f ca="1">SUM(C54:Q54)</f>
        <v>97.262194133911052</v>
      </c>
    </row>
    <row r="55" spans="1:18" ht="15" thickBot="1">
      <c r="A55" s="773" t="s">
        <v>634</v>
      </c>
      <c r="B55" s="783"/>
      <c r="C55" s="643">
        <f ca="1">C25*'EF ele_warmte'!B12</f>
        <v>196.20229187942738</v>
      </c>
      <c r="D55" s="643"/>
      <c r="E55" s="643">
        <f>E25*EF_CO2_aardgas</f>
        <v>335.05253680193613</v>
      </c>
      <c r="F55" s="643"/>
      <c r="G55" s="643"/>
      <c r="H55" s="643"/>
      <c r="I55" s="643"/>
      <c r="J55" s="643"/>
      <c r="K55" s="643"/>
      <c r="L55" s="643"/>
      <c r="M55" s="643"/>
      <c r="N55" s="643"/>
      <c r="O55" s="643"/>
      <c r="P55" s="643"/>
      <c r="Q55" s="644"/>
      <c r="R55" s="672">
        <f ca="1">SUM(C55:Q55)</f>
        <v>531.25482868136351</v>
      </c>
    </row>
    <row r="56" spans="1:18" ht="15.75" thickBot="1">
      <c r="A56" s="771" t="s">
        <v>635</v>
      </c>
      <c r="B56" s="784"/>
      <c r="C56" s="673">
        <f ca="1">SUM(C54:C55)</f>
        <v>208.39552331290898</v>
      </c>
      <c r="D56" s="673">
        <f t="shared" ref="D56:Q56" ca="1" si="7">SUM(D54:D55)</f>
        <v>0</v>
      </c>
      <c r="E56" s="673">
        <f t="shared" si="7"/>
        <v>354.05887858388076</v>
      </c>
      <c r="F56" s="673">
        <f t="shared" si="7"/>
        <v>0.50090436631781865</v>
      </c>
      <c r="G56" s="673">
        <f t="shared" si="7"/>
        <v>60.533757964273597</v>
      </c>
      <c r="H56" s="673">
        <f t="shared" si="7"/>
        <v>0</v>
      </c>
      <c r="I56" s="673">
        <f t="shared" si="7"/>
        <v>0</v>
      </c>
      <c r="J56" s="673">
        <f t="shared" si="7"/>
        <v>0</v>
      </c>
      <c r="K56" s="673">
        <f t="shared" si="7"/>
        <v>5.0279585878933979</v>
      </c>
      <c r="L56" s="673">
        <f t="shared" si="7"/>
        <v>0</v>
      </c>
      <c r="M56" s="673">
        <f t="shared" si="7"/>
        <v>0</v>
      </c>
      <c r="N56" s="673">
        <f t="shared" si="7"/>
        <v>0</v>
      </c>
      <c r="O56" s="673">
        <f t="shared" si="7"/>
        <v>0</v>
      </c>
      <c r="P56" s="673">
        <f t="shared" si="7"/>
        <v>0</v>
      </c>
      <c r="Q56" s="674">
        <f t="shared" si="7"/>
        <v>0</v>
      </c>
      <c r="R56" s="675">
        <f ca="1">SUM(R54:R55)</f>
        <v>628.51702281527457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5662.4433888442554</v>
      </c>
      <c r="D61" s="681">
        <f t="shared" ref="D61:Q61" ca="1" si="8">D46+D52+D56</f>
        <v>0</v>
      </c>
      <c r="E61" s="681">
        <f t="shared" ca="1" si="8"/>
        <v>8300.6019531989332</v>
      </c>
      <c r="F61" s="681">
        <f t="shared" ca="1" si="8"/>
        <v>532.14388802499786</v>
      </c>
      <c r="G61" s="681">
        <f t="shared" ca="1" si="8"/>
        <v>7807.96595262136</v>
      </c>
      <c r="H61" s="681">
        <f t="shared" si="8"/>
        <v>17205.426380962235</v>
      </c>
      <c r="I61" s="681">
        <f t="shared" si="8"/>
        <v>5661.223977643891</v>
      </c>
      <c r="J61" s="681">
        <f t="shared" si="8"/>
        <v>0</v>
      </c>
      <c r="K61" s="681">
        <f t="shared" si="8"/>
        <v>66.987491481234272</v>
      </c>
      <c r="L61" s="681">
        <f t="shared" si="8"/>
        <v>0</v>
      </c>
      <c r="M61" s="681">
        <f t="shared" ca="1" si="8"/>
        <v>0</v>
      </c>
      <c r="N61" s="681">
        <f t="shared" si="8"/>
        <v>0</v>
      </c>
      <c r="O61" s="681">
        <f t="shared" ca="1" si="8"/>
        <v>0</v>
      </c>
      <c r="P61" s="681">
        <f t="shared" si="8"/>
        <v>0</v>
      </c>
      <c r="Q61" s="681">
        <f t="shared" si="8"/>
        <v>0</v>
      </c>
      <c r="R61" s="681">
        <f ca="1">R46+R52+R56</f>
        <v>45236.793032776899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0.18633616420788029</v>
      </c>
      <c r="D63" s="727">
        <f t="shared" ca="1" si="9"/>
        <v>0</v>
      </c>
      <c r="E63" s="916">
        <f t="shared" ca="1" si="9"/>
        <v>0.20199999999999999</v>
      </c>
      <c r="F63" s="727">
        <f t="shared" ca="1" si="9"/>
        <v>0.22699999999999998</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4766.406377863761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4766.406377863761</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21442.670801619061</v>
      </c>
      <c r="C4" s="443">
        <f>huishoudens!C8</f>
        <v>0</v>
      </c>
      <c r="D4" s="443">
        <f>huishoudens!D8</f>
        <v>32236.163608082647</v>
      </c>
      <c r="E4" s="443">
        <f>huishoudens!E8</f>
        <v>2157.9814210597087</v>
      </c>
      <c r="F4" s="443">
        <f>huishoudens!F8</f>
        <v>27338.470488093186</v>
      </c>
      <c r="G4" s="443">
        <f>huishoudens!G8</f>
        <v>0</v>
      </c>
      <c r="H4" s="443">
        <f>huishoudens!H8</f>
        <v>0</v>
      </c>
      <c r="I4" s="443">
        <f>huishoudens!I8</f>
        <v>0</v>
      </c>
      <c r="J4" s="443">
        <f>huishoudens!J8</f>
        <v>174.98196450355161</v>
      </c>
      <c r="K4" s="443">
        <f>huishoudens!K8</f>
        <v>0</v>
      </c>
      <c r="L4" s="443">
        <f>huishoudens!L8</f>
        <v>0</v>
      </c>
      <c r="M4" s="443">
        <f>huishoudens!M8</f>
        <v>0</v>
      </c>
      <c r="N4" s="443">
        <f>huishoudens!N8</f>
        <v>5870.2091774016517</v>
      </c>
      <c r="O4" s="443">
        <f>huishoudens!O8</f>
        <v>273.78623427541038</v>
      </c>
      <c r="P4" s="444">
        <f>huishoudens!P8</f>
        <v>1074.4638493838725</v>
      </c>
      <c r="Q4" s="445">
        <f>SUM(B4:P4)</f>
        <v>90568.727544419089</v>
      </c>
    </row>
    <row r="5" spans="1:17">
      <c r="A5" s="442" t="s">
        <v>149</v>
      </c>
      <c r="B5" s="443">
        <f ca="1">tertiair!B16</f>
        <v>6004.590718988462</v>
      </c>
      <c r="C5" s="443">
        <f ca="1">tertiair!C16</f>
        <v>0</v>
      </c>
      <c r="D5" s="443">
        <f ca="1">tertiair!D16</f>
        <v>6161.0824159075801</v>
      </c>
      <c r="E5" s="443">
        <f ca="1">tertiair!E16</f>
        <v>13.146489828186027</v>
      </c>
      <c r="F5" s="443">
        <f ca="1">tertiair!F16</f>
        <v>1286.7583538305246</v>
      </c>
      <c r="G5" s="443">
        <f>tertiair!G16</f>
        <v>0</v>
      </c>
      <c r="H5" s="443">
        <f>tertiair!H16</f>
        <v>0</v>
      </c>
      <c r="I5" s="443">
        <f>tertiair!I16</f>
        <v>0</v>
      </c>
      <c r="J5" s="443">
        <f>tertiair!J16</f>
        <v>1.1383235790995132E-2</v>
      </c>
      <c r="K5" s="443">
        <f>tertiair!K16</f>
        <v>0</v>
      </c>
      <c r="L5" s="443">
        <f ca="1">tertiair!L16</f>
        <v>0</v>
      </c>
      <c r="M5" s="443">
        <f>tertiair!M16</f>
        <v>0</v>
      </c>
      <c r="N5" s="443">
        <f ca="1">tertiair!N16</f>
        <v>429.45474304603874</v>
      </c>
      <c r="O5" s="443">
        <f>tertiair!O16</f>
        <v>14.691782297523464</v>
      </c>
      <c r="P5" s="444">
        <f>tertiair!P16</f>
        <v>52.539138306495019</v>
      </c>
      <c r="Q5" s="442">
        <f t="shared" ref="Q5:Q14" ca="1" si="0">SUM(B5:P5)</f>
        <v>13962.2750254406</v>
      </c>
    </row>
    <row r="6" spans="1:17">
      <c r="A6" s="442" t="s">
        <v>187</v>
      </c>
      <c r="B6" s="443">
        <f>'openbare verlichting'!B8</f>
        <v>670.90293276064995</v>
      </c>
      <c r="C6" s="443"/>
      <c r="D6" s="443"/>
      <c r="E6" s="443"/>
      <c r="F6" s="443"/>
      <c r="G6" s="443"/>
      <c r="H6" s="443"/>
      <c r="I6" s="443"/>
      <c r="J6" s="443"/>
      <c r="K6" s="443"/>
      <c r="L6" s="443"/>
      <c r="M6" s="443"/>
      <c r="N6" s="443"/>
      <c r="O6" s="443"/>
      <c r="P6" s="444"/>
      <c r="Q6" s="442">
        <f t="shared" si="0"/>
        <v>670.90293276064995</v>
      </c>
    </row>
    <row r="7" spans="1:17">
      <c r="A7" s="442" t="s">
        <v>105</v>
      </c>
      <c r="B7" s="443">
        <f>landbouw!B8</f>
        <v>65.436741629384301</v>
      </c>
      <c r="C7" s="443">
        <f>landbouw!C8</f>
        <v>0</v>
      </c>
      <c r="D7" s="443">
        <f>landbouw!D8</f>
        <v>94.090800900716062</v>
      </c>
      <c r="E7" s="443">
        <f>landbouw!E8</f>
        <v>2.2066271643956767</v>
      </c>
      <c r="F7" s="443">
        <f>landbouw!F8</f>
        <v>226.71819462274755</v>
      </c>
      <c r="G7" s="443">
        <f>landbouw!G8</f>
        <v>0</v>
      </c>
      <c r="H7" s="443">
        <f>landbouw!H8</f>
        <v>0</v>
      </c>
      <c r="I7" s="443">
        <f>landbouw!I8</f>
        <v>0</v>
      </c>
      <c r="J7" s="443">
        <f>landbouw!J8</f>
        <v>14.203272847156491</v>
      </c>
      <c r="K7" s="443">
        <f>landbouw!K8</f>
        <v>0</v>
      </c>
      <c r="L7" s="443">
        <f>landbouw!L8</f>
        <v>0</v>
      </c>
      <c r="M7" s="443">
        <f>landbouw!M8</f>
        <v>0</v>
      </c>
      <c r="N7" s="443">
        <f>landbouw!N8</f>
        <v>0</v>
      </c>
      <c r="O7" s="443">
        <f>landbouw!O8</f>
        <v>0</v>
      </c>
      <c r="P7" s="444">
        <f>landbouw!P8</f>
        <v>0</v>
      </c>
      <c r="Q7" s="442">
        <f t="shared" si="0"/>
        <v>402.65563716440005</v>
      </c>
    </row>
    <row r="8" spans="1:17">
      <c r="A8" s="442" t="s">
        <v>569</v>
      </c>
      <c r="B8" s="443">
        <f>industrie!B18</f>
        <v>627.59376440402116</v>
      </c>
      <c r="C8" s="443">
        <f>industrie!C18</f>
        <v>0</v>
      </c>
      <c r="D8" s="443">
        <f>industrie!D18</f>
        <v>469.44376332615599</v>
      </c>
      <c r="E8" s="443">
        <f>industrie!E18</f>
        <v>3.0659232805574259</v>
      </c>
      <c r="F8" s="443">
        <f>industrie!F18</f>
        <v>391.371138065374</v>
      </c>
      <c r="G8" s="443">
        <f>industrie!G18</f>
        <v>0</v>
      </c>
      <c r="H8" s="443">
        <f>industrie!H18</f>
        <v>0</v>
      </c>
      <c r="I8" s="443">
        <f>industrie!I18</f>
        <v>0</v>
      </c>
      <c r="J8" s="443">
        <f>industrie!J18</f>
        <v>3.3581337891495977E-2</v>
      </c>
      <c r="K8" s="443">
        <f>industrie!K18</f>
        <v>0</v>
      </c>
      <c r="L8" s="443">
        <f>industrie!L18</f>
        <v>0</v>
      </c>
      <c r="M8" s="443">
        <f>industrie!M18</f>
        <v>0</v>
      </c>
      <c r="N8" s="443">
        <f>industrie!N18</f>
        <v>24.474680066998726</v>
      </c>
      <c r="O8" s="443">
        <f>industrie!O18</f>
        <v>0</v>
      </c>
      <c r="P8" s="444">
        <f>industrie!P18</f>
        <v>0</v>
      </c>
      <c r="Q8" s="442">
        <f t="shared" si="0"/>
        <v>1515.9828504809986</v>
      </c>
    </row>
    <row r="9" spans="1:17" s="448" customFormat="1">
      <c r="A9" s="446" t="s">
        <v>521</v>
      </c>
      <c r="B9" s="447">
        <f>transport!B14</f>
        <v>503.31588280982072</v>
      </c>
      <c r="C9" s="447">
        <f>transport!C14</f>
        <v>0</v>
      </c>
      <c r="D9" s="447">
        <f>transport!D14</f>
        <v>472.632364243285</v>
      </c>
      <c r="E9" s="447">
        <f>transport!E14</f>
        <v>167.84574142044661</v>
      </c>
      <c r="F9" s="447">
        <f>transport!F14</f>
        <v>0</v>
      </c>
      <c r="G9" s="447">
        <f>transport!G14</f>
        <v>63583.010697284408</v>
      </c>
      <c r="H9" s="447">
        <f>transport!H14</f>
        <v>22735.839267646148</v>
      </c>
      <c r="I9" s="447">
        <f>transport!I14</f>
        <v>0</v>
      </c>
      <c r="J9" s="447">
        <f>transport!J14</f>
        <v>0</v>
      </c>
      <c r="K9" s="447">
        <f>transport!K14</f>
        <v>0</v>
      </c>
      <c r="L9" s="447">
        <f>transport!L14</f>
        <v>0</v>
      </c>
      <c r="M9" s="447">
        <f>transport!M14</f>
        <v>9073.7747045334054</v>
      </c>
      <c r="N9" s="447">
        <f>transport!N14</f>
        <v>0</v>
      </c>
      <c r="O9" s="447">
        <f>transport!O14</f>
        <v>0</v>
      </c>
      <c r="P9" s="447">
        <f>transport!P14</f>
        <v>0</v>
      </c>
      <c r="Q9" s="446">
        <f>SUM(B9:P9)</f>
        <v>96536.418657937524</v>
      </c>
    </row>
    <row r="10" spans="1:17">
      <c r="A10" s="442" t="s">
        <v>511</v>
      </c>
      <c r="B10" s="443">
        <f>transport!B54</f>
        <v>20.863319867960758</v>
      </c>
      <c r="C10" s="443">
        <f>transport!C54</f>
        <v>0</v>
      </c>
      <c r="D10" s="443">
        <f>transport!D54</f>
        <v>0</v>
      </c>
      <c r="E10" s="443">
        <f>transport!E54</f>
        <v>0</v>
      </c>
      <c r="F10" s="443">
        <f>transport!F54</f>
        <v>0</v>
      </c>
      <c r="G10" s="443">
        <f>transport!G54</f>
        <v>856.78848234942768</v>
      </c>
      <c r="H10" s="443">
        <f>transport!H54</f>
        <v>0</v>
      </c>
      <c r="I10" s="443">
        <f>transport!I54</f>
        <v>0</v>
      </c>
      <c r="J10" s="443">
        <f>transport!J54</f>
        <v>0</v>
      </c>
      <c r="K10" s="443">
        <f>transport!K54</f>
        <v>0</v>
      </c>
      <c r="L10" s="443">
        <f>transport!L54</f>
        <v>0</v>
      </c>
      <c r="M10" s="443">
        <f>transport!M54</f>
        <v>95.907949827223462</v>
      </c>
      <c r="N10" s="443">
        <f>transport!N54</f>
        <v>0</v>
      </c>
      <c r="O10" s="443">
        <f>transport!O54</f>
        <v>0</v>
      </c>
      <c r="P10" s="444">
        <f>transport!P54</f>
        <v>0</v>
      </c>
      <c r="Q10" s="442">
        <f t="shared" si="0"/>
        <v>973.55975204461186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1052.9480024099898</v>
      </c>
      <c r="C14" s="450"/>
      <c r="D14" s="450">
        <f>'SEAP template'!E25</f>
        <v>1658.6759247620598</v>
      </c>
      <c r="E14" s="450"/>
      <c r="F14" s="450"/>
      <c r="G14" s="450"/>
      <c r="H14" s="450"/>
      <c r="I14" s="450"/>
      <c r="J14" s="450"/>
      <c r="K14" s="450"/>
      <c r="L14" s="450"/>
      <c r="M14" s="450"/>
      <c r="N14" s="450"/>
      <c r="O14" s="450"/>
      <c r="P14" s="451"/>
      <c r="Q14" s="442">
        <f t="shared" si="0"/>
        <v>2711.6239271720497</v>
      </c>
    </row>
    <row r="15" spans="1:17" s="454" customFormat="1">
      <c r="A15" s="452" t="s">
        <v>515</v>
      </c>
      <c r="B15" s="453">
        <f ca="1">SUM(B4:B14)</f>
        <v>30388.322164489346</v>
      </c>
      <c r="C15" s="453">
        <f t="shared" ref="C15:Q15" ca="1" si="1">SUM(C4:C14)</f>
        <v>0</v>
      </c>
      <c r="D15" s="453">
        <f t="shared" ca="1" si="1"/>
        <v>41092.088877222443</v>
      </c>
      <c r="E15" s="453">
        <f t="shared" ca="1" si="1"/>
        <v>2344.2462027532947</v>
      </c>
      <c r="F15" s="453">
        <f t="shared" ca="1" si="1"/>
        <v>29243.318174611832</v>
      </c>
      <c r="G15" s="453">
        <f t="shared" si="1"/>
        <v>64439.799179633832</v>
      </c>
      <c r="H15" s="453">
        <f t="shared" si="1"/>
        <v>22735.839267646148</v>
      </c>
      <c r="I15" s="453">
        <f t="shared" si="1"/>
        <v>0</v>
      </c>
      <c r="J15" s="453">
        <f t="shared" si="1"/>
        <v>189.23020192439057</v>
      </c>
      <c r="K15" s="453">
        <f t="shared" si="1"/>
        <v>0</v>
      </c>
      <c r="L15" s="453">
        <f t="shared" ca="1" si="1"/>
        <v>0</v>
      </c>
      <c r="M15" s="453">
        <f t="shared" si="1"/>
        <v>9169.6826543606294</v>
      </c>
      <c r="N15" s="453">
        <f t="shared" ca="1" si="1"/>
        <v>6324.1386005146896</v>
      </c>
      <c r="O15" s="453">
        <f t="shared" si="1"/>
        <v>288.47801657293383</v>
      </c>
      <c r="P15" s="453">
        <f t="shared" si="1"/>
        <v>1127.0029876903675</v>
      </c>
      <c r="Q15" s="453">
        <f t="shared" ca="1" si="1"/>
        <v>207342.1463274199</v>
      </c>
    </row>
    <row r="17" spans="1:17">
      <c r="A17" s="455" t="s">
        <v>516</v>
      </c>
      <c r="B17" s="732">
        <f ca="1">huishoudens!B10</f>
        <v>0.18633616420788027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3995.5450275460089</v>
      </c>
      <c r="C22" s="443">
        <f t="shared" ref="C22:C32" ca="1" si="3">C4*$C$17</f>
        <v>0</v>
      </c>
      <c r="D22" s="443">
        <f t="shared" ref="D22:D32" si="4">D4*$D$17</f>
        <v>6511.705048832695</v>
      </c>
      <c r="E22" s="443">
        <f t="shared" ref="E22:E32" si="5">E4*$E$17</f>
        <v>489.86178258055389</v>
      </c>
      <c r="F22" s="443">
        <f t="shared" ref="F22:F32" si="6">F4*$F$17</f>
        <v>7299.3716203208814</v>
      </c>
      <c r="G22" s="443">
        <f t="shared" ref="G22:G32" si="7">G4*$G$17</f>
        <v>0</v>
      </c>
      <c r="H22" s="443">
        <f t="shared" ref="H22:H32" si="8">H4*$H$17</f>
        <v>0</v>
      </c>
      <c r="I22" s="443">
        <f t="shared" ref="I22:I32" si="9">I4*$I$17</f>
        <v>0</v>
      </c>
      <c r="J22" s="443">
        <f t="shared" ref="J22:J32" si="10">J4*$J$17</f>
        <v>61.943615434257268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18358.427094714396</v>
      </c>
    </row>
    <row r="23" spans="1:17">
      <c r="A23" s="442" t="s">
        <v>149</v>
      </c>
      <c r="B23" s="443">
        <f t="shared" ca="1" si="2"/>
        <v>1118.8724022145479</v>
      </c>
      <c r="C23" s="443">
        <f t="shared" ca="1" si="3"/>
        <v>0</v>
      </c>
      <c r="D23" s="443">
        <f t="shared" ca="1" si="4"/>
        <v>1244.5386480133313</v>
      </c>
      <c r="E23" s="443">
        <f t="shared" ca="1" si="5"/>
        <v>2.9842531909982282</v>
      </c>
      <c r="F23" s="443">
        <f t="shared" ca="1" si="6"/>
        <v>343.56448047275006</v>
      </c>
      <c r="G23" s="443">
        <f t="shared" si="7"/>
        <v>0</v>
      </c>
      <c r="H23" s="443">
        <f t="shared" si="8"/>
        <v>0</v>
      </c>
      <c r="I23" s="443">
        <f t="shared" si="9"/>
        <v>0</v>
      </c>
      <c r="J23" s="443">
        <f t="shared" si="10"/>
        <v>4.0296654700122765E-3</v>
      </c>
      <c r="K23" s="443">
        <f t="shared" si="11"/>
        <v>0</v>
      </c>
      <c r="L23" s="443">
        <f t="shared" ca="1" si="12"/>
        <v>0</v>
      </c>
      <c r="M23" s="443">
        <f t="shared" si="13"/>
        <v>0</v>
      </c>
      <c r="N23" s="443">
        <f t="shared" ca="1" si="14"/>
        <v>0</v>
      </c>
      <c r="O23" s="443">
        <f t="shared" si="15"/>
        <v>0</v>
      </c>
      <c r="P23" s="444">
        <f t="shared" si="16"/>
        <v>0</v>
      </c>
      <c r="Q23" s="442">
        <f t="shared" ref="Q23:Q31" ca="1" si="17">SUM(B23:P23)</f>
        <v>2709.9638135570972</v>
      </c>
    </row>
    <row r="24" spans="1:17">
      <c r="A24" s="442" t="s">
        <v>187</v>
      </c>
      <c r="B24" s="443">
        <f t="shared" ca="1" si="2"/>
        <v>125.01347904643693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125.01347904643693</v>
      </c>
    </row>
    <row r="25" spans="1:17">
      <c r="A25" s="442" t="s">
        <v>105</v>
      </c>
      <c r="B25" s="443">
        <f t="shared" ca="1" si="2"/>
        <v>12.193231433481587</v>
      </c>
      <c r="C25" s="443">
        <f t="shared" ca="1" si="3"/>
        <v>0</v>
      </c>
      <c r="D25" s="443">
        <f t="shared" si="4"/>
        <v>19.006341781944645</v>
      </c>
      <c r="E25" s="443">
        <f t="shared" si="5"/>
        <v>0.50090436631781865</v>
      </c>
      <c r="F25" s="443">
        <f t="shared" si="6"/>
        <v>60.533757964273597</v>
      </c>
      <c r="G25" s="443">
        <f t="shared" si="7"/>
        <v>0</v>
      </c>
      <c r="H25" s="443">
        <f t="shared" si="8"/>
        <v>0</v>
      </c>
      <c r="I25" s="443">
        <f t="shared" si="9"/>
        <v>0</v>
      </c>
      <c r="J25" s="443">
        <f t="shared" si="10"/>
        <v>5.0279585878933979</v>
      </c>
      <c r="K25" s="443">
        <f t="shared" si="11"/>
        <v>0</v>
      </c>
      <c r="L25" s="443">
        <f t="shared" si="12"/>
        <v>0</v>
      </c>
      <c r="M25" s="443">
        <f t="shared" si="13"/>
        <v>0</v>
      </c>
      <c r="N25" s="443">
        <f t="shared" si="14"/>
        <v>0</v>
      </c>
      <c r="O25" s="443">
        <f t="shared" si="15"/>
        <v>0</v>
      </c>
      <c r="P25" s="444">
        <f t="shared" si="16"/>
        <v>0</v>
      </c>
      <c r="Q25" s="442">
        <f t="shared" ca="1" si="17"/>
        <v>97.262194133911052</v>
      </c>
    </row>
    <row r="26" spans="1:17">
      <c r="A26" s="442" t="s">
        <v>569</v>
      </c>
      <c r="B26" s="443">
        <f t="shared" ca="1" si="2"/>
        <v>116.94341473982941</v>
      </c>
      <c r="C26" s="443">
        <f t="shared" ca="1" si="3"/>
        <v>0</v>
      </c>
      <c r="D26" s="443">
        <f t="shared" si="4"/>
        <v>94.827640191883518</v>
      </c>
      <c r="E26" s="443">
        <f t="shared" si="5"/>
        <v>0.69596458468653566</v>
      </c>
      <c r="F26" s="443">
        <f t="shared" si="6"/>
        <v>104.49609386345486</v>
      </c>
      <c r="G26" s="443">
        <f t="shared" si="7"/>
        <v>0</v>
      </c>
      <c r="H26" s="443">
        <f t="shared" si="8"/>
        <v>0</v>
      </c>
      <c r="I26" s="443">
        <f t="shared" si="9"/>
        <v>0</v>
      </c>
      <c r="J26" s="443">
        <f t="shared" si="10"/>
        <v>1.1887793613589576E-2</v>
      </c>
      <c r="K26" s="443">
        <f t="shared" si="11"/>
        <v>0</v>
      </c>
      <c r="L26" s="443">
        <f t="shared" si="12"/>
        <v>0</v>
      </c>
      <c r="M26" s="443">
        <f t="shared" si="13"/>
        <v>0</v>
      </c>
      <c r="N26" s="443">
        <f t="shared" si="14"/>
        <v>0</v>
      </c>
      <c r="O26" s="443">
        <f t="shared" si="15"/>
        <v>0</v>
      </c>
      <c r="P26" s="444">
        <f t="shared" si="16"/>
        <v>0</v>
      </c>
      <c r="Q26" s="442">
        <f t="shared" ca="1" si="17"/>
        <v>316.97500117346789</v>
      </c>
    </row>
    <row r="27" spans="1:17" s="448" customFormat="1">
      <c r="A27" s="446" t="s">
        <v>521</v>
      </c>
      <c r="B27" s="726">
        <f t="shared" ca="1" si="2"/>
        <v>93.78595098768497</v>
      </c>
      <c r="C27" s="447">
        <f t="shared" ca="1" si="3"/>
        <v>0</v>
      </c>
      <c r="D27" s="447">
        <f t="shared" si="4"/>
        <v>95.471737577143571</v>
      </c>
      <c r="E27" s="447">
        <f t="shared" si="5"/>
        <v>38.100983302441385</v>
      </c>
      <c r="F27" s="447">
        <f t="shared" si="6"/>
        <v>0</v>
      </c>
      <c r="G27" s="447">
        <f t="shared" si="7"/>
        <v>16976.663856174939</v>
      </c>
      <c r="H27" s="447">
        <f t="shared" si="8"/>
        <v>5661.223977643891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22865.2465056861</v>
      </c>
    </row>
    <row r="28" spans="1:17" ht="16.5" customHeight="1">
      <c r="A28" s="442" t="s">
        <v>511</v>
      </c>
      <c r="B28" s="443">
        <f t="shared" ca="1" si="2"/>
        <v>3.8875909968378668</v>
      </c>
      <c r="C28" s="443">
        <f t="shared" ca="1" si="3"/>
        <v>0</v>
      </c>
      <c r="D28" s="443">
        <f t="shared" si="4"/>
        <v>0</v>
      </c>
      <c r="E28" s="443">
        <f t="shared" si="5"/>
        <v>0</v>
      </c>
      <c r="F28" s="443">
        <f t="shared" si="6"/>
        <v>0</v>
      </c>
      <c r="G28" s="443">
        <f t="shared" si="7"/>
        <v>228.7625247872972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232.65011578413507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196.20229187942738</v>
      </c>
      <c r="C32" s="443">
        <f t="shared" ca="1" si="3"/>
        <v>0</v>
      </c>
      <c r="D32" s="443">
        <f t="shared" si="4"/>
        <v>335.05253680193613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531.25482868136351</v>
      </c>
    </row>
    <row r="33" spans="1:17" s="454" customFormat="1">
      <c r="A33" s="452" t="s">
        <v>515</v>
      </c>
      <c r="B33" s="453">
        <f ca="1">SUM(B22:B32)</f>
        <v>5662.4433888442563</v>
      </c>
      <c r="C33" s="453">
        <f t="shared" ref="C33:Q33" ca="1" si="19">SUM(C22:C32)</f>
        <v>0</v>
      </c>
      <c r="D33" s="453">
        <f t="shared" ca="1" si="19"/>
        <v>8300.6019531989332</v>
      </c>
      <c r="E33" s="453">
        <f t="shared" ca="1" si="19"/>
        <v>532.14388802499786</v>
      </c>
      <c r="F33" s="453">
        <f t="shared" ca="1" si="19"/>
        <v>7807.96595262136</v>
      </c>
      <c r="G33" s="453">
        <f t="shared" si="19"/>
        <v>17205.426380962235</v>
      </c>
      <c r="H33" s="453">
        <f t="shared" si="19"/>
        <v>5661.223977643891</v>
      </c>
      <c r="I33" s="453">
        <f t="shared" si="19"/>
        <v>0</v>
      </c>
      <c r="J33" s="453">
        <f t="shared" si="19"/>
        <v>66.987491481234272</v>
      </c>
      <c r="K33" s="453">
        <f t="shared" si="19"/>
        <v>0</v>
      </c>
      <c r="L33" s="453">
        <f t="shared" ca="1" si="19"/>
        <v>0</v>
      </c>
      <c r="M33" s="453">
        <f t="shared" si="19"/>
        <v>0</v>
      </c>
      <c r="N33" s="453">
        <f t="shared" ca="1" si="19"/>
        <v>0</v>
      </c>
      <c r="O33" s="453">
        <f t="shared" si="19"/>
        <v>0</v>
      </c>
      <c r="P33" s="453">
        <f t="shared" si="19"/>
        <v>0</v>
      </c>
      <c r="Q33" s="453">
        <f t="shared" ca="1" si="19"/>
        <v>45236.793032776899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4766.406377863761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4766.406377863761</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0.18633616420788027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0.18633616420788027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2022-10-04T13:56:34Z</dcterms:modified>
</cp:coreProperties>
</file>