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1D5BB19-AB83-4A4E-A2B6-385FD1E2282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<sst xmlns="http://schemas.openxmlformats.org/spreadsheetml/2006/main" count="2405" uniqueCount="883">
  <si>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</si>
  <si>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</si>
  <si>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</si>
  <si>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</si>
  <si>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</si>
  <si>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</si>
  <si>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</si>
  <si>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</si>
  <si>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</si>
  <si>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</si>
  <si>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</si>
  <si>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</si>
  <si>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</si>
  <si>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</si>
  <si>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</si>
  <si>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</si>
  <si>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</si>
  <si>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</si>
  <si>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</si>
  <si>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</si>
  <si>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</si>
  <si>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</si>
  <si>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</si>
  <si>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</si>
  <si>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</si>
  <si>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</si>
  <si>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</si>
  <si>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</si>
  <si>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</si>
  <si>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</si>
  <si>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</si>
  <si>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</si>
  <si>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</si>
  <si>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</si>
  <si>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</si>
  <si>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</si>
  <si>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</si>
  <si>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</si>
  <si>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</si>
  <si>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</si>
  <si>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</si>
  <si>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</si>
  <si>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</si>
  <si>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</si>
  <si>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</si>
  <si>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</si>
  <si>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</si>
  <si>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</si>
  <si>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</si>
  <si>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</si>
  <si>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</si>
  <si>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</si>
  <si>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</si>
  <si>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</si>
  <si>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</si>
  <si>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</si>
  <si>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</si>
  <si>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</si>
  <si>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</si>
  <si>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</si>
  <si>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</si>
  <si>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</si>
  <si>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</si>
  <si>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</si>
  <si>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</si>
  <si>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</si>
  <si>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</si>
  <si>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</si>
  <si>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</si>
  <si>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</si>
  <si>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</si>
  <si>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</si>
  <si>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</si>
  <si>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</si>
  <si>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</si>
  <si>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</si>
  <si>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</si>
  <si>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</si>
  <si>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</si>
  <si>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</si>
  <si>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</si>
  <si>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</si>
  <si>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</si>
  <si>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</si>
  <si>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</si>
  <si>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</si>
  <si>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</si>
  <si>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</si>
  <si>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</si>
  <si>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</si>
  <si>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</si>
  <si>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</si>
  <si>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</si>
  <si>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</si>
  <si>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</si>
  <si>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</si>
  <si>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</si>
  <si>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</si>
  <si>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</si>
  <si>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</si>
  <si>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</si>
  <si>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</si>
  <si>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</si>
  <si>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</si>
  <si>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</si>
  <si>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</si>
  <si>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</si>
  <si>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</si>
  <si>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</si>
  <si>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</si>
  <si>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</si>
  <si>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</si>
  <si>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</si>
  <si>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</si>
  <si>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</si>
  <si>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</si>
  <si>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</si>
  <si>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</si>
  <si>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</si>
  <si>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</si>
  <si>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</si>
  <si>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</si>
  <si>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</si>
  <si>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</si>
  <si>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</si>
  <si>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</si>
  <si>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</si>
  <si>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</si>
  <si>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</si>
  <si>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</si>
  <si>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</si>
  <si>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</si>
  <si>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</si>
  <si>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</si>
  <si>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</si>
  <si>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</si>
  <si>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</si>
  <si>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</si>
  <si>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</si>
  <si>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</si>
  <si>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</si>
  <si>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</si>
  <si>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</si>
  <si>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</si>
  <si>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</si>
  <si>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</si>
  <si>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</si>
  <si>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</si>
  <si>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</si>
  <si>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</si>
  <si>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</si>
  <si>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</si>
  <si>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</si>
  <si>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</si>
  <si>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</si>
  <si>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</si>
  <si>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</si>
  <si>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</si>
  <si>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</si>
  <si>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</si>
  <si>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</si>
  <si>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</si>
  <si>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</si>
  <si>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</si>
  <si>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</si>
  <si>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</si>
  <si>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</si>
  <si>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</si>
  <si>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</si>
  <si>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</si>
  <si>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</si>
  <si>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</si>
  <si>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</si>
  <si>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</si>
  <si>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</si>
  <si>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</si>
  <si>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</si>
  <si>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</si>
  <si>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</si>
  <si>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</si>
  <si>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</si>
  <si>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</si>
  <si>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</si>
  <si>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</si>
  <si>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</si>
  <si>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</si>
  <si>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</si>
  <si>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</si>
  <si>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</si>
  <si>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</si>
  <si>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</si>
  <si>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</si>
  <si>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</si>
  <si>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</si>
  <si>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</si>
  <si>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</si>
  <si>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</si>
  <si>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</si>
  <si>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</si>
  <si>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</si>
  <si>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</si>
  <si>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</si>
  <si>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</si>
  <si>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</si>
  <si>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</si>
  <si>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</si>
  <si>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</si>
  <si>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</si>
  <si>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</si>
  <si>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</si>
  <si>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</si>
  <si>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</si>
  <si>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</si>
  <si>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</si>
  <si>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</si>
  <si>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</si>
  <si>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</si>
  <si>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</si>
  <si>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</si>
  <si>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</si>
  <si>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</si>
  <si>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</si>
  <si>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</si>
  <si>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</si>
  <si>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</si>
  <si>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</si>
  <si>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</si>
  <si>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</si>
  <si>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</si>
  <si>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</si>
  <si>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</si>
  <si>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</si>
  <si>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</si>
  <si>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</si>
  <si>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</si>
  <si>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</si>
  <si>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</si>
  <si>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</si>
  <si>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</si>
  <si>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</si>
  <si>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</si>
  <si>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</si>
  <si>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</si>
  <si>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</si>
  <si>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</si>
  <si>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</si>
  <si>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</si>
  <si>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</si>
  <si>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</si>
  <si>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</si>
  <si>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</si>
  <si>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</si>
  <si>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</si>
  <si>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</si>
  <si>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</si>
  <si>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</si>
  <si>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</si>
  <si>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</si>
  <si>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</si>
  <si>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</si>
  <si>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</si>
  <si>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</si>
  <si>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</si>
  <si>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</si>
  <si>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</si>
  <si>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</si>
  <si>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</si>
  <si>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</si>
  <si>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</si>
  <si>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</si>
  <si>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</si>
  <si>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</si>
  <si>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</si>
  <si>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</si>
  <si>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</si>
  <si>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</si>
  <si>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</si>
  <si>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</si>
  <si>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</si>
  <si>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</si>
  <si>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</si>
  <si>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</si>
  <si>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</si>
  <si>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</si>
  <si>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</si>
  <si>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</si>
  <si>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</si>
  <si>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</si>
  <si>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</si>
  <si>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</si>
  <si>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</si>
  <si>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</si>
  <si>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</si>
  <si>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</si>
  <si>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</si>
  <si>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</si>
  <si>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</si>
  <si>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</si>
  <si>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</si>
  <si>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</si>
  <si>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</si>
  <si>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</si>
  <si>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</si>
  <si>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</si>
  <si>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</si>
  <si>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</si>
  <si>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</si>
  <si>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</si>
  <si>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</si>
  <si>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</si>
  <si>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</si>
  <si>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</si>
  <si>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</si>
  <si>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</si>
  <si>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</si>
  <si>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</si>
  <si>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</si>
  <si>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</si>
  <si>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</si>
  <si>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</si>
  <si>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</si>
  <si>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</si>
  <si>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</si>
  <si>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</si>
  <si>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</si>
  <si>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</si>
  <si>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</si>
  <si>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</si>
  <si>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</si>
  <si>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</si>
  <si>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</si>
  <si>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</si>
  <si>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</si>
  <si>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</si>
  <si>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</si>
  <si>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</si>
  <si>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</si>
  <si>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</si>
  <si>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</si>
  <si>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</si>
  <si>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</si>
  <si>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</si>
  <si>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</si>
  <si>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</si>
  <si>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</si>
  <si>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</si>
  <si>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</si>
  <si>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</si>
  <si>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</si>
  <si>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</si>
  <si>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</si>
  <si>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</si>
  <si>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</si>
  <si>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</si>
  <si>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</si>
  <si>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</si>
  <si>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</si>
  <si>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</si>
  <si>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</si>
  <si>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</si>
  <si>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</si>
  <si>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</si>
  <si>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</si>
  <si>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</si>
  <si>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</si>
  <si>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</si>
  <si>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</si>
  <si>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</si>
  <si>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</si>
  <si>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</si>
  <si>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</si>
  <si>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</si>
  <si>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</si>
  <si>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</si>
  <si>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</si>
  <si>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</si>
  <si>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</si>
  <si>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</si>
  <si>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</si>
  <si>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</si>
  <si>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</si>
  <si>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</si>
  <si>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</si>
  <si>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</si>
  <si>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</si>
  <si>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</si>
  <si>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</si>
  <si>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</si>
  <si>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</si>
  <si>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</si>
  <si>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</si>
  <si>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</si>
  <si>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</si>
  <si>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</si>
  <si>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</si>
  <si>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</si>
  <si>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</si>
  <si>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</si>
  <si>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</si>
  <si>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</si>
  <si>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</si>
  <si>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</si>
  <si>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</si>
  <si>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</si>
  <si>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</si>
  <si>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</si>
  <si>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</si>
  <si>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</si>
  <si>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</si>
  <si>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</si>
  <si>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</si>
  <si>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</si>
  <si>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</si>
  <si>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</si>
  <si>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</si>
  <si>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</si>
  <si>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</si>
  <si>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</si>
  <si>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</si>
  <si>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</si>
  <si>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</si>
  <si>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</si>
  <si>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</si>
  <si>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</si>
  <si>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</si>
  <si>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</si>
  <si>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</si>
  <si>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</si>
  <si>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</si>
  <si>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</si>
  <si>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</si>
  <si>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</si>
  <si>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</si>
  <si>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</si>
  <si>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</si>
  <si>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</si>
  <si>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</si>
  <si>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</si>
  <si>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</si>
  <si>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</si>
  <si>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</si>
  <si>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</si>
  <si>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</si>
  <si>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</si>
  <si>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</si>
  <si>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</si>
  <si>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</si>
  <si>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</si>
  <si>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</si>
  <si>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</si>
  <si>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</si>
  <si>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</si>
  <si>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</si>
  <si>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</si>
  <si>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</si>
  <si>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</si>
  <si>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</si>
  <si>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</si>
  <si>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</si>
  <si>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</si>
  <si>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</si>
  <si>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</si>
  <si>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</si>
  <si>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</si>
  <si>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</si>
  <si>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</si>
  <si>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</si>
  <si>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</si>
  <si>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</si>
  <si>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</si>
  <si>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</si>
  <si>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</si>
  <si>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</si>
  <si>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</si>
  <si>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</si>
  <si>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</si>
  <si>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</si>
  <si>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</si>
  <si>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</si>
  <si>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</si>
  <si>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</si>
  <si>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</si>
  <si>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</si>
  <si>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</si>
  <si>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</si>
  <si>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</si>
  <si>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</si>
  <si>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</si>
  <si>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</si>
  <si>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</si>
  <si>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</si>
  <si>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</si>
  <si>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</si>
  <si>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</si>
  <si>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</si>
  <si>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</si>
  <si>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</si>
  <si>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</si>
  <si>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</si>
  <si>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</si>
  <si>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</si>
  <si>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</si>
  <si>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</si>
  <si>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</si>
  <si>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</si>
  <si>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</si>
  <si>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</si>
  <si>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</si>
  <si>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</si>
  <si>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</si>
  <si>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</si>
  <si>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</si>
  <si>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</si>
  <si>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</si>
  <si>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</si>
  <si>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</si>
  <si>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</si>
  <si>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</si>
  <si>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</si>
  <si>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</si>
  <si>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</si>
  <si>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</si>
  <si>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</si>
  <si>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</si>
  <si>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</si>
  <si>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</si>
  <si>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</si>
  <si>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</si>
  <si>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</si>
  <si>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</si>
  <si>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</si>
  <si>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</si>
  <si>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</si>
  <si>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</si>
  <si>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</si>
  <si>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</si>
  <si>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</si>
  <si>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</si>
  <si>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</si>
  <si>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</si>
  <si>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</si>
  <si>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</si>
  <si>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</si>
  <si>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</si>
  <si>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</si>
  <si>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</si>
  <si>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</si>
  <si>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</si>
  <si>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</si>
  <si>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</si>
  <si>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</si>
  <si>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</si>
  <si>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</si>
  <si>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</si>
  <si>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</si>
  <si>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</si>
  <si>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</si>
  <si>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</si>
  <si>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</si>
  <si>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</si>
  <si>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</si>
  <si>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</si>
  <si>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</si>
  <si>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</si>
  <si>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</si>
  <si>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</si>
  <si>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</si>
  <si>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</si>
  <si>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</si>
  <si>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</si>
  <si>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</si>
  <si>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</si>
  <si>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</si>
  <si>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</si>
  <si>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</si>
  <si>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</si>
  <si>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</si>
  <si>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</si>
  <si>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</si>
  <si>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</si>
  <si>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</si>
  <si>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</si>
  <si>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</si>
  <si>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</si>
  <si>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</si>
  <si>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</si>
  <si>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</si>
  <si>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</si>
  <si>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</si>
  <si>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</si>
  <si>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</si>
  <si>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</si>
  <si>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</si>
  <si>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</si>
  <si>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</si>
  <si>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</si>
  <si>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</si>
  <si>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</si>
  <si>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</si>
  <si>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</si>
  <si>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</si>
  <si>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</si>
  <si>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</si>
  <si>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</si>
  <si>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</si>
  <si>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</si>
  <si>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</si>
  <si>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</si>
  <si>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</si>
  <si>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</si>
  <si>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</si>
  <si>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</si>
  <si>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</si>
  <si>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</si>
  <si>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</si>
  <si>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</si>
  <si>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</si>
  <si>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</si>
  <si>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</si>
  <si>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</si>
  <si>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</si>
  <si>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</si>
  <si>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</si>
  <si>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</si>
  <si>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</si>
  <si>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</si>
  <si>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</si>
  <si>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</si>
  <si>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</si>
  <si>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</si>
  <si>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</si>
  <si>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</si>
  <si>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</si>
  <si>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</si>
  <si>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</si>
  <si>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</si>
  <si>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</si>
  <si>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</si>
  <si>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</si>
  <si>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</si>
  <si>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</si>
  <si>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</si>
  <si>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</si>
  <si>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</si>
  <si>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</si>
  <si>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</si>
  <si>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</si>
  <si>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</si>
  <si>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</si>
  <si>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</si>
  <si>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</si>
  <si>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</si>
  <si>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</si>
  <si>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</si>
  <si>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</si>
  <si>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</si>
  <si>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</si>
  <si>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</si>
  <si>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</si>
  <si>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</si>
  <si>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</si>
  <si>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</si>
  <si>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</si>
  <si>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</si>
  <si>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</si>
  <si>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</si>
  <si>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</si>
  <si>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</si>
  <si>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</si>
  <si>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</si>
  <si>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</si>
  <si>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</si>
  <si>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</si>
  <si>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</si>
  <si>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</si>
  <si>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</si>
  <si>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</si>
  <si>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</si>
  <si>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</si>
  <si>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</si>
  <si>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</si>
  <si>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</si>
  <si>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</si>
  <si>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</si>
  <si>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</si>
  <si>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</si>
  <si>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</si>
  <si>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</si>
  <si>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</si>
  <si>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</si>
  <si>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</si>
  <si>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</si>
  <si>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</si>
  <si>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</si>
  <si>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</si>
  <si>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</si>
  <si>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</si>
  <si>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</si>
  <si>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</si>
  <si>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</si>
  <si>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</si>
  <si>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</si>
  <si>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</si>
  <si>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</si>
  <si>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</si>
  <si>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</si>
  <si>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</si>
  <si>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</si>
  <si>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</si>
  <si>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</si>
  <si>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</si>
  <si>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</si>
  <si>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</si>
  <si>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</si>
  <si>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</si>
  <si>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</si>
  <si>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</si>
  <si>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</si>
  <si>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</si>
  <si>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</si>
  <si>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</si>
  <si>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</si>
  <si>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</si>
  <si>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</si>
  <si>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</si>
  <si>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</si>
  <si>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</si>
  <si>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</si>
  <si>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</si>
  <si>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</si>
  <si>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</si>
  <si>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</si>
  <si>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</si>
  <si>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</si>
  <si>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</si>
  <si>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</si>
  <si>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</si>
  <si>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</si>
  <si>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</si>
  <si>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</si>
  <si>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</si>
  <si>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</si>
  <si>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</si>
  <si>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</si>
  <si>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</si>
  <si>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</si>
  <si>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</si>
  <si>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</si>
  <si>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</si>
  <si>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</si>
  <si>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</si>
  <si>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</si>
  <si>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</si>
  <si>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</si>
  <si>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</si>
  <si>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</si>
  <si>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</si>
  <si>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</si>
  <si>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</si>
  <si>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</si>
  <si>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</si>
  <si>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</si>
  <si>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</si>
  <si>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</si>
  <si>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</si>
  <si>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</si>
  <si>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</si>
  <si>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</si>
  <si>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</si>
  <si>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</si>
  <si>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</si>
  <si>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</si>
  <si>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</si>
  <si>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</si>
  <si>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</si>
  <si>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</si>
  <si>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</si>
  <si>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</si>
  <si>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</si>
  <si>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</si>
  <si>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</si>
  <si>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</si>
  <si>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</si>
  <si>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</si>
  <si>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</si>
  <si>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</si>
  <si>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</si>
  <si>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</si>
  <si>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</si>
  <si>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</si>
  <si>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</si>
  <si>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</si>
  <si>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</si>
  <si>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</si>
  <si>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</si>
  <si>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</si>
  <si>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</si>
  <si>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</si>
  <si>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</si>
  <si>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</si>
  <si>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</si>
  <si>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</si>
  <si>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</si>
  <si>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</si>
  <si>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</si>
  <si>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</si>
  <si>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</si>
  <si>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</si>
  <si>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</si>
  <si>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</si>
  <si>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</si>
  <si>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</si>
  <si>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</si>
  <si>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</si>
  <si>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</si>
  <si>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</si>
  <si>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</si>
  <si>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</si>
  <si>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</si>
  <si>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</si>
  <si>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</si>
  <si>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</si>
  <si>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</si>
  <si>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</si>
  <si>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</si>
  <si>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</si>
  <si>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</si>
  <si>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</si>
  <si>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</si>
  <si>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</si>
  <si>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</si>
  <si>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</si>
  <si>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</si>
  <si>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</si>
  <si>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</si>
  <si>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</si>
  <si>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</si>
  <si>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</si>
  <si>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</si>
  <si>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</si>
  <si>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</si>
  <si>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</si>
  <si>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</si>
  <si>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</si>
  <si>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</si>
  <si>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</si>
  <si>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</si>
  <si>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</si>
  <si>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</si>
  <si>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</si>
  <si>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</si>
  <si>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</si>
  <si>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</si>
  <si>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</si>
  <si>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</si>
  <si>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</si>
  <si>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</si>
  <si>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</si>
  <si>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</si>
  <si>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</si>
  <si>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</si>
  <si>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</si>
  <si>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</si>
  <si>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</si>
  <si>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</si>
  <si>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</si>
  <si>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</si>
  <si>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</si>
  <si>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</si>
  <si>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</si>
  <si>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</si>
  <si>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</si>
  <si>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</si>
  <si>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</si>
  <si>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</si>
  <si>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</si>
  <si>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</si>
  <si>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</si>
  <si>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</si>
  <si>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</si>
  <si>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24054</t>
  </si>
  <si>
    <t>KORTENAKEN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</si>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</sst>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D1ED699-0054-4231-B310-DE3CA8E0B29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66549.771880359011</c:v>
                </c:pt>
                <c:pt idx="1">
                  <c:v>5959.6799078717695</c:v>
                </c:pt>
                <c:pt idx="2">
                  <c:v>657.35400000000004</c:v>
                </c:pt>
                <c:pt idx="3">
                  <c:v>18458.845427178789</c:v>
                </c:pt>
                <c:pt idx="4">
                  <c:v>3359.3560459245859</c:v>
                </c:pt>
                <c:pt idx="5">
                  <c:v>35678.925518745906</c:v>
                </c:pt>
                <c:pt idx="6">
                  <c:v>598.03231347907558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66549.771880359011</c:v>
                </c:pt>
                <c:pt idx="1">
                  <c:v>5959.6799078717695</c:v>
                </c:pt>
                <c:pt idx="2">
                  <c:v>657.35400000000004</c:v>
                </c:pt>
                <c:pt idx="3">
                  <c:v>18458.845427178789</c:v>
                </c:pt>
                <c:pt idx="4">
                  <c:v>3359.3560459245859</c:v>
                </c:pt>
                <c:pt idx="5">
                  <c:v>35678.925518745906</c:v>
                </c:pt>
                <c:pt idx="6">
                  <c:v>598.03231347907558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14236.821586538461</c:v>
                </c:pt>
                <c:pt idx="1">
                  <c:v>1152.2759764060384</c:v>
                </c:pt>
                <c:pt idx="2">
                  <c:v>121.2848224747856</c:v>
                </c:pt>
                <c:pt idx="3">
                  <c:v>4700.7994136107573</c:v>
                </c:pt>
                <c:pt idx="4">
                  <c:v>583.56016002131378</c:v>
                </c:pt>
                <c:pt idx="5">
                  <c:v>8845.7622598699108</c:v>
                </c:pt>
                <c:pt idx="6">
                  <c:v>150.60052042121845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14236.821586538461</c:v>
                </c:pt>
                <c:pt idx="1">
                  <c:v>1152.2759764060384</c:v>
                </c:pt>
                <c:pt idx="2">
                  <c:v>121.2848224747856</c:v>
                </c:pt>
                <c:pt idx="3">
                  <c:v>4700.7994136107573</c:v>
                </c:pt>
                <c:pt idx="4">
                  <c:v>583.56016002131378</c:v>
                </c:pt>
                <c:pt idx="5">
                  <c:v>8845.7622598699108</c:v>
                </c:pt>
                <c:pt idx="6">
                  <c:v>150.60052042121845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24054</v>
      </c>
      <c r="B6" s="382"/>
      <c r="C6" s="383"/>
    </row>
    <row r="7" spans="1:7" s="380" customFormat="1" ht="15.75" customHeight="1">
      <c r="A7" s="384" t="str">
        <f>txtMunicipality</f>
        <v>KORTENAKEN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0.18450457816455912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0.18450457816455912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3210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3157.84</v>
      </c>
      <c r="C14" s="324"/>
      <c r="D14" s="324"/>
      <c r="E14" s="324"/>
      <c r="F14" s="324"/>
    </row>
    <row r="15" spans="1:6">
      <c r="A15" s="1257" t="s">
        <v>177</v>
      </c>
      <c r="B15" s="1258">
        <v>15</v>
      </c>
      <c r="C15" s="324"/>
      <c r="D15" s="324"/>
      <c r="E15" s="324"/>
      <c r="F15" s="324"/>
    </row>
    <row r="16" spans="1:6">
      <c r="A16" s="1257" t="s">
        <v>6</v>
      </c>
      <c r="B16" s="1258">
        <v>596</v>
      </c>
      <c r="C16" s="324"/>
      <c r="D16" s="324"/>
      <c r="E16" s="324"/>
      <c r="F16" s="324"/>
    </row>
    <row r="17" spans="1:6">
      <c r="A17" s="1257" t="s">
        <v>7</v>
      </c>
      <c r="B17" s="1258">
        <v>675</v>
      </c>
      <c r="C17" s="324"/>
      <c r="D17" s="324"/>
      <c r="E17" s="324"/>
      <c r="F17" s="324"/>
    </row>
    <row r="18" spans="1:6">
      <c r="A18" s="1257" t="s">
        <v>8</v>
      </c>
      <c r="B18" s="1258">
        <v>876</v>
      </c>
      <c r="C18" s="324"/>
      <c r="D18" s="324"/>
      <c r="E18" s="324"/>
      <c r="F18" s="324"/>
    </row>
    <row r="19" spans="1:6">
      <c r="A19" s="1257" t="s">
        <v>9</v>
      </c>
      <c r="B19" s="1258">
        <v>733</v>
      </c>
      <c r="C19" s="324"/>
      <c r="D19" s="324"/>
      <c r="E19" s="324"/>
      <c r="F19" s="324"/>
    </row>
    <row r="20" spans="1:6">
      <c r="A20" s="1257" t="s">
        <v>10</v>
      </c>
      <c r="B20" s="1258">
        <v>385</v>
      </c>
      <c r="C20" s="324"/>
      <c r="D20" s="324"/>
      <c r="E20" s="324"/>
      <c r="F20" s="324"/>
    </row>
    <row r="21" spans="1:6">
      <c r="A21" s="1257" t="s">
        <v>11</v>
      </c>
      <c r="B21" s="1258">
        <v>4072</v>
      </c>
      <c r="C21" s="324"/>
      <c r="D21" s="324"/>
      <c r="E21" s="324"/>
      <c r="F21" s="324"/>
    </row>
    <row r="22" spans="1:6">
      <c r="A22" s="1257" t="s">
        <v>12</v>
      </c>
      <c r="B22" s="1258">
        <v>8946</v>
      </c>
      <c r="C22" s="324"/>
      <c r="D22" s="324"/>
      <c r="E22" s="324"/>
      <c r="F22" s="324"/>
    </row>
    <row r="23" spans="1:6">
      <c r="A23" s="1257" t="s">
        <v>13</v>
      </c>
      <c r="B23" s="1258">
        <v>222</v>
      </c>
      <c r="C23" s="324"/>
      <c r="D23" s="324"/>
      <c r="E23" s="324"/>
      <c r="F23" s="324"/>
    </row>
    <row r="24" spans="1:6">
      <c r="A24" s="1257" t="s">
        <v>14</v>
      </c>
      <c r="B24" s="1258">
        <v>18</v>
      </c>
      <c r="C24" s="324"/>
      <c r="D24" s="324"/>
      <c r="E24" s="324"/>
      <c r="F24" s="324"/>
    </row>
    <row r="25" spans="1:6">
      <c r="A25" s="1257" t="s">
        <v>15</v>
      </c>
      <c r="B25" s="1258">
        <v>983</v>
      </c>
      <c r="C25" s="324"/>
      <c r="D25" s="324"/>
      <c r="E25" s="324"/>
      <c r="F25" s="324"/>
    </row>
    <row r="26" spans="1:6">
      <c r="A26" s="1257" t="s">
        <v>16</v>
      </c>
      <c r="B26" s="1258">
        <v>170</v>
      </c>
      <c r="C26" s="324"/>
      <c r="D26" s="324"/>
      <c r="E26" s="324"/>
      <c r="F26" s="324"/>
    </row>
    <row r="27" spans="1:6">
      <c r="A27" s="1257" t="s">
        <v>17</v>
      </c>
      <c r="B27" s="1258">
        <v>479</v>
      </c>
      <c r="C27" s="324"/>
      <c r="D27" s="324"/>
      <c r="E27" s="324"/>
      <c r="F27" s="324"/>
    </row>
    <row r="28" spans="1:6">
      <c r="A28" s="1257" t="s">
        <v>18</v>
      </c>
      <c r="B28" s="1259">
        <v>27</v>
      </c>
      <c r="C28" s="324"/>
      <c r="D28" s="324"/>
      <c r="E28" s="324"/>
      <c r="F28" s="324"/>
    </row>
    <row r="29" spans="1:6">
      <c r="A29" s="1257" t="s">
        <v>664</v>
      </c>
      <c r="B29" s="1259">
        <v>160</v>
      </c>
      <c r="C29" s="324"/>
      <c r="D29" s="324"/>
      <c r="E29" s="324"/>
      <c r="F29" s="324"/>
    </row>
    <row r="30" spans="1:6">
      <c r="A30" s="1252" t="s">
        <v>665</v>
      </c>
      <c r="B30" s="1260">
        <v>40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4180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673</v>
      </c>
      <c r="D39" s="1258">
        <v>11925124.35</v>
      </c>
      <c r="E39" s="1258">
        <v>3069</v>
      </c>
      <c r="F39" s="1258">
        <v>10980977.800000001</v>
      </c>
    </row>
    <row r="40" spans="1:6">
      <c r="A40" s="1257" t="s">
        <v>29</v>
      </c>
      <c r="B40" s="1257" t="s">
        <v>28</v>
      </c>
      <c r="C40" s="1258">
        <v>0</v>
      </c>
      <c r="D40" s="1258">
        <v>0</v>
      </c>
      <c r="E40" s="1258">
        <v>0</v>
      </c>
      <c r="F40" s="1258">
        <v>0</v>
      </c>
    </row>
    <row r="41" spans="1:6">
      <c r="A41" s="1257" t="s">
        <v>31</v>
      </c>
      <c r="B41" s="1257" t="s">
        <v>32</v>
      </c>
      <c r="C41" s="1258">
        <v>19</v>
      </c>
      <c r="D41" s="1258">
        <v>498957</v>
      </c>
      <c r="E41" s="1258">
        <v>74</v>
      </c>
      <c r="F41" s="1258">
        <v>466601.8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10</v>
      </c>
      <c r="F44" s="1258">
        <v>99028</v>
      </c>
    </row>
    <row r="45" spans="1:6">
      <c r="A45" s="1257" t="s">
        <v>31</v>
      </c>
      <c r="B45" s="1257" t="s">
        <v>36</v>
      </c>
      <c r="C45" s="1258">
        <v>0</v>
      </c>
      <c r="D45" s="1258">
        <v>0</v>
      </c>
      <c r="E45" s="1258">
        <v>3</v>
      </c>
      <c r="F45" s="1258">
        <v>656695.429</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0</v>
      </c>
      <c r="D48" s="1258">
        <v>0</v>
      </c>
      <c r="E48" s="1258">
        <v>2</v>
      </c>
      <c r="F48" s="1258">
        <v>11792</v>
      </c>
    </row>
    <row r="49" spans="1:6">
      <c r="A49" s="1257" t="s">
        <v>31</v>
      </c>
      <c r="B49" s="1257" t="s">
        <v>39</v>
      </c>
      <c r="C49" s="1258">
        <v>0</v>
      </c>
      <c r="D49" s="1258">
        <v>0</v>
      </c>
      <c r="E49" s="1258">
        <v>4</v>
      </c>
      <c r="F49" s="1258">
        <v>65728</v>
      </c>
    </row>
    <row r="50" spans="1:6">
      <c r="A50" s="1257" t="s">
        <v>31</v>
      </c>
      <c r="B50" s="1257" t="s">
        <v>40</v>
      </c>
      <c r="C50" s="1258">
        <v>4</v>
      </c>
      <c r="D50" s="1258">
        <v>152574</v>
      </c>
      <c r="E50" s="1258">
        <v>8</v>
      </c>
      <c r="F50" s="1258">
        <v>578165</v>
      </c>
    </row>
    <row r="51" spans="1:6">
      <c r="A51" s="1257" t="s">
        <v>41</v>
      </c>
      <c r="B51" s="1257" t="s">
        <v>42</v>
      </c>
      <c r="C51" s="1258">
        <v>3</v>
      </c>
      <c r="D51" s="1258">
        <v>46083</v>
      </c>
      <c r="E51" s="1258">
        <v>117</v>
      </c>
      <c r="F51" s="1258">
        <v>3787929</v>
      </c>
    </row>
    <row r="52" spans="1:6">
      <c r="A52" s="1257" t="s">
        <v>41</v>
      </c>
      <c r="B52" s="1257" t="s">
        <v>28</v>
      </c>
      <c r="C52" s="1258">
        <v>0</v>
      </c>
      <c r="D52" s="1258">
        <v>0</v>
      </c>
      <c r="E52" s="1258">
        <v>0</v>
      </c>
      <c r="F52" s="1258">
        <v>0</v>
      </c>
    </row>
    <row r="53" spans="1:6">
      <c r="A53" s="1257" t="s">
        <v>43</v>
      </c>
      <c r="B53" s="1257" t="s">
        <v>44</v>
      </c>
      <c r="C53" s="1258">
        <v>12</v>
      </c>
      <c r="D53" s="1258">
        <v>332476</v>
      </c>
      <c r="E53" s="1258">
        <v>47</v>
      </c>
      <c r="F53" s="1258">
        <v>313103.84999999998</v>
      </c>
    </row>
    <row r="54" spans="1:6">
      <c r="A54" s="1257" t="s">
        <v>45</v>
      </c>
      <c r="B54" s="1257" t="s">
        <v>46</v>
      </c>
      <c r="C54" s="1258">
        <v>0</v>
      </c>
      <c r="D54" s="1258">
        <v>0</v>
      </c>
      <c r="E54" s="1258">
        <v>1</v>
      </c>
      <c r="F54" s="1258">
        <v>657354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14</v>
      </c>
      <c r="D57" s="1258">
        <v>583288</v>
      </c>
      <c r="E57" s="1258">
        <v>55</v>
      </c>
      <c r="F57" s="1258">
        <v>478752.15399999998</v>
      </c>
    </row>
    <row r="58" spans="1:6">
      <c r="A58" s="1257" t="s">
        <v>48</v>
      </c>
      <c r="B58" s="1257" t="s">
        <v>50</v>
      </c>
      <c r="C58" s="1258">
        <v>5</v>
      </c>
      <c r="D58" s="1258">
        <v>499985</v>
      </c>
      <c r="E58" s="1258">
        <v>14</v>
      </c>
      <c r="F58" s="1258">
        <v>344699</v>
      </c>
    </row>
    <row r="59" spans="1:6">
      <c r="A59" s="1257" t="s">
        <v>48</v>
      </c>
      <c r="B59" s="1257" t="s">
        <v>51</v>
      </c>
      <c r="C59" s="1258">
        <v>12</v>
      </c>
      <c r="D59" s="1258">
        <v>448174</v>
      </c>
      <c r="E59" s="1258">
        <v>84</v>
      </c>
      <c r="F59" s="1258">
        <v>1549778.5719999999</v>
      </c>
    </row>
    <row r="60" spans="1:6">
      <c r="A60" s="1257" t="s">
        <v>48</v>
      </c>
      <c r="B60" s="1257" t="s">
        <v>52</v>
      </c>
      <c r="C60" s="1258">
        <v>6</v>
      </c>
      <c r="D60" s="1258">
        <v>117905</v>
      </c>
      <c r="E60" s="1258">
        <v>26</v>
      </c>
      <c r="F60" s="1258">
        <v>372459.8</v>
      </c>
    </row>
    <row r="61" spans="1:6">
      <c r="A61" s="1257" t="s">
        <v>48</v>
      </c>
      <c r="B61" s="1257" t="s">
        <v>53</v>
      </c>
      <c r="C61" s="1258">
        <v>22</v>
      </c>
      <c r="D61" s="1258">
        <v>306240</v>
      </c>
      <c r="E61" s="1258">
        <v>80</v>
      </c>
      <c r="F61" s="1258">
        <v>464959.3</v>
      </c>
    </row>
    <row r="62" spans="1:6">
      <c r="A62" s="1257" t="s">
        <v>48</v>
      </c>
      <c r="B62" s="1257" t="s">
        <v>54</v>
      </c>
      <c r="C62" s="1258">
        <v>0</v>
      </c>
      <c r="D62" s="1258">
        <v>0</v>
      </c>
      <c r="E62" s="1258">
        <v>7</v>
      </c>
      <c r="F62" s="1258">
        <v>57575</v>
      </c>
    </row>
    <row r="63" spans="1:6">
      <c r="A63" s="1257" t="s">
        <v>48</v>
      </c>
      <c r="B63" s="1257" t="s">
        <v>28</v>
      </c>
      <c r="C63" s="1258">
        <v>2</v>
      </c>
      <c r="D63" s="1258">
        <v>117818</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15</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7</v>
      </c>
      <c r="F68" s="1260">
        <v>57187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8001233</v>
      </c>
      <c r="E73" s="442"/>
      <c r="F73" s="324"/>
    </row>
    <row r="74" spans="1:6">
      <c r="A74" s="1257" t="s">
        <v>63</v>
      </c>
      <c r="B74" s="1257" t="s">
        <v>608</v>
      </c>
      <c r="C74" s="1270" t="s">
        <v>610</v>
      </c>
      <c r="D74" s="1258">
        <v>1342861.5</v>
      </c>
      <c r="E74" s="442"/>
      <c r="F74" s="324"/>
    </row>
    <row r="75" spans="1:6">
      <c r="A75" s="1257" t="s">
        <v>64</v>
      </c>
      <c r="B75" s="1257" t="s">
        <v>607</v>
      </c>
      <c r="C75" s="1270" t="s">
        <v>611</v>
      </c>
      <c r="D75" s="1258">
        <v>26124455</v>
      </c>
      <c r="E75" s="442"/>
      <c r="F75" s="324"/>
    </row>
    <row r="76" spans="1:6">
      <c r="A76" s="1257" t="s">
        <v>64</v>
      </c>
      <c r="B76" s="1257" t="s">
        <v>608</v>
      </c>
      <c r="C76" s="1270" t="s">
        <v>612</v>
      </c>
      <c r="D76" s="1258">
        <v>700312.5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163873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2783.6377224410112</v>
      </c>
      <c r="C91" s="324"/>
      <c r="D91" s="324"/>
      <c r="E91" s="324"/>
      <c r="F91" s="324"/>
    </row>
    <row r="92" spans="1:6">
      <c r="A92" s="1252" t="s">
        <v>68</v>
      </c>
      <c r="B92" s="1253">
        <v>1132.7077393140028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27</v>
      </c>
      <c r="C97" s="324"/>
      <c r="D97" s="324"/>
      <c r="E97" s="324"/>
      <c r="F97" s="324"/>
    </row>
    <row r="98" spans="1:6">
      <c r="A98" s="1257" t="s">
        <v>71</v>
      </c>
      <c r="B98" s="1258">
        <v>1</v>
      </c>
      <c r="C98" s="324"/>
      <c r="D98" s="324"/>
      <c r="E98" s="324"/>
      <c r="F98" s="324"/>
    </row>
    <row r="99" spans="1:6">
      <c r="A99" s="1257" t="s">
        <v>72</v>
      </c>
      <c r="B99" s="1258">
        <v>75</v>
      </c>
      <c r="C99" s="324"/>
      <c r="D99" s="324"/>
      <c r="E99" s="324"/>
      <c r="F99" s="324"/>
    </row>
    <row r="100" spans="1:6">
      <c r="A100" s="1257" t="s">
        <v>73</v>
      </c>
      <c r="B100" s="1258">
        <v>65</v>
      </c>
      <c r="C100" s="324"/>
      <c r="D100" s="324"/>
      <c r="E100" s="324"/>
      <c r="F100" s="324"/>
    </row>
    <row r="101" spans="1:6">
      <c r="A101" s="1257" t="s">
        <v>74</v>
      </c>
      <c r="B101" s="1258">
        <v>55</v>
      </c>
      <c r="C101" s="324"/>
      <c r="D101" s="324"/>
      <c r="E101" s="324"/>
      <c r="F101" s="324"/>
    </row>
    <row r="102" spans="1:6">
      <c r="A102" s="1257" t="s">
        <v>75</v>
      </c>
      <c r="B102" s="1258">
        <v>46</v>
      </c>
      <c r="C102" s="324"/>
      <c r="D102" s="324"/>
      <c r="E102" s="324"/>
      <c r="F102" s="324"/>
    </row>
    <row r="103" spans="1:6">
      <c r="A103" s="1257" t="s">
        <v>76</v>
      </c>
      <c r="B103" s="1258">
        <v>120</v>
      </c>
      <c r="C103" s="324"/>
      <c r="D103" s="324"/>
      <c r="E103" s="324"/>
      <c r="F103" s="324"/>
    </row>
    <row r="104" spans="1:6">
      <c r="A104" s="1257" t="s">
        <v>77</v>
      </c>
      <c r="B104" s="1258">
        <v>2458</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20</v>
      </c>
      <c r="C123" s="1258">
        <v>11</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87</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21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23715.641675563682</v>
      </c>
      <c r="C3" s="43" t="s">
        <v>163</v>
      </c>
      <c r="D3" s="43"/>
      <c r="E3" s="153"/>
      <c r="F3" s="43"/>
      <c r="G3" s="43"/>
      <c r="H3" s="43"/>
      <c r="I3" s="43"/>
      <c r="J3" s="43"/>
      <c r="K3" s="96"/>
    </row>
    <row r="4" spans="1:11">
      <c r="A4" s="350" t="s">
        <v>164</v>
      </c>
      <c r="B4" s="49">
        <f>IF(ISERROR('SEAP template'!B78+'SEAP template'!C78),0,'SEAP template'!B78+'SEAP template'!C78)</f>
        <v>3916.3454617550142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0.18450457816455912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657.35400000000004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657.35400000000004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0.18450457816455912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121.2848224747856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10980.977800000001</v>
      </c>
      <c r="C5" s="17">
        <f>IF(ISERROR('Eigen informatie GS &amp; warmtenet'!B59),0,'Eigen informatie GS &amp; warmtenet'!B59)</f>
        <v>0</v>
      </c>
      <c r="D5" s="30">
        <f>(SUM(HH_hh_gas_kWh,HH_rest_gas_kWh)/1000)*0.902</f>
        <v>10756.4621637</v>
      </c>
      <c r="E5" s="17">
        <f>B32*B41</f>
        <v>1763.7457046253612</v>
      </c>
      <c r="F5" s="17">
        <f>B36*B45</f>
        <v>33942.04815760412</v>
      </c>
      <c r="G5" s="18"/>
      <c r="H5" s="17"/>
      <c r="I5" s="17"/>
      <c r="J5" s="17">
        <f>B35*B44+C35*C44</f>
        <v>173.68507309458133</v>
      </c>
      <c r="K5" s="17"/>
      <c r="L5" s="17"/>
      <c r="M5" s="17"/>
      <c r="N5" s="17">
        <f>B34*B43+C34*C43</f>
        <v>5510.3771042518556</v>
      </c>
      <c r="O5" s="17">
        <f>B52*B53*B54</f>
        <v>196.41186371931616</v>
      </c>
      <c r="P5" s="17">
        <f>B60*B61*B62/1000-B60*B61*B62/1000/B63</f>
        <v>442.42629092277093</v>
      </c>
    </row>
    <row r="6" spans="1:16">
      <c r="A6" s="16" t="s">
        <v>573</v>
      </c>
      <c r="B6" s="738">
        <f>kWh_PV_kleiner_dan_10kW</f>
        <v>2783.6377224410112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13764.615522441012</v>
      </c>
      <c r="C8" s="21">
        <f>C5</f>
        <v>0</v>
      </c>
      <c r="D8" s="21">
        <f>D5</f>
        <v>10756.4621637</v>
      </c>
      <c r="E8" s="21">
        <f>E5</f>
        <v>1763.7457046253612</v>
      </c>
      <c r="F8" s="21">
        <f>F5</f>
        <v>33942.04815760412</v>
      </c>
      <c r="G8" s="21"/>
      <c r="H8" s="21"/>
      <c r="I8" s="21"/>
      <c r="J8" s="21">
        <f>J5</f>
        <v>173.68507309458133</v>
      </c>
      <c r="K8" s="21"/>
      <c r="L8" s="21">
        <f>L5</f>
        <v>0</v>
      </c>
      <c r="M8" s="21">
        <f>M5</f>
        <v>0</v>
      </c>
      <c r="N8" s="21">
        <f>N5</f>
        <v>5510.3771042518556</v>
      </c>
      <c r="O8" s="21">
        <f>O5</f>
        <v>196.41186371931616</v>
      </c>
      <c r="P8" s="21">
        <f>P5</f>
        <v>442.42629092277093</v>
      </c>
    </row>
    <row r="9" spans="1:16">
      <c r="B9" s="19"/>
      <c r="C9" s="19"/>
      <c r="D9" s="255"/>
      <c r="E9" s="19"/>
      <c r="F9" s="19"/>
      <c r="G9" s="19"/>
      <c r="H9" s="19"/>
      <c r="I9" s="19"/>
      <c r="J9" s="19"/>
      <c r="K9" s="19"/>
      <c r="L9" s="19"/>
      <c r="M9" s="19"/>
      <c r="N9" s="19"/>
      <c r="O9" s="19"/>
      <c r="P9" s="19"/>
    </row>
    <row r="10" spans="1:16">
      <c r="A10" s="24" t="s">
        <v>207</v>
      </c>
      <c r="B10" s="25">
        <f ca="1">'EF ele_warmte'!B12</f>
        <v>0.18450457816455912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2539.6345805653214</v>
      </c>
      <c r="C12" s="23">
        <f ca="1">C10*C8</f>
        <v>0</v>
      </c>
      <c r="D12" s="23">
        <f>D8*D10</f>
        <v>2172.8053570674001</v>
      </c>
      <c r="E12" s="23">
        <f>E10*E8</f>
        <v>400.37027494995704</v>
      </c>
      <c r="F12" s="23">
        <f>F10*F8</f>
        <v>9062.5268580803004</v>
      </c>
      <c r="G12" s="23"/>
      <c r="H12" s="23"/>
      <c r="I12" s="23"/>
      <c r="J12" s="23">
        <f>J10*J8</f>
        <v>61.484515875481783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3210</v>
      </c>
      <c r="C26" s="36"/>
      <c r="D26" s="225"/>
    </row>
    <row r="27" spans="1:7" s="15" customFormat="1">
      <c r="A27" s="227" t="s">
        <v>774</v>
      </c>
      <c r="B27" s="37">
        <f>SUM(HH_hh_gas_aantal,HH_rest_gas_aantal)</f>
        <v>673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639.35</v>
      </c>
      <c r="C31" s="165" t="s">
        <v>104</v>
      </c>
      <c r="D31" s="230"/>
      <c r="G31" s="15"/>
    </row>
    <row r="32" spans="1:7">
      <c r="A32" s="168" t="s">
        <v>72</v>
      </c>
      <c r="B32" s="165">
        <f>IF((B21*($B$26-($B$27-0.05*$B$27)-$B$60))&lt;0,0,B21*($B$26-($B$27-0.05*$B$27)-$B$60))</f>
        <v>28.505894569522244</v>
      </c>
      <c r="C32" s="165" t="s">
        <v>104</v>
      </c>
      <c r="D32" s="230"/>
      <c r="G32" s="15"/>
    </row>
    <row r="33" spans="1:7">
      <c r="A33" s="168" t="s">
        <v>73</v>
      </c>
      <c r="B33" s="165">
        <f>IF((B22*($B$26-($B$27-0.05*$B$27)-$B$60))&lt;0,0,B22*($B$26-($B$27-0.05*$B$27)-$B$60))</f>
        <v>592.66148647502303</v>
      </c>
      <c r="C33" s="165" t="s">
        <v>104</v>
      </c>
      <c r="D33" s="230"/>
      <c r="G33" s="15"/>
    </row>
    <row r="34" spans="1:7">
      <c r="A34" s="168" t="s">
        <v>74</v>
      </c>
      <c r="B34" s="165">
        <f>IF((B24*($B$26-($B$27-0.05*$B$27)-$B$60))&lt;0,0,B24*($B$26-($B$27-0.05*$B$27)-$B$60))</f>
        <v>250.24782263528331</v>
      </c>
      <c r="C34" s="165">
        <f>B26*C24</f>
        <v>553.92548964276455</v>
      </c>
      <c r="D34" s="230"/>
      <c r="G34" s="15"/>
    </row>
    <row r="35" spans="1:7">
      <c r="A35" s="168" t="s">
        <v>76</v>
      </c>
      <c r="B35" s="165">
        <f>IF((B19*($B$26-($B$27-0.05*$B$27)-$B$60))&lt;0,0,B19*($B$26-($B$27-0.05*$B$27)-$B$60))</f>
        <v>21.575888379204574</v>
      </c>
      <c r="C35" s="165">
        <f>B35/2</f>
        <v>10.787944189602287</v>
      </c>
      <c r="D35" s="231"/>
      <c r="G35" s="15"/>
    </row>
    <row r="36" spans="1:7">
      <c r="A36" s="168" t="s">
        <v>77</v>
      </c>
      <c r="B36" s="165">
        <f>IF((B18*($B$26-($B$27-0.05*$B$27)-$B$60))&lt;0,0,B18*($B$26-($B$27-0.05*$B$27)-$B$60))</f>
        <v>1635.6589079409671</v>
      </c>
      <c r="C36" s="165" t="s">
        <v>104</v>
      </c>
      <c r="D36" s="231"/>
      <c r="G36" s="15"/>
    </row>
    <row r="37" spans="1:7">
      <c r="A37" s="168" t="s">
        <v>78</v>
      </c>
      <c r="B37" s="165">
        <f>B60</f>
        <v>42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3268.2238259999995</v>
      </c>
      <c r="C5" s="17">
        <f>IF(ISERROR('Eigen informatie GS &amp; warmtenet'!B60),0,'Eigen informatie GS &amp; warmtenet'!B60)</f>
        <v>0</v>
      </c>
      <c r="D5" s="30">
        <f>SUM(D6:D12)</f>
        <v>1870.2158199999999</v>
      </c>
      <c r="E5" s="17">
        <f>SUM(E6:E12)</f>
        <v>10.158488449109896</v>
      </c>
      <c r="F5" s="17">
        <f>SUM(F6:F12)</f>
        <v>633.64220265737026</v>
      </c>
      <c r="G5" s="18"/>
      <c r="H5" s="17"/>
      <c r="I5" s="17"/>
      <c r="J5" s="17">
        <f>SUM(J6:J12)</f>
        <v>4.7384606813708789E-3</v>
      </c>
      <c r="K5" s="17"/>
      <c r="L5" s="17"/>
      <c r="M5" s="17"/>
      <c r="N5" s="17">
        <f>SUM(N6:N12)</f>
        <v>177.4348323046089</v>
      </c>
      <c r="O5" s="17">
        <f>B38*B39*B40</f>
        <v>0</v>
      </c>
      <c r="P5" s="17">
        <f>B46*B47*B48/1000-B46*B47*B48/1000/B49</f>
        <v>0</v>
      </c>
      <c r="R5" s="32"/>
    </row>
    <row r="6" spans="1:18">
      <c r="A6" s="32" t="s">
        <v>53</v>
      </c>
      <c r="B6" s="37">
        <f>B26</f>
        <v>464.95929999999998</v>
      </c>
      <c r="C6" s="33"/>
      <c r="D6" s="37">
        <f>IF(ISERROR(TER_kantoor_gas_kWh/1000),0,TER_kantoor_gas_kWh/1000)*0.902</f>
        <v>276.22847999999999</v>
      </c>
      <c r="E6" s="33">
        <f>$C$26*'E Balans VL '!I12/100/3.6*1000000</f>
        <v>0.12141420535879925</v>
      </c>
      <c r="F6" s="33">
        <f>$C$26*('E Balans VL '!L12+'E Balans VL '!N12)/100/3.6*1000000</f>
        <v>46.456965955529107</v>
      </c>
      <c r="G6" s="34"/>
      <c r="H6" s="33"/>
      <c r="I6" s="33"/>
      <c r="J6" s="33">
        <f>$C$26*('E Balans VL '!D12+'E Balans VL '!E12)/100/3.6*1000000</f>
        <v>0</v>
      </c>
      <c r="K6" s="33"/>
      <c r="L6" s="33"/>
      <c r="M6" s="33"/>
      <c r="N6" s="33">
        <f>$C$26*'E Balans VL '!Y12/100/3.6*1000000</f>
        <v>0.32965371871404481</v>
      </c>
      <c r="O6" s="33"/>
      <c r="P6" s="33"/>
      <c r="R6" s="32"/>
    </row>
    <row r="7" spans="1:18">
      <c r="A7" s="32" t="s">
        <v>52</v>
      </c>
      <c r="B7" s="37">
        <f t="shared" ref="B7:B12" si="0">B27</f>
        <v>372.45979999999997</v>
      </c>
      <c r="C7" s="33"/>
      <c r="D7" s="37">
        <f>IF(ISERROR(TER_horeca_gas_kWh/1000),0,TER_horeca_gas_kWh/1000)*0.902</f>
        <v>106.35031000000001</v>
      </c>
      <c r="E7" s="33">
        <f>$C$27*'E Balans VL '!I9/100/3.6*1000000</f>
        <v>0</v>
      </c>
      <c r="F7" s="33">
        <f>$C$27*('E Balans VL '!L9+'E Balans VL '!N9)/100/3.6*1000000</f>
        <v>30.588809327738691</v>
      </c>
      <c r="G7" s="34"/>
      <c r="H7" s="33"/>
      <c r="I7" s="33"/>
      <c r="J7" s="33">
        <f>$C$27*('E Balans VL '!D9+'E Balans VL '!E9)/100/3.6*1000000</f>
        <v>0</v>
      </c>
      <c r="K7" s="33"/>
      <c r="L7" s="33"/>
      <c r="M7" s="33"/>
      <c r="N7" s="33">
        <f>$C$27*'E Balans VL '!Y9/100/3.6*1000000</f>
        <v>4.7068014541568832</v>
      </c>
      <c r="O7" s="33"/>
      <c r="P7" s="33"/>
      <c r="R7" s="32"/>
    </row>
    <row r="8" spans="1:18">
      <c r="A8" s="6" t="s">
        <v>51</v>
      </c>
      <c r="B8" s="37">
        <f t="shared" si="0"/>
        <v>1549.7785719999999</v>
      </c>
      <c r="C8" s="33"/>
      <c r="D8" s="37">
        <f>IF(ISERROR(TER_handel_gas_kWh/1000),0,TER_handel_gas_kWh/1000)*0.902</f>
        <v>404.252948</v>
      </c>
      <c r="E8" s="33">
        <f>$C$28*'E Balans VL '!I13/100/3.6*1000000</f>
        <v>5.6958429288406824</v>
      </c>
      <c r="F8" s="33">
        <f>$C$28*('E Balans VL '!L13+'E Balans VL '!N13)/100/3.6*1000000</f>
        <v>148.02996814598592</v>
      </c>
      <c r="G8" s="34"/>
      <c r="H8" s="33"/>
      <c r="I8" s="33"/>
      <c r="J8" s="33">
        <f>$C$28*('E Balans VL '!D13+'E Balans VL '!E13)/100/3.6*1000000</f>
        <v>0</v>
      </c>
      <c r="K8" s="33"/>
      <c r="L8" s="33"/>
      <c r="M8" s="33"/>
      <c r="N8" s="33">
        <f>$C$28*'E Balans VL '!Y13/100/3.6*1000000</f>
        <v>0.61321096498874561</v>
      </c>
      <c r="O8" s="33"/>
      <c r="P8" s="33"/>
      <c r="R8" s="32"/>
    </row>
    <row r="9" spans="1:18">
      <c r="A9" s="32" t="s">
        <v>50</v>
      </c>
      <c r="B9" s="37">
        <f t="shared" si="0"/>
        <v>344.69900000000001</v>
      </c>
      <c r="C9" s="33"/>
      <c r="D9" s="37">
        <f>IF(ISERROR(TER_gezond_gas_kWh/1000),0,TER_gezond_gas_kWh/1000)*0.902</f>
        <v>450.98647</v>
      </c>
      <c r="E9" s="33">
        <f>$C$29*'E Balans VL '!I10/100/3.6*1000000</f>
        <v>0</v>
      </c>
      <c r="F9" s="33">
        <f>$C$29*('E Balans VL '!L10+'E Balans VL '!N10)/100/3.6*1000000</f>
        <v>23.286022707273883</v>
      </c>
      <c r="G9" s="34"/>
      <c r="H9" s="33"/>
      <c r="I9" s="33"/>
      <c r="J9" s="33">
        <f>$C$29*('E Balans VL '!D10+'E Balans VL '!E10)/100/3.6*1000000</f>
        <v>0</v>
      </c>
      <c r="K9" s="33"/>
      <c r="L9" s="33"/>
      <c r="M9" s="33"/>
      <c r="N9" s="33">
        <f>$C$29*'E Balans VL '!Y10/100/3.6*1000000</f>
        <v>2.6820154024077572</v>
      </c>
      <c r="O9" s="33"/>
      <c r="P9" s="33"/>
      <c r="R9" s="32"/>
    </row>
    <row r="10" spans="1:18">
      <c r="A10" s="32" t="s">
        <v>49</v>
      </c>
      <c r="B10" s="37">
        <f t="shared" si="0"/>
        <v>478.75215399999996</v>
      </c>
      <c r="C10" s="33"/>
      <c r="D10" s="37">
        <f>IF(ISERROR(TER_ander_gas_kWh/1000),0,TER_ander_gas_kWh/1000)*0.902</f>
        <v>526.12577599999997</v>
      </c>
      <c r="E10" s="33">
        <f>$C$30*'E Balans VL '!I14/100/3.6*1000000</f>
        <v>4.3412313149104138</v>
      </c>
      <c r="F10" s="33">
        <f>$C$30*('E Balans VL '!L14+'E Balans VL '!N14)/100/3.6*1000000</f>
        <v>378.42823741033402</v>
      </c>
      <c r="G10" s="34"/>
      <c r="H10" s="33"/>
      <c r="I10" s="33"/>
      <c r="J10" s="33">
        <f>$C$30*('E Balans VL '!D14+'E Balans VL '!E14)/100/3.6*1000000</f>
        <v>4.7384606813708789E-3</v>
      </c>
      <c r="K10" s="33"/>
      <c r="L10" s="33"/>
      <c r="M10" s="33"/>
      <c r="N10" s="33">
        <f>$C$30*'E Balans VL '!Y14/100/3.6*1000000</f>
        <v>168.97510536918358</v>
      </c>
      <c r="O10" s="33"/>
      <c r="P10" s="33"/>
      <c r="R10" s="32"/>
    </row>
    <row r="11" spans="1:18">
      <c r="A11" s="32" t="s">
        <v>54</v>
      </c>
      <c r="B11" s="37">
        <f t="shared" si="0"/>
        <v>57.575000000000003</v>
      </c>
      <c r="C11" s="33"/>
      <c r="D11" s="37">
        <f>IF(ISERROR(TER_onderwijs_gas_kWh/1000),0,TER_onderwijs_gas_kWh/1000)*0.902</f>
        <v>0</v>
      </c>
      <c r="E11" s="33">
        <f>$C$31*'E Balans VL '!I11/100/3.6*1000000</f>
        <v>0</v>
      </c>
      <c r="F11" s="33">
        <f>$C$31*('E Balans VL '!L11+'E Balans VL '!N11)/100/3.6*1000000</f>
        <v>6.852199110508618</v>
      </c>
      <c r="G11" s="34"/>
      <c r="H11" s="33"/>
      <c r="I11" s="33"/>
      <c r="J11" s="33">
        <f>$C$31*('E Balans VL '!D11+'E Balans VL '!E11)/100/3.6*1000000</f>
        <v>0</v>
      </c>
      <c r="K11" s="33"/>
      <c r="L11" s="33"/>
      <c r="M11" s="33"/>
      <c r="N11" s="33">
        <f>$C$31*'E Balans VL '!Y11/100/3.6*1000000</f>
        <v>0.12804539515789493</v>
      </c>
      <c r="O11" s="33"/>
      <c r="P11" s="33"/>
      <c r="R11" s="32"/>
    </row>
    <row r="12" spans="1:18">
      <c r="A12" s="32" t="s">
        <v>248</v>
      </c>
      <c r="B12" s="37">
        <f t="shared" si="0"/>
        <v>0</v>
      </c>
      <c r="C12" s="33"/>
      <c r="D12" s="37">
        <f>IF(ISERROR(TER_rest_gas_kWh/1000),0,TER_rest_gas_kWh/1000)*0.902</f>
        <v>106.27183600000001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3268.2238259999995</v>
      </c>
      <c r="C16" s="21">
        <f t="shared" ca="1" si="1"/>
        <v>0</v>
      </c>
      <c r="D16" s="21">
        <f t="shared" ca="1" si="1"/>
        <v>1870.2158199999999</v>
      </c>
      <c r="E16" s="21">
        <f t="shared" si="1"/>
        <v>10.158488449109896</v>
      </c>
      <c r="F16" s="21">
        <f t="shared" ca="1" si="1"/>
        <v>633.64220265737026</v>
      </c>
      <c r="G16" s="21">
        <f t="shared" si="1"/>
        <v>0</v>
      </c>
      <c r="H16" s="21">
        <f t="shared" si="1"/>
        <v>0</v>
      </c>
      <c r="I16" s="21">
        <f t="shared" si="1"/>
        <v>0</v>
      </c>
      <c r="J16" s="21">
        <f t="shared" si="1"/>
        <v>4.7384606813708789E-3</v>
      </c>
      <c r="K16" s="21">
        <f t="shared" si="1"/>
        <v>0</v>
      </c>
      <c r="L16" s="21">
        <f t="shared" ca="1" si="1"/>
        <v>0</v>
      </c>
      <c r="M16" s="21">
        <f t="shared" si="1"/>
        <v>0</v>
      </c>
      <c r="N16" s="21">
        <f t="shared" ca="1" si="1"/>
        <v>177.4348323046089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0.18450457816455912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603.00225836349136</v>
      </c>
      <c r="C20" s="23">
        <f t="shared" ref="C20:P20" ca="1" si="2">C16*C18</f>
        <v>0</v>
      </c>
      <c r="D20" s="23">
        <f t="shared" ca="1" si="2"/>
        <v>377.78359563999999</v>
      </c>
      <c r="E20" s="23">
        <f t="shared" si="2"/>
        <v>2.3059768779479466</v>
      </c>
      <c r="F20" s="23">
        <f t="shared" ca="1" si="2"/>
        <v>169.18246810951786</v>
      </c>
      <c r="G20" s="23">
        <f t="shared" si="2"/>
        <v>0</v>
      </c>
      <c r="H20" s="23">
        <f t="shared" si="2"/>
        <v>0</v>
      </c>
      <c r="I20" s="23">
        <f t="shared" si="2"/>
        <v>0</v>
      </c>
      <c r="J20" s="23">
        <f t="shared" si="2"/>
        <v>1.677415081205291E-3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464.95929999999998</v>
      </c>
      <c r="C26" s="39">
        <f>IF(ISERROR(B26*3.6/1000000/'E Balans VL '!Z12*100),0,B26*3.6/1000000/'E Balans VL '!Z12*100)</f>
        <v>1.3011986632535125E-2</v>
      </c>
      <c r="D26" s="234" t="s">
        <v>667</v>
      </c>
      <c r="F26" s="6"/>
    </row>
    <row r="27" spans="1:18">
      <c r="A27" s="228" t="s">
        <v>52</v>
      </c>
      <c r="B27" s="33">
        <f>IF(ISERROR(TER_horeca_ele_kWh/1000),0,TER_horeca_ele_kWh/1000)</f>
        <v>372.45979999999997</v>
      </c>
      <c r="C27" s="39">
        <f>IF(ISERROR(B27*3.6/1000000/'E Balans VL '!Z9*100),0,B27*3.6/1000000/'E Balans VL '!Z9*100)</f>
        <v>2.7760337207013194E-2</v>
      </c>
      <c r="D27" s="234" t="s">
        <v>667</v>
      </c>
      <c r="F27" s="6"/>
    </row>
    <row r="28" spans="1:18">
      <c r="A28" s="168" t="s">
        <v>51</v>
      </c>
      <c r="B28" s="33">
        <f>IF(ISERROR(TER_handel_ele_kWh/1000),0,TER_handel_ele_kWh/1000)</f>
        <v>1549.7785719999999</v>
      </c>
      <c r="C28" s="39">
        <f>IF(ISERROR(B28*3.6/1000000/'E Balans VL '!Z13*100),0,B28*3.6/1000000/'E Balans VL '!Z13*100)</f>
        <v>4.490118817818442E-2</v>
      </c>
      <c r="D28" s="234" t="s">
        <v>667</v>
      </c>
      <c r="F28" s="6"/>
    </row>
    <row r="29" spans="1:18">
      <c r="A29" s="228" t="s">
        <v>50</v>
      </c>
      <c r="B29" s="33">
        <f>IF(ISERROR(TER_gezond_ele_kWh/1000),0,TER_gezond_ele_kWh/1000)</f>
        <v>344.69900000000001</v>
      </c>
      <c r="C29" s="39">
        <f>IF(ISERROR(B29*3.6/1000000/'E Balans VL '!Z10*100),0,B29*3.6/1000000/'E Balans VL '!Z10*100)</f>
        <v>3.476330522030003E-2</v>
      </c>
      <c r="D29" s="234" t="s">
        <v>667</v>
      </c>
      <c r="F29" s="6"/>
    </row>
    <row r="30" spans="1:18">
      <c r="A30" s="228" t="s">
        <v>49</v>
      </c>
      <c r="B30" s="33">
        <f>IF(ISERROR(TER_ander_ele_kWh/1000),0,TER_ander_ele_kWh/1000)</f>
        <v>478.75215399999996</v>
      </c>
      <c r="C30" s="39">
        <f>IF(ISERROR(B30*3.6/1000000/'E Balans VL '!Z14*100),0,B30*3.6/1000000/'E Balans VL '!Z14*100)</f>
        <v>1.9406664906638411E-2</v>
      </c>
      <c r="D30" s="234" t="s">
        <v>667</v>
      </c>
      <c r="F30" s="6"/>
    </row>
    <row r="31" spans="1:18">
      <c r="A31" s="228" t="s">
        <v>54</v>
      </c>
      <c r="B31" s="33">
        <f>IF(ISERROR(TER_onderwijs_ele_kWh/1000),0,TER_onderwijs_ele_kWh/1000)</f>
        <v>57.575000000000003</v>
      </c>
      <c r="C31" s="39">
        <f>IF(ISERROR(B31*3.6/1000000/'E Balans VL '!Z11*100),0,B31*3.6/1000000/'E Balans VL '!Z11*100)</f>
        <v>1.6411219563171361E-2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1878.010229</v>
      </c>
      <c r="C5" s="17">
        <f>IF(ISERROR('Eigen informatie GS &amp; warmtenet'!B61),0,'Eigen informatie GS &amp; warmtenet'!B61)</f>
        <v>0</v>
      </c>
      <c r="D5" s="30">
        <f>SUM(D6:D15)</f>
        <v>587.68096200000002</v>
      </c>
      <c r="E5" s="17">
        <f>SUM(E6:E15)</f>
        <v>13.159015031010986</v>
      </c>
      <c r="F5" s="17">
        <f>SUM(F6:F15)</f>
        <v>431.23765199806087</v>
      </c>
      <c r="G5" s="18"/>
      <c r="H5" s="17"/>
      <c r="I5" s="17"/>
      <c r="J5" s="17">
        <f>SUM(J6:J15)</f>
        <v>0.62025737689280325</v>
      </c>
      <c r="K5" s="17"/>
      <c r="L5" s="17"/>
      <c r="M5" s="17"/>
      <c r="N5" s="17">
        <f>SUM(N6:N15)</f>
        <v>448.64793051862171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99.028000000000006</v>
      </c>
      <c r="C8" s="33"/>
      <c r="D8" s="37">
        <f>IF( ISERROR(IND_metaal_Gas_kWH/1000),0,IND_metaal_Gas_kWH/1000)*0.902</f>
        <v>0</v>
      </c>
      <c r="E8" s="33">
        <f>C30*'E Balans VL '!I18/100/3.6*1000000</f>
        <v>0.71064857388302072</v>
      </c>
      <c r="F8" s="33">
        <f>C30*'E Balans VL '!L18/100/3.6*1000000+C30*'E Balans VL '!N18/100/3.6*1000000</f>
        <v>6.5912327852026245</v>
      </c>
      <c r="G8" s="34"/>
      <c r="H8" s="33"/>
      <c r="I8" s="33"/>
      <c r="J8" s="40">
        <f>C30*'E Balans VL '!D18/100/3.6*1000000+C30*'E Balans VL '!E18/100/3.6*1000000</f>
        <v>9.5467226549622017E-2</v>
      </c>
      <c r="K8" s="33"/>
      <c r="L8" s="33"/>
      <c r="M8" s="33"/>
      <c r="N8" s="33">
        <f>C30*'E Balans VL '!Y18/100/3.6*1000000</f>
        <v>1.1999914014162263</v>
      </c>
      <c r="O8" s="33"/>
      <c r="P8" s="33"/>
      <c r="R8" s="32"/>
    </row>
    <row r="9" spans="1:18">
      <c r="A9" s="6" t="s">
        <v>32</v>
      </c>
      <c r="B9" s="37">
        <f t="shared" si="0"/>
        <v>466.60179999999997</v>
      </c>
      <c r="C9" s="33"/>
      <c r="D9" s="37">
        <f>IF( ISERROR(IND_andere_gas_kWh/1000),0,IND_andere_gas_kWh/1000)*0.902</f>
        <v>450.059214</v>
      </c>
      <c r="E9" s="33">
        <f>C31*'E Balans VL '!I19/100/3.6*1000000</f>
        <v>1.2267784492701452</v>
      </c>
      <c r="F9" s="33">
        <f>C31*'E Balans VL '!L19/100/3.6*1000000+C31*'E Balans VL '!N19/100/3.6*1000000</f>
        <v>308.14600744074335</v>
      </c>
      <c r="G9" s="34"/>
      <c r="H9" s="33"/>
      <c r="I9" s="33"/>
      <c r="J9" s="40">
        <f>C31*'E Balans VL '!D19/100/3.6*1000000+C31*'E Balans VL '!E19/100/3.6*1000000</f>
        <v>0</v>
      </c>
      <c r="K9" s="33"/>
      <c r="L9" s="33"/>
      <c r="M9" s="33"/>
      <c r="N9" s="33">
        <f>C31*'E Balans VL '!Y19/100/3.6*1000000</f>
        <v>24.911127665633067</v>
      </c>
      <c r="O9" s="33"/>
      <c r="P9" s="33"/>
      <c r="R9" s="32"/>
    </row>
    <row r="10" spans="1:18">
      <c r="A10" s="6" t="s">
        <v>40</v>
      </c>
      <c r="B10" s="37">
        <f t="shared" si="0"/>
        <v>578.16499999999996</v>
      </c>
      <c r="C10" s="33"/>
      <c r="D10" s="37">
        <f>IF( ISERROR(IND_voed_gas_kWh/1000),0,IND_voed_gas_kWh/1000)*0.902</f>
        <v>137.62174800000003</v>
      </c>
      <c r="E10" s="33">
        <f>C32*'E Balans VL '!I20/100/3.6*1000000</f>
        <v>0.97607468911968265</v>
      </c>
      <c r="F10" s="33">
        <f>C32*'E Balans VL '!L20/100/3.6*1000000+C32*'E Balans VL '!N20/100/3.6*1000000</f>
        <v>33.93576217189608</v>
      </c>
      <c r="G10" s="34"/>
      <c r="H10" s="33"/>
      <c r="I10" s="33"/>
      <c r="J10" s="40">
        <f>C32*'E Balans VL '!D20/100/3.6*1000000+C32*'E Balans VL '!E20/100/3.6*1000000</f>
        <v>0</v>
      </c>
      <c r="K10" s="33"/>
      <c r="L10" s="33"/>
      <c r="M10" s="33"/>
      <c r="N10" s="33">
        <f>C32*'E Balans VL '!Y20/100/3.6*1000000</f>
        <v>31.478189955569785</v>
      </c>
      <c r="O10" s="33"/>
      <c r="P10" s="33"/>
      <c r="R10" s="32"/>
    </row>
    <row r="11" spans="1:18">
      <c r="A11" s="6" t="s">
        <v>39</v>
      </c>
      <c r="B11" s="37">
        <f t="shared" si="0"/>
        <v>65.727999999999994</v>
      </c>
      <c r="C11" s="33"/>
      <c r="D11" s="37">
        <f>IF( ISERROR(IND_textiel_gas_kWh/1000),0,IND_textiel_gas_kWh/1000)*0.902</f>
        <v>0</v>
      </c>
      <c r="E11" s="33">
        <f>C33*'E Balans VL '!I21/100/3.6*1000000</f>
        <v>0.22894761690988552</v>
      </c>
      <c r="F11" s="33">
        <f>C33*'E Balans VL '!L21/100/3.6*1000000+C33*'E Balans VL '!N21/100/3.6*1000000</f>
        <v>1.7466646624271975</v>
      </c>
      <c r="G11" s="34"/>
      <c r="H11" s="33"/>
      <c r="I11" s="33"/>
      <c r="J11" s="40">
        <f>C33*'E Balans VL '!D21/100/3.6*1000000+C33*'E Balans VL '!E21/100/3.6*1000000</f>
        <v>0</v>
      </c>
      <c r="K11" s="33"/>
      <c r="L11" s="33"/>
      <c r="M11" s="33"/>
      <c r="N11" s="33">
        <f>C33*'E Balans VL '!Y21/100/3.6*1000000</f>
        <v>8.1252793732348033E-3</v>
      </c>
      <c r="O11" s="33"/>
      <c r="P11" s="33"/>
      <c r="R11" s="32"/>
    </row>
    <row r="12" spans="1:18">
      <c r="A12" s="6" t="s">
        <v>36</v>
      </c>
      <c r="B12" s="37">
        <f t="shared" si="0"/>
        <v>656.69542899999999</v>
      </c>
      <c r="C12" s="33"/>
      <c r="D12" s="37">
        <f>IF( ISERROR(IND_min_gas_kWh/1000),0,IND_min_gas_kWh/1000)*0.902</f>
        <v>0</v>
      </c>
      <c r="E12" s="33">
        <f>C34*'E Balans VL '!I22/100/3.6*1000000</f>
        <v>9.4540352740624805</v>
      </c>
      <c r="F12" s="33">
        <f>C34*'E Balans VL '!L22/100/3.6*1000000+C34*'E Balans VL '!N22/100/3.6*1000000</f>
        <v>78.953540559113591</v>
      </c>
      <c r="G12" s="34"/>
      <c r="H12" s="33"/>
      <c r="I12" s="33"/>
      <c r="J12" s="40">
        <f>C34*'E Balans VL '!D22/100/3.6*1000000+C34*'E Balans VL '!E22/100/3.6*1000000</f>
        <v>0.47947014254361203</v>
      </c>
      <c r="K12" s="33"/>
      <c r="L12" s="33"/>
      <c r="M12" s="33"/>
      <c r="N12" s="33">
        <f>C34*'E Balans VL '!Y22/100/3.6*1000000</f>
        <v>390.62088865483577</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11.792</v>
      </c>
      <c r="C15" s="33"/>
      <c r="D15" s="37">
        <f>IF( ISERROR(IND_rest_gas_kWh/1000),0,IND_rest_gas_kWh/1000)*0.902</f>
        <v>0</v>
      </c>
      <c r="E15" s="33">
        <f>C37*'E Balans VL '!I15/100/3.6*1000000</f>
        <v>0.56253042776577056</v>
      </c>
      <c r="F15" s="33">
        <f>C37*'E Balans VL '!L15/100/3.6*1000000+C37*'E Balans VL '!N15/100/3.6*1000000</f>
        <v>1.8644443786779965</v>
      </c>
      <c r="G15" s="34"/>
      <c r="H15" s="33"/>
      <c r="I15" s="33"/>
      <c r="J15" s="40">
        <f>C37*'E Balans VL '!D15/100/3.6*1000000+C37*'E Balans VL '!E15/100/3.6*1000000</f>
        <v>4.5320007799569247E-2</v>
      </c>
      <c r="K15" s="33"/>
      <c r="L15" s="33"/>
      <c r="M15" s="33"/>
      <c r="N15" s="33">
        <f>C37*'E Balans VL '!Y15/100/3.6*1000000</f>
        <v>0.42960756179366688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1878.010229</v>
      </c>
      <c r="C18" s="21">
        <f>C5+C16</f>
        <v>0</v>
      </c>
      <c r="D18" s="21">
        <f>MAX((D5+D16),0)</f>
        <v>587.68096200000002</v>
      </c>
      <c r="E18" s="21">
        <f>MAX((E5+E16),0)</f>
        <v>13.159015031010986</v>
      </c>
      <c r="F18" s="21">
        <f>MAX((F5+F16),0)</f>
        <v>431.23765199806087</v>
      </c>
      <c r="G18" s="21"/>
      <c r="H18" s="21"/>
      <c r="I18" s="21"/>
      <c r="J18" s="21">
        <f>MAX((J5+J16),0)</f>
        <v>0.62025737689280325</v>
      </c>
      <c r="K18" s="21"/>
      <c r="L18" s="21">
        <f>MAX((L5+L16),0)</f>
        <v>0</v>
      </c>
      <c r="M18" s="21"/>
      <c r="N18" s="21">
        <f>MAX((N5+N16),0)</f>
        <v>448.64793051862171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0.18450457816455912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346.50148509037206</v>
      </c>
      <c r="C22" s="23">
        <f ca="1">C18*C20</f>
        <v>0</v>
      </c>
      <c r="D22" s="23">
        <f>D18*D20</f>
        <v>118.71155432400001</v>
      </c>
      <c r="E22" s="23">
        <f>E18*E20</f>
        <v>2.9870964120394938</v>
      </c>
      <c r="F22" s="23">
        <f>F18*F20</f>
        <v>115.14045308348226</v>
      </c>
      <c r="G22" s="23"/>
      <c r="H22" s="23"/>
      <c r="I22" s="23"/>
      <c r="J22" s="23">
        <f>J18*J20</f>
        <v>0.21957111142005234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99.028000000000006</v>
      </c>
      <c r="C30" s="39">
        <f>IF(ISERROR(B30*3.6/1000000/'E Balans VL '!Z18*100),0,B30*3.6/1000000/'E Balans VL '!Z18*100)</f>
        <v>5.4793618860488232E-3</v>
      </c>
      <c r="D30" s="234" t="s">
        <v>667</v>
      </c>
    </row>
    <row r="31" spans="1:18">
      <c r="A31" s="6" t="s">
        <v>32</v>
      </c>
      <c r="B31" s="37">
        <f>IF( ISERROR(IND_ander_ele_kWh/1000),0,IND_ander_ele_kWh/1000)</f>
        <v>466.60179999999997</v>
      </c>
      <c r="C31" s="39">
        <f>IF(ISERROR(B31*3.6/1000000/'E Balans VL '!Z19*100),0,B31*3.6/1000000/'E Balans VL '!Z19*100)</f>
        <v>2.0354628448551411E-2</v>
      </c>
      <c r="D31" s="234" t="s">
        <v>667</v>
      </c>
    </row>
    <row r="32" spans="1:18">
      <c r="A32" s="168" t="s">
        <v>40</v>
      </c>
      <c r="B32" s="37">
        <f>IF( ISERROR(IND_voed_ele_kWh/1000),0,IND_voed_ele_kWh/1000)</f>
        <v>578.16499999999996</v>
      </c>
      <c r="C32" s="39">
        <f>IF(ISERROR(B32*3.6/1000000/'E Balans VL '!Z20*100),0,B32*3.6/1000000/'E Balans VL '!Z20*100)</f>
        <v>1.8148189186821428E-2</v>
      </c>
      <c r="D32" s="234" t="s">
        <v>667</v>
      </c>
    </row>
    <row r="33" spans="1:5">
      <c r="A33" s="168" t="s">
        <v>39</v>
      </c>
      <c r="B33" s="37">
        <f>IF( ISERROR(IND_textiel_ele_kWh/1000),0,IND_textiel_ele_kWh/1000)</f>
        <v>65.727999999999994</v>
      </c>
      <c r="C33" s="39">
        <f>IF(ISERROR(B33*3.6/1000000/'E Balans VL '!Z21*100),0,B33*3.6/1000000/'E Balans VL '!Z21*100)</f>
        <v>1.0207851135787774E-2</v>
      </c>
      <c r="D33" s="234" t="s">
        <v>667</v>
      </c>
    </row>
    <row r="34" spans="1:5">
      <c r="A34" s="168" t="s">
        <v>36</v>
      </c>
      <c r="B34" s="37">
        <f>IF( ISERROR(IND_min_ele_kWh/1000),0,IND_min_ele_kWh/1000)</f>
        <v>656.69542899999999</v>
      </c>
      <c r="C34" s="39">
        <f>IF(ISERROR(B34*3.6/1000000/'E Balans VL '!Z22*100),0,B34*3.6/1000000/'E Balans VL '!Z22*100)</f>
        <v>0.29455503637489966</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11.792</v>
      </c>
      <c r="C37" s="39">
        <f>IF(ISERROR(B37*3.6/1000000/'E Balans VL '!Z15*100),0,B37*3.6/1000000/'E Balans VL '!Z15*100)</f>
        <v>9.5968224753111616E-5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3787.9290000000001</v>
      </c>
      <c r="C5" s="17">
        <f>'Eigen informatie GS &amp; warmtenet'!B62</f>
        <v>0</v>
      </c>
      <c r="D5" s="30">
        <f>IF(ISERROR(SUM(LB_lb_gas_kWh,LB_rest_gas_kWh)/1000),0,SUM(LB_lb_gas_kWh,LB_rest_gas_kWh)/1000)*0.902</f>
        <v>41.566865999999997</v>
      </c>
      <c r="E5" s="17">
        <f>B17*'E Balans VL '!I25/3.6*1000000/100</f>
        <v>153.89010777128445</v>
      </c>
      <c r="F5" s="17">
        <f>B17*('E Balans VL '!L25/3.6*1000000+'E Balans VL '!N25/3.6*1000000)/100</f>
        <v>13399.230305217023</v>
      </c>
      <c r="G5" s="18"/>
      <c r="H5" s="17"/>
      <c r="I5" s="17"/>
      <c r="J5" s="17">
        <f>('E Balans VL '!D25+'E Balans VL '!E25)/3.6*1000000*landbouw!B17/100</f>
        <v>1076.2291481904788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3787.9290000000001</v>
      </c>
      <c r="C8" s="21">
        <f>C5+C6</f>
        <v>0</v>
      </c>
      <c r="D8" s="21">
        <f>MAX((D5+D6),0)</f>
        <v>41.566865999999997</v>
      </c>
      <c r="E8" s="21">
        <f>MAX((E5+E6),0)</f>
        <v>153.89010777128445</v>
      </c>
      <c r="F8" s="21">
        <f>MAX((F5+F6),0)</f>
        <v>13399.230305217023</v>
      </c>
      <c r="G8" s="21"/>
      <c r="H8" s="21"/>
      <c r="I8" s="21"/>
      <c r="J8" s="21">
        <f>MAX((J5+J6),0)</f>
        <v>1076.2291481904788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0.18450457816455912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698.89024226230026</v>
      </c>
      <c r="C12" s="23">
        <f ca="1">C8*C10</f>
        <v>0</v>
      </c>
      <c r="D12" s="23">
        <f>D8*D10</f>
        <v>8.3965069319999994</v>
      </c>
      <c r="E12" s="23">
        <f>E8*E10</f>
        <v>34.933054464081572</v>
      </c>
      <c r="F12" s="23">
        <f>F8*F10</f>
        <v>3577.5944914929451</v>
      </c>
      <c r="G12" s="23"/>
      <c r="H12" s="23"/>
      <c r="I12" s="23"/>
      <c r="J12" s="23">
        <f>J8*J10</f>
        <v>380.98511845942949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0.56310280029720039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231.87278910667814</v>
      </c>
      <c r="C26" s="244">
        <f>B26*'GWP N2O_CH4'!B5</f>
        <v>4869.3285712402412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90.451044480229811</v>
      </c>
      <c r="C27" s="244">
        <f>B27*'GWP N2O_CH4'!B5</f>
        <v>1899.471934084826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3.4590599166746756</v>
      </c>
      <c r="C28" s="244">
        <f>B28*'GWP N2O_CH4'!B4</f>
        <v>1072.3085741691493</v>
      </c>
      <c r="D28" s="50"/>
    </row>
    <row r="29" spans="1:4">
      <c r="A29" s="41" t="s">
        <v>265</v>
      </c>
      <c r="B29" s="244">
        <f>B34*'ha_N2O bodem landbouw'!B4</f>
        <v>21.321289257025203</v>
      </c>
      <c r="C29" s="244">
        <f>B29*'GWP N2O_CH4'!B4</f>
        <v>6609.5996696778129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4.6753748528840519E-3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1.3929708817608018E-4</v>
      </c>
      <c r="C5" s="429" t="s">
        <v>204</v>
      </c>
      <c r="D5" s="414">
        <f>SUM(D6:D11)</f>
        <v>2.8808608108703808E-4</v>
      </c>
      <c r="E5" s="414">
        <f>SUM(E6:E11)</f>
        <v>2.3994119513363936E-4</v>
      </c>
      <c r="F5" s="427" t="s">
        <v>204</v>
      </c>
      <c r="G5" s="414">
        <f>SUM(G6:G11)</f>
        <v>9.3280997642152808E-2</v>
      </c>
      <c r="H5" s="414">
        <f>SUM(H6:H11)</f>
        <v>2.7310669778748929E-2</v>
      </c>
      <c r="I5" s="429" t="s">
        <v>204</v>
      </c>
      <c r="J5" s="429" t="s">
        <v>204</v>
      </c>
      <c r="K5" s="429" t="s">
        <v>204</v>
      </c>
      <c r="L5" s="429" t="s">
        <v>204</v>
      </c>
      <c r="M5" s="414">
        <f>SUM(M6:M11)</f>
        <v>7.1851400821867882E-3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2.5958642549791075E-5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4.4040209686802479E-5</v>
      </c>
      <c r="E6" s="843">
        <f>vkm_GW_PW*SUMIFS(TableVerdeelsleutelVkm[LPG],TableVerdeelsleutelVkm[Voertuigtype],"Lichte voertuigen")*SUMIFS(TableECFTransport[EnergieConsumptieFactor (PJ per km)],TableECFTransport[Index],CONCATENATE($A6,"_LPG_LPG"))</f>
        <v>3.8130426629340846E-5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1.2180457015002434E-2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4.2374286571512394E-3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9.8266688569426781E-4</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3.3385779199966324E-7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1.2742376952926886E-2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2.0308141119758152E-7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7.3450265201756206E-4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1.1283047845297219E-4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2.4404587140023561E-4</v>
      </c>
      <c r="E8" s="417">
        <f>vkm_NGW_PW*SUMIFS(TableVerdeelsleutelVkm[LPG],TableVerdeelsleutelVkm[Voertuigtype],"Lichte voertuigen")*SUMIFS(TableECFTransport[EnergieConsumptieFactor (PJ per km)],TableECFTransport[Index],CONCATENATE($A8,"_LPG_LPG"))</f>
        <v>2.0181076850429852E-4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5.9815185466501643E-2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2.3072910205922788E-2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4.9755323475886475E-3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1.7410938131725735E-7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8.5429782077218498E-3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1.2783426370267249E-7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4.9243819688631074E-4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38.693635604466714</v>
      </c>
      <c r="C14" s="21"/>
      <c r="D14" s="21">
        <f t="shared" ref="D14:M14" si="0">((D5)*10^9/3600)+D12</f>
        <v>80.023911413066131</v>
      </c>
      <c r="E14" s="21">
        <f t="shared" si="0"/>
        <v>66.650331981566481</v>
      </c>
      <c r="F14" s="21"/>
      <c r="G14" s="21">
        <f t="shared" si="0"/>
        <v>25911.388233931335</v>
      </c>
      <c r="H14" s="21">
        <f t="shared" si="0"/>
        <v>7586.2971607635918</v>
      </c>
      <c r="I14" s="21"/>
      <c r="J14" s="21"/>
      <c r="K14" s="21"/>
      <c r="L14" s="21"/>
      <c r="M14" s="21">
        <f t="shared" si="0"/>
        <v>1995.8722450518856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0.18450457816455912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7.1391529148552966</v>
      </c>
      <c r="C18" s="23"/>
      <c r="D18" s="23">
        <f t="shared" ref="D18:M18" si="1">D14*D16</f>
        <v>16.164830105439361</v>
      </c>
      <c r="E18" s="23">
        <f t="shared" si="1"/>
        <v>15.129625359815591</v>
      </c>
      <c r="F18" s="23"/>
      <c r="G18" s="23">
        <f t="shared" si="1"/>
        <v>6918.3406584596669</v>
      </c>
      <c r="H18" s="23">
        <f t="shared" si="1"/>
        <v>1888.9879930301342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2.7761805065535725E-5</v>
      </c>
      <c r="C50" s="313">
        <f t="shared" ref="C50:P50" si="2">SUM(C51:C52)</f>
        <v>0</v>
      </c>
      <c r="D50" s="313">
        <f t="shared" si="2"/>
        <v>0</v>
      </c>
      <c r="E50" s="313">
        <f t="shared" si="2"/>
        <v>0</v>
      </c>
      <c r="F50" s="313">
        <f t="shared" si="2"/>
        <v>0</v>
      </c>
      <c r="G50" s="313">
        <f t="shared" si="2"/>
        <v>2.0113846194145433E-3</v>
      </c>
      <c r="H50" s="313">
        <f t="shared" si="2"/>
        <v>0</v>
      </c>
      <c r="I50" s="313">
        <f t="shared" si="2"/>
        <v>0</v>
      </c>
      <c r="J50" s="313">
        <f t="shared" si="2"/>
        <v>0</v>
      </c>
      <c r="K50" s="313">
        <f t="shared" si="2"/>
        <v>0</v>
      </c>
      <c r="L50" s="313">
        <f t="shared" si="2"/>
        <v>0</v>
      </c>
      <c r="M50" s="313">
        <f t="shared" si="2"/>
        <v>1.1376990404459319E-4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2.7761805065535725E-5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2.0113846194145433E-3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1.1376990404459319E-4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7.711612518204368</v>
      </c>
      <c r="C54" s="21">
        <f t="shared" ref="C54:P54" si="3">(C50)*10^9/3600</f>
        <v>0</v>
      </c>
      <c r="D54" s="21">
        <f t="shared" si="3"/>
        <v>0</v>
      </c>
      <c r="E54" s="21">
        <f t="shared" si="3"/>
        <v>0</v>
      </c>
      <c r="F54" s="21">
        <f t="shared" si="3"/>
        <v>0</v>
      </c>
      <c r="G54" s="21">
        <f t="shared" si="3"/>
        <v>558.71794983737311</v>
      </c>
      <c r="H54" s="21">
        <f t="shared" si="3"/>
        <v>0</v>
      </c>
      <c r="I54" s="21">
        <f t="shared" si="3"/>
        <v>0</v>
      </c>
      <c r="J54" s="21">
        <f t="shared" si="3"/>
        <v>0</v>
      </c>
      <c r="K54" s="21">
        <f t="shared" si="3"/>
        <v>0</v>
      </c>
      <c r="L54" s="21">
        <f t="shared" si="3"/>
        <v>0</v>
      </c>
      <c r="M54" s="21">
        <f t="shared" si="3"/>
        <v>31.602751123498109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0.18450457816455912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1.4228278146398303</v>
      </c>
      <c r="C58" s="23">
        <f t="shared" ref="C58:P58" ca="1" si="4">C54*C56</f>
        <v>0</v>
      </c>
      <c r="D58" s="23">
        <f t="shared" si="4"/>
        <v>0</v>
      </c>
      <c r="E58" s="23">
        <f t="shared" si="4"/>
        <v>0</v>
      </c>
      <c r="F58" s="23">
        <f t="shared" si="4"/>
        <v>0</v>
      </c>
      <c r="G58" s="23">
        <f t="shared" si="4"/>
        <v>149.17769260657863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3916.3454617550142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3916.3454617550142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3925.5778259999997</v>
      </c>
      <c r="D10" s="641">
        <f ca="1">tertiair!C16</f>
        <v>0</v>
      </c>
      <c r="E10" s="641">
        <f ca="1">tertiair!D16</f>
        <v>1870.2158199999999</v>
      </c>
      <c r="F10" s="641">
        <f>tertiair!E16</f>
        <v>10.158488449109896</v>
      </c>
      <c r="G10" s="641">
        <f ca="1">tertiair!F16</f>
        <v>633.64220265737026</v>
      </c>
      <c r="H10" s="641">
        <f>tertiair!G16</f>
        <v>0</v>
      </c>
      <c r="I10" s="641">
        <f>tertiair!H16</f>
        <v>0</v>
      </c>
      <c r="J10" s="641">
        <f>tertiair!I16</f>
        <v>0</v>
      </c>
      <c r="K10" s="641">
        <f>tertiair!J16</f>
        <v>4.7384606813708789E-3</v>
      </c>
      <c r="L10" s="641">
        <f>tertiair!K16</f>
        <v>0</v>
      </c>
      <c r="M10" s="641">
        <f ca="1">tertiair!L16</f>
        <v>0</v>
      </c>
      <c r="N10" s="641">
        <f>tertiair!M16</f>
        <v>0</v>
      </c>
      <c r="O10" s="641">
        <f ca="1">tertiair!N16</f>
        <v>177.4348323046089</v>
      </c>
      <c r="P10" s="641">
        <f>tertiair!O16</f>
        <v>0</v>
      </c>
      <c r="Q10" s="642">
        <f>tertiair!P16</f>
        <v>0</v>
      </c>
      <c r="R10" s="644">
        <f ca="1">SUM(C10:Q10)</f>
        <v>6617.0339078717707</v>
      </c>
      <c r="S10" s="67"/>
    </row>
    <row r="11" spans="1:19" s="440" customFormat="1">
      <c r="A11" s="761" t="s">
        <v>213</v>
      </c>
      <c r="B11" s="766"/>
      <c r="C11" s="641">
        <f>huishoudens!B8</f>
        <v>13764.615522441012</v>
      </c>
      <c r="D11" s="641">
        <f>huishoudens!C8</f>
        <v>0</v>
      </c>
      <c r="E11" s="641">
        <f>huishoudens!D8</f>
        <v>10756.4621637</v>
      </c>
      <c r="F11" s="641">
        <f>huishoudens!E8</f>
        <v>1763.7457046253612</v>
      </c>
      <c r="G11" s="641">
        <f>huishoudens!F8</f>
        <v>33942.04815760412</v>
      </c>
      <c r="H11" s="641">
        <f>huishoudens!G8</f>
        <v>0</v>
      </c>
      <c r="I11" s="641">
        <f>huishoudens!H8</f>
        <v>0</v>
      </c>
      <c r="J11" s="641">
        <f>huishoudens!I8</f>
        <v>0</v>
      </c>
      <c r="K11" s="641">
        <f>huishoudens!J8</f>
        <v>173.68507309458133</v>
      </c>
      <c r="L11" s="641">
        <f>huishoudens!K8</f>
        <v>0</v>
      </c>
      <c r="M11" s="641">
        <f>huishoudens!L8</f>
        <v>0</v>
      </c>
      <c r="N11" s="641">
        <f>huishoudens!M8</f>
        <v>0</v>
      </c>
      <c r="O11" s="641">
        <f>huishoudens!N8</f>
        <v>5510.3771042518556</v>
      </c>
      <c r="P11" s="641">
        <f>huishoudens!O8</f>
        <v>196.41186371931616</v>
      </c>
      <c r="Q11" s="642">
        <f>huishoudens!P8</f>
        <v>442.42629092277093</v>
      </c>
      <c r="R11" s="644">
        <f>SUM(C11:Q11)</f>
        <v>66549.771880359011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1878.010229</v>
      </c>
      <c r="D13" s="641">
        <f>industrie!C18</f>
        <v>0</v>
      </c>
      <c r="E13" s="641">
        <f>industrie!D18</f>
        <v>587.68096200000002</v>
      </c>
      <c r="F13" s="641">
        <f>industrie!E18</f>
        <v>13.159015031010986</v>
      </c>
      <c r="G13" s="641">
        <f>industrie!F18</f>
        <v>431.23765199806087</v>
      </c>
      <c r="H13" s="641">
        <f>industrie!G18</f>
        <v>0</v>
      </c>
      <c r="I13" s="641">
        <f>industrie!H18</f>
        <v>0</v>
      </c>
      <c r="J13" s="641">
        <f>industrie!I18</f>
        <v>0</v>
      </c>
      <c r="K13" s="641">
        <f>industrie!J18</f>
        <v>0.62025737689280325</v>
      </c>
      <c r="L13" s="641">
        <f>industrie!K18</f>
        <v>0</v>
      </c>
      <c r="M13" s="641">
        <f>industrie!L18</f>
        <v>0</v>
      </c>
      <c r="N13" s="641">
        <f>industrie!M18</f>
        <v>0</v>
      </c>
      <c r="O13" s="641">
        <f>industrie!N18</f>
        <v>448.64793051862171</v>
      </c>
      <c r="P13" s="641">
        <f>industrie!O18</f>
        <v>0</v>
      </c>
      <c r="Q13" s="642">
        <f>industrie!P18</f>
        <v>0</v>
      </c>
      <c r="R13" s="644">
        <f>SUM(C13:Q13)</f>
        <v>3359.3560459245859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19568.203577441011</v>
      </c>
      <c r="D16" s="677">
        <f t="shared" ref="D16:R16" ca="1" si="0">SUM(D9:D15)</f>
        <v>0</v>
      </c>
      <c r="E16" s="677">
        <f t="shared" ca="1" si="0"/>
        <v>13214.3589457</v>
      </c>
      <c r="F16" s="677">
        <f t="shared" si="0"/>
        <v>1787.0632081054821</v>
      </c>
      <c r="G16" s="677">
        <f t="shared" ca="1" si="0"/>
        <v>35006.928012259552</v>
      </c>
      <c r="H16" s="677">
        <f t="shared" si="0"/>
        <v>0</v>
      </c>
      <c r="I16" s="677">
        <f t="shared" si="0"/>
        <v>0</v>
      </c>
      <c r="J16" s="677">
        <f t="shared" si="0"/>
        <v>0</v>
      </c>
      <c r="K16" s="677">
        <f t="shared" si="0"/>
        <v>174.3100689321555</v>
      </c>
      <c r="L16" s="677">
        <f t="shared" si="0"/>
        <v>0</v>
      </c>
      <c r="M16" s="677">
        <f t="shared" ca="1" si="0"/>
        <v>0</v>
      </c>
      <c r="N16" s="677">
        <f t="shared" si="0"/>
        <v>0</v>
      </c>
      <c r="O16" s="677">
        <f t="shared" ca="1" si="0"/>
        <v>6136.4598670750856</v>
      </c>
      <c r="P16" s="677">
        <f t="shared" si="0"/>
        <v>196.41186371931616</v>
      </c>
      <c r="Q16" s="677">
        <f t="shared" si="0"/>
        <v>442.42629092277093</v>
      </c>
      <c r="R16" s="677">
        <f t="shared" ca="1" si="0"/>
        <v>76526.161834155369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7.711612518204368</v>
      </c>
      <c r="D19" s="641">
        <f>transport!C54</f>
        <v>0</v>
      </c>
      <c r="E19" s="641">
        <f>transport!D54</f>
        <v>0</v>
      </c>
      <c r="F19" s="641">
        <f>transport!E54</f>
        <v>0</v>
      </c>
      <c r="G19" s="641">
        <f>transport!F54</f>
        <v>0</v>
      </c>
      <c r="H19" s="641">
        <f>transport!G54</f>
        <v>558.71794983737311</v>
      </c>
      <c r="I19" s="641">
        <f>transport!H54</f>
        <v>0</v>
      </c>
      <c r="J19" s="641">
        <f>transport!I54</f>
        <v>0</v>
      </c>
      <c r="K19" s="641">
        <f>transport!J54</f>
        <v>0</v>
      </c>
      <c r="L19" s="641">
        <f>transport!K54</f>
        <v>0</v>
      </c>
      <c r="M19" s="641">
        <f>transport!L54</f>
        <v>0</v>
      </c>
      <c r="N19" s="641">
        <f>transport!M54</f>
        <v>31.602751123498109</v>
      </c>
      <c r="O19" s="641">
        <f>transport!N54</f>
        <v>0</v>
      </c>
      <c r="P19" s="641">
        <f>transport!O54</f>
        <v>0</v>
      </c>
      <c r="Q19" s="642">
        <f>transport!P54</f>
        <v>0</v>
      </c>
      <c r="R19" s="644">
        <f>SUM(C19:Q19)</f>
        <v>598.03231347907558</v>
      </c>
      <c r="S19" s="67"/>
    </row>
    <row r="20" spans="1:19" s="440" customFormat="1">
      <c r="A20" s="761" t="s">
        <v>295</v>
      </c>
      <c r="B20" s="766"/>
      <c r="C20" s="641">
        <f>transport!B14</f>
        <v>38.693635604466714</v>
      </c>
      <c r="D20" s="641">
        <f>transport!C14</f>
        <v>0</v>
      </c>
      <c r="E20" s="641">
        <f>transport!D14</f>
        <v>80.023911413066131</v>
      </c>
      <c r="F20" s="641">
        <f>transport!E14</f>
        <v>66.650331981566481</v>
      </c>
      <c r="G20" s="641">
        <f>transport!F14</f>
        <v>0</v>
      </c>
      <c r="H20" s="641">
        <f>transport!G14</f>
        <v>25911.388233931335</v>
      </c>
      <c r="I20" s="641">
        <f>transport!H14</f>
        <v>7586.2971607635918</v>
      </c>
      <c r="J20" s="641">
        <f>transport!I14</f>
        <v>0</v>
      </c>
      <c r="K20" s="641">
        <f>transport!J14</f>
        <v>0</v>
      </c>
      <c r="L20" s="641">
        <f>transport!K14</f>
        <v>0</v>
      </c>
      <c r="M20" s="641">
        <f>transport!L14</f>
        <v>0</v>
      </c>
      <c r="N20" s="641">
        <f>transport!M14</f>
        <v>1995.8722450518856</v>
      </c>
      <c r="O20" s="641">
        <f>transport!N14</f>
        <v>0</v>
      </c>
      <c r="P20" s="641">
        <f>transport!O14</f>
        <v>0</v>
      </c>
      <c r="Q20" s="642">
        <f>transport!P14</f>
        <v>0</v>
      </c>
      <c r="R20" s="644">
        <f>SUM(C20:Q20)</f>
        <v>35678.925518745906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46.405248122671082</v>
      </c>
      <c r="D22" s="764">
        <f t="shared" ref="D22:R22" si="1">SUM(D18:D21)</f>
        <v>0</v>
      </c>
      <c r="E22" s="764">
        <f t="shared" si="1"/>
        <v>80.023911413066131</v>
      </c>
      <c r="F22" s="764">
        <f t="shared" si="1"/>
        <v>66.650331981566481</v>
      </c>
      <c r="G22" s="764">
        <f t="shared" si="1"/>
        <v>0</v>
      </c>
      <c r="H22" s="764">
        <f t="shared" si="1"/>
        <v>26470.106183768708</v>
      </c>
      <c r="I22" s="764">
        <f t="shared" si="1"/>
        <v>7586.2971607635918</v>
      </c>
      <c r="J22" s="764">
        <f t="shared" si="1"/>
        <v>0</v>
      </c>
      <c r="K22" s="764">
        <f t="shared" si="1"/>
        <v>0</v>
      </c>
      <c r="L22" s="764">
        <f t="shared" si="1"/>
        <v>0</v>
      </c>
      <c r="M22" s="764">
        <f t="shared" si="1"/>
        <v>0</v>
      </c>
      <c r="N22" s="764">
        <f t="shared" si="1"/>
        <v>2027.4749961753837</v>
      </c>
      <c r="O22" s="764">
        <f t="shared" si="1"/>
        <v>0</v>
      </c>
      <c r="P22" s="764">
        <f t="shared" si="1"/>
        <v>0</v>
      </c>
      <c r="Q22" s="764">
        <f t="shared" si="1"/>
        <v>0</v>
      </c>
      <c r="R22" s="764">
        <f t="shared" si="1"/>
        <v>36276.95783222498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3787.9290000000001</v>
      </c>
      <c r="D24" s="641">
        <f>+landbouw!C8</f>
        <v>0</v>
      </c>
      <c r="E24" s="641">
        <f>+landbouw!D8</f>
        <v>41.566865999999997</v>
      </c>
      <c r="F24" s="641">
        <f>+landbouw!E8</f>
        <v>153.89010777128445</v>
      </c>
      <c r="G24" s="641">
        <f>+landbouw!F8</f>
        <v>13399.230305217023</v>
      </c>
      <c r="H24" s="641">
        <f>+landbouw!G8</f>
        <v>0</v>
      </c>
      <c r="I24" s="641">
        <f>+landbouw!H8</f>
        <v>0</v>
      </c>
      <c r="J24" s="641">
        <f>+landbouw!I8</f>
        <v>0</v>
      </c>
      <c r="K24" s="641">
        <f>+landbouw!J8</f>
        <v>1076.2291481904788</v>
      </c>
      <c r="L24" s="641">
        <f>+landbouw!K8</f>
        <v>0</v>
      </c>
      <c r="M24" s="641">
        <f>+landbouw!L8</f>
        <v>0</v>
      </c>
      <c r="N24" s="641">
        <f>+landbouw!M8</f>
        <v>0</v>
      </c>
      <c r="O24" s="641">
        <f>+landbouw!N8</f>
        <v>0</v>
      </c>
      <c r="P24" s="641">
        <f>+landbouw!O8</f>
        <v>0</v>
      </c>
      <c r="Q24" s="642">
        <f>+landbouw!P8</f>
        <v>0</v>
      </c>
      <c r="R24" s="644">
        <f>SUM(C24:Q24)</f>
        <v>18458.845427178789</v>
      </c>
      <c r="S24" s="67"/>
    </row>
    <row r="25" spans="1:19" s="440" customFormat="1" ht="15" thickBot="1">
      <c r="A25" s="783" t="s">
        <v>683</v>
      </c>
      <c r="B25" s="901"/>
      <c r="C25" s="902">
        <f>IF(Onbekend_ele_kWh="---",0,Onbekend_ele_kWh)/1000+IF(REST_rest_ele_kWh="---",0,REST_rest_ele_kWh)/1000</f>
        <v>313.10384999999997</v>
      </c>
      <c r="D25" s="902"/>
      <c r="E25" s="902">
        <f>IF(onbekend_gas_kWh="---",0,onbekend_gas_kWh)/1000+IF(REST_rest_gas_kWh="---",0,REST_rest_gas_kWh)/1000</f>
        <v>332.476</v>
      </c>
      <c r="F25" s="902"/>
      <c r="G25" s="902"/>
      <c r="H25" s="902"/>
      <c r="I25" s="902"/>
      <c r="J25" s="902"/>
      <c r="K25" s="902"/>
      <c r="L25" s="902"/>
      <c r="M25" s="902"/>
      <c r="N25" s="902"/>
      <c r="O25" s="902"/>
      <c r="P25" s="902"/>
      <c r="Q25" s="903"/>
      <c r="R25" s="644">
        <f>SUM(C25:Q25)</f>
        <v>645.57984999999996</v>
      </c>
      <c r="S25" s="67"/>
    </row>
    <row r="26" spans="1:19" s="440" customFormat="1" ht="15.75" thickBot="1">
      <c r="A26" s="649" t="s">
        <v>684</v>
      </c>
      <c r="B26" s="769"/>
      <c r="C26" s="764">
        <f>SUM(C24:C25)</f>
        <v>4101.0328499999996</v>
      </c>
      <c r="D26" s="764">
        <f t="shared" ref="D26:R26" si="2">SUM(D24:D25)</f>
        <v>0</v>
      </c>
      <c r="E26" s="764">
        <f t="shared" si="2"/>
        <v>374.042866</v>
      </c>
      <c r="F26" s="764">
        <f t="shared" si="2"/>
        <v>153.89010777128445</v>
      </c>
      <c r="G26" s="764">
        <f t="shared" si="2"/>
        <v>13399.230305217023</v>
      </c>
      <c r="H26" s="764">
        <f t="shared" si="2"/>
        <v>0</v>
      </c>
      <c r="I26" s="764">
        <f t="shared" si="2"/>
        <v>0</v>
      </c>
      <c r="J26" s="764">
        <f t="shared" si="2"/>
        <v>0</v>
      </c>
      <c r="K26" s="764">
        <f t="shared" si="2"/>
        <v>1076.2291481904788</v>
      </c>
      <c r="L26" s="764">
        <f t="shared" si="2"/>
        <v>0</v>
      </c>
      <c r="M26" s="764">
        <f t="shared" si="2"/>
        <v>0</v>
      </c>
      <c r="N26" s="764">
        <f t="shared" si="2"/>
        <v>0</v>
      </c>
      <c r="O26" s="764">
        <f t="shared" si="2"/>
        <v>0</v>
      </c>
      <c r="P26" s="764">
        <f t="shared" si="2"/>
        <v>0</v>
      </c>
      <c r="Q26" s="764">
        <f t="shared" si="2"/>
        <v>0</v>
      </c>
      <c r="R26" s="764">
        <f t="shared" si="2"/>
        <v>19104.425277178787</v>
      </c>
      <c r="S26" s="67"/>
    </row>
    <row r="27" spans="1:19" s="440" customFormat="1" ht="17.25" thickTop="1" thickBot="1">
      <c r="A27" s="650" t="s">
        <v>109</v>
      </c>
      <c r="B27" s="756"/>
      <c r="C27" s="651">
        <f ca="1">C22+C16+C26</f>
        <v>23715.641675563682</v>
      </c>
      <c r="D27" s="651">
        <f t="shared" ref="D27:R27" ca="1" si="3">D22+D16+D26</f>
        <v>0</v>
      </c>
      <c r="E27" s="651">
        <f t="shared" ca="1" si="3"/>
        <v>13668.425723113065</v>
      </c>
      <c r="F27" s="651">
        <f t="shared" si="3"/>
        <v>2007.603647858333</v>
      </c>
      <c r="G27" s="651">
        <f t="shared" ca="1" si="3"/>
        <v>48406.158317476576</v>
      </c>
      <c r="H27" s="651">
        <f t="shared" si="3"/>
        <v>26470.106183768708</v>
      </c>
      <c r="I27" s="651">
        <f t="shared" si="3"/>
        <v>7586.2971607635918</v>
      </c>
      <c r="J27" s="651">
        <f t="shared" si="3"/>
        <v>0</v>
      </c>
      <c r="K27" s="651">
        <f t="shared" si="3"/>
        <v>1250.5392171226342</v>
      </c>
      <c r="L27" s="651">
        <f t="shared" si="3"/>
        <v>0</v>
      </c>
      <c r="M27" s="651">
        <f t="shared" ca="1" si="3"/>
        <v>0</v>
      </c>
      <c r="N27" s="651">
        <f t="shared" si="3"/>
        <v>2027.4749961753837</v>
      </c>
      <c r="O27" s="651">
        <f t="shared" ca="1" si="3"/>
        <v>6136.4598670750856</v>
      </c>
      <c r="P27" s="651">
        <f t="shared" si="3"/>
        <v>196.41186371931616</v>
      </c>
      <c r="Q27" s="651">
        <f t="shared" si="3"/>
        <v>442.42629092277093</v>
      </c>
      <c r="R27" s="651">
        <f t="shared" ca="1" si="3"/>
        <v>131907.54494355913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724.28708083827701</v>
      </c>
      <c r="D40" s="641">
        <f ca="1">tertiair!C20</f>
        <v>0</v>
      </c>
      <c r="E40" s="641">
        <f ca="1">tertiair!D20</f>
        <v>377.78359563999999</v>
      </c>
      <c r="F40" s="641">
        <f>tertiair!E20</f>
        <v>2.3059768779479466</v>
      </c>
      <c r="G40" s="641">
        <f ca="1">tertiair!F20</f>
        <v>169.18246810951786</v>
      </c>
      <c r="H40" s="641">
        <f>tertiair!G20</f>
        <v>0</v>
      </c>
      <c r="I40" s="641">
        <f>tertiair!H20</f>
        <v>0</v>
      </c>
      <c r="J40" s="641">
        <f>tertiair!I20</f>
        <v>0</v>
      </c>
      <c r="K40" s="641">
        <f>tertiair!J20</f>
        <v>1.677415081205291E-3</v>
      </c>
      <c r="L40" s="641">
        <f>tertiair!K20</f>
        <v>0</v>
      </c>
      <c r="M40" s="641">
        <f ca="1">tertiair!L20</f>
        <v>0</v>
      </c>
      <c r="N40" s="641">
        <f>tertiair!M20</f>
        <v>0</v>
      </c>
      <c r="O40" s="641">
        <f ca="1">tertiair!N20</f>
        <v>0</v>
      </c>
      <c r="P40" s="641">
        <f>tertiair!O20</f>
        <v>0</v>
      </c>
      <c r="Q40" s="724">
        <f>tertiair!P20</f>
        <v>0</v>
      </c>
      <c r="R40" s="802">
        <f t="shared" ca="1" si="4"/>
        <v>1273.560798880824</v>
      </c>
    </row>
    <row r="41" spans="1:18">
      <c r="A41" s="774" t="s">
        <v>213</v>
      </c>
      <c r="B41" s="781"/>
      <c r="C41" s="641">
        <f ca="1">huishoudens!B12</f>
        <v>2539.6345805653214</v>
      </c>
      <c r="D41" s="641">
        <f ca="1">huishoudens!C12</f>
        <v>0</v>
      </c>
      <c r="E41" s="641">
        <f>huishoudens!D12</f>
        <v>2172.8053570674001</v>
      </c>
      <c r="F41" s="641">
        <f>huishoudens!E12</f>
        <v>400.37027494995704</v>
      </c>
      <c r="G41" s="641">
        <f>huishoudens!F12</f>
        <v>9062.5268580803004</v>
      </c>
      <c r="H41" s="641">
        <f>huishoudens!G12</f>
        <v>0</v>
      </c>
      <c r="I41" s="641">
        <f>huishoudens!H12</f>
        <v>0</v>
      </c>
      <c r="J41" s="641">
        <f>huishoudens!I12</f>
        <v>0</v>
      </c>
      <c r="K41" s="641">
        <f>huishoudens!J12</f>
        <v>61.484515875481783</v>
      </c>
      <c r="L41" s="641">
        <f>huishoudens!K12</f>
        <v>0</v>
      </c>
      <c r="M41" s="641">
        <f>huishoudens!L12</f>
        <v>0</v>
      </c>
      <c r="N41" s="641">
        <f>huishoudens!M12</f>
        <v>0</v>
      </c>
      <c r="O41" s="641">
        <f>huishoudens!N12</f>
        <v>0</v>
      </c>
      <c r="P41" s="641">
        <f>huishoudens!O12</f>
        <v>0</v>
      </c>
      <c r="Q41" s="724">
        <f>huishoudens!P12</f>
        <v>0</v>
      </c>
      <c r="R41" s="802">
        <f t="shared" ca="1" si="4"/>
        <v>14236.821586538461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346.50148509037206</v>
      </c>
      <c r="D43" s="641">
        <f ca="1">industrie!C22</f>
        <v>0</v>
      </c>
      <c r="E43" s="641">
        <f>industrie!D22</f>
        <v>118.71155432400001</v>
      </c>
      <c r="F43" s="641">
        <f>industrie!E22</f>
        <v>2.9870964120394938</v>
      </c>
      <c r="G43" s="641">
        <f>industrie!F22</f>
        <v>115.14045308348226</v>
      </c>
      <c r="H43" s="641">
        <f>industrie!G22</f>
        <v>0</v>
      </c>
      <c r="I43" s="641">
        <f>industrie!H22</f>
        <v>0</v>
      </c>
      <c r="J43" s="641">
        <f>industrie!I22</f>
        <v>0</v>
      </c>
      <c r="K43" s="641">
        <f>industrie!J22</f>
        <v>0.21957111142005234</v>
      </c>
      <c r="L43" s="641">
        <f>industrie!K22</f>
        <v>0</v>
      </c>
      <c r="M43" s="641">
        <f>industrie!L22</f>
        <v>0</v>
      </c>
      <c r="N43" s="641">
        <f>industrie!M22</f>
        <v>0</v>
      </c>
      <c r="O43" s="641">
        <f>industrie!N22</f>
        <v>0</v>
      </c>
      <c r="P43" s="641">
        <f>industrie!O22</f>
        <v>0</v>
      </c>
      <c r="Q43" s="724">
        <f>industrie!P22</f>
        <v>0</v>
      </c>
      <c r="R43" s="801">
        <f t="shared" ca="1" si="4"/>
        <v>583.56016002131378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3610.4231464939708</v>
      </c>
      <c r="D46" s="677">
        <f t="shared" ref="D46:Q46" ca="1" si="5">SUM(D39:D45)</f>
        <v>0</v>
      </c>
      <c r="E46" s="677">
        <f t="shared" ca="1" si="5"/>
        <v>2669.3005070314002</v>
      </c>
      <c r="F46" s="677">
        <f t="shared" si="5"/>
        <v>405.66334823994447</v>
      </c>
      <c r="G46" s="677">
        <f t="shared" ca="1" si="5"/>
        <v>9346.8497792733015</v>
      </c>
      <c r="H46" s="677">
        <f t="shared" si="5"/>
        <v>0</v>
      </c>
      <c r="I46" s="677">
        <f t="shared" si="5"/>
        <v>0</v>
      </c>
      <c r="J46" s="677">
        <f t="shared" si="5"/>
        <v>0</v>
      </c>
      <c r="K46" s="677">
        <f t="shared" si="5"/>
        <v>61.705764401983039</v>
      </c>
      <c r="L46" s="677">
        <f t="shared" si="5"/>
        <v>0</v>
      </c>
      <c r="M46" s="677">
        <f t="shared" ca="1" si="5"/>
        <v>0</v>
      </c>
      <c r="N46" s="677">
        <f t="shared" si="5"/>
        <v>0</v>
      </c>
      <c r="O46" s="677">
        <f t="shared" ca="1" si="5"/>
        <v>0</v>
      </c>
      <c r="P46" s="677">
        <f t="shared" si="5"/>
        <v>0</v>
      </c>
      <c r="Q46" s="677">
        <f t="shared" si="5"/>
        <v>0</v>
      </c>
      <c r="R46" s="677">
        <f ca="1">SUM(R39:R45)</f>
        <v>16093.942545440599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1.4228278146398303</v>
      </c>
      <c r="D49" s="641">
        <f ca="1">transport!C58</f>
        <v>0</v>
      </c>
      <c r="E49" s="641">
        <f>transport!D58</f>
        <v>0</v>
      </c>
      <c r="F49" s="641">
        <f>transport!E58</f>
        <v>0</v>
      </c>
      <c r="G49" s="641">
        <f>transport!F58</f>
        <v>0</v>
      </c>
      <c r="H49" s="641">
        <f>transport!G58</f>
        <v>149.17769260657863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150.60052042121845</v>
      </c>
    </row>
    <row r="50" spans="1:18">
      <c r="A50" s="777" t="s">
        <v>295</v>
      </c>
      <c r="B50" s="787"/>
      <c r="C50" s="647">
        <f ca="1">transport!B18</f>
        <v>7.1391529148552966</v>
      </c>
      <c r="D50" s="647">
        <f>transport!C18</f>
        <v>0</v>
      </c>
      <c r="E50" s="647">
        <f>transport!D18</f>
        <v>16.164830105439361</v>
      </c>
      <c r="F50" s="647">
        <f>transport!E18</f>
        <v>15.129625359815591</v>
      </c>
      <c r="G50" s="647">
        <f>transport!F18</f>
        <v>0</v>
      </c>
      <c r="H50" s="647">
        <f>transport!G18</f>
        <v>6918.3406584596669</v>
      </c>
      <c r="I50" s="647">
        <f>transport!H18</f>
        <v>1888.9879930301342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8845.7622598699108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8.5619807294951276</v>
      </c>
      <c r="D52" s="677">
        <f t="shared" ref="D52:Q52" ca="1" si="6">SUM(D48:D51)</f>
        <v>0</v>
      </c>
      <c r="E52" s="677">
        <f t="shared" si="6"/>
        <v>16.164830105439361</v>
      </c>
      <c r="F52" s="677">
        <f t="shared" si="6"/>
        <v>15.129625359815591</v>
      </c>
      <c r="G52" s="677">
        <f t="shared" si="6"/>
        <v>0</v>
      </c>
      <c r="H52" s="677">
        <f t="shared" si="6"/>
        <v>7067.5183510662455</v>
      </c>
      <c r="I52" s="677">
        <f t="shared" si="6"/>
        <v>1888.9879930301342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8996.3627802911287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698.89024226230026</v>
      </c>
      <c r="D54" s="647">
        <f ca="1">+landbouw!C12</f>
        <v>0</v>
      </c>
      <c r="E54" s="647">
        <f>+landbouw!D12</f>
        <v>8.3965069319999994</v>
      </c>
      <c r="F54" s="647">
        <f>+landbouw!E12</f>
        <v>34.933054464081572</v>
      </c>
      <c r="G54" s="647">
        <f>+landbouw!F12</f>
        <v>3577.5944914929451</v>
      </c>
      <c r="H54" s="647">
        <f>+landbouw!G12</f>
        <v>0</v>
      </c>
      <c r="I54" s="647">
        <f>+landbouw!H12</f>
        <v>0</v>
      </c>
      <c r="J54" s="647">
        <f>+landbouw!I12</f>
        <v>0</v>
      </c>
      <c r="K54" s="647">
        <f>+landbouw!J12</f>
        <v>380.98511845942949</v>
      </c>
      <c r="L54" s="647">
        <f>+landbouw!K12</f>
        <v>0</v>
      </c>
      <c r="M54" s="647">
        <f>+landbouw!L12</f>
        <v>0</v>
      </c>
      <c r="N54" s="647">
        <f>+landbouw!M12</f>
        <v>0</v>
      </c>
      <c r="O54" s="647">
        <f>+landbouw!N12</f>
        <v>0</v>
      </c>
      <c r="P54" s="647">
        <f>+landbouw!O12</f>
        <v>0</v>
      </c>
      <c r="Q54" s="648">
        <f>+landbouw!P12</f>
        <v>0</v>
      </c>
      <c r="R54" s="676">
        <f ca="1">SUM(C54:Q54)</f>
        <v>4700.7994136107573</v>
      </c>
    </row>
    <row r="55" spans="1:18" ht="15" thickBot="1">
      <c r="A55" s="777" t="s">
        <v>683</v>
      </c>
      <c r="B55" s="787"/>
      <c r="C55" s="647">
        <f ca="1">C25*'EF ele_warmte'!B12</f>
        <v>57.769093765949385</v>
      </c>
      <c r="D55" s="647"/>
      <c r="E55" s="647">
        <f>E25*EF_CO2_aardgas</f>
        <v>67.160152000000011</v>
      </c>
      <c r="F55" s="647"/>
      <c r="G55" s="647"/>
      <c r="H55" s="647"/>
      <c r="I55" s="647"/>
      <c r="J55" s="647"/>
      <c r="K55" s="647"/>
      <c r="L55" s="647"/>
      <c r="M55" s="647"/>
      <c r="N55" s="647"/>
      <c r="O55" s="647"/>
      <c r="P55" s="647"/>
      <c r="Q55" s="648"/>
      <c r="R55" s="676">
        <f ca="1">SUM(C55:Q55)</f>
        <v>124.92924576594939</v>
      </c>
    </row>
    <row r="56" spans="1:18" ht="15.75" thickBot="1">
      <c r="A56" s="775" t="s">
        <v>684</v>
      </c>
      <c r="B56" s="788"/>
      <c r="C56" s="677">
        <f ca="1">SUM(C54:C55)</f>
        <v>756.65933602824964</v>
      </c>
      <c r="D56" s="677">
        <f t="shared" ref="D56:Q56" ca="1" si="7">SUM(D54:D55)</f>
        <v>0</v>
      </c>
      <c r="E56" s="677">
        <f t="shared" si="7"/>
        <v>75.556658932000005</v>
      </c>
      <c r="F56" s="677">
        <f t="shared" si="7"/>
        <v>34.933054464081572</v>
      </c>
      <c r="G56" s="677">
        <f t="shared" si="7"/>
        <v>3577.5944914929451</v>
      </c>
      <c r="H56" s="677">
        <f t="shared" si="7"/>
        <v>0</v>
      </c>
      <c r="I56" s="677">
        <f t="shared" si="7"/>
        <v>0</v>
      </c>
      <c r="J56" s="677">
        <f t="shared" si="7"/>
        <v>0</v>
      </c>
      <c r="K56" s="677">
        <f t="shared" si="7"/>
        <v>380.98511845942949</v>
      </c>
      <c r="L56" s="677">
        <f t="shared" si="7"/>
        <v>0</v>
      </c>
      <c r="M56" s="677">
        <f t="shared" si="7"/>
        <v>0</v>
      </c>
      <c r="N56" s="677">
        <f t="shared" si="7"/>
        <v>0</v>
      </c>
      <c r="O56" s="677">
        <f t="shared" si="7"/>
        <v>0</v>
      </c>
      <c r="P56" s="677">
        <f t="shared" si="7"/>
        <v>0</v>
      </c>
      <c r="Q56" s="678">
        <f t="shared" si="7"/>
        <v>0</v>
      </c>
      <c r="R56" s="679">
        <f ca="1">SUM(R54:R55)</f>
        <v>4825.7286593767067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4375.6444632517159</v>
      </c>
      <c r="D61" s="685">
        <f t="shared" ref="D61:Q61" ca="1" si="8">D46+D52+D56</f>
        <v>0</v>
      </c>
      <c r="E61" s="685">
        <f t="shared" ca="1" si="8"/>
        <v>2761.0219960688396</v>
      </c>
      <c r="F61" s="685">
        <f t="shared" si="8"/>
        <v>455.72602806384162</v>
      </c>
      <c r="G61" s="685">
        <f t="shared" ca="1" si="8"/>
        <v>12924.444270766246</v>
      </c>
      <c r="H61" s="685">
        <f t="shared" si="8"/>
        <v>7067.5183510662455</v>
      </c>
      <c r="I61" s="685">
        <f t="shared" si="8"/>
        <v>1888.9879930301342</v>
      </c>
      <c r="J61" s="685">
        <f t="shared" si="8"/>
        <v>0</v>
      </c>
      <c r="K61" s="685">
        <f t="shared" si="8"/>
        <v>442.69088286141255</v>
      </c>
      <c r="L61" s="685">
        <f t="shared" si="8"/>
        <v>0</v>
      </c>
      <c r="M61" s="685">
        <f t="shared" ca="1" si="8"/>
        <v>0</v>
      </c>
      <c r="N61" s="685">
        <f t="shared" si="8"/>
        <v>0</v>
      </c>
      <c r="O61" s="685">
        <f t="shared" ca="1" si="8"/>
        <v>0</v>
      </c>
      <c r="P61" s="685">
        <f t="shared" si="8"/>
        <v>0</v>
      </c>
      <c r="Q61" s="685">
        <f t="shared" si="8"/>
        <v>0</v>
      </c>
      <c r="R61" s="685">
        <f ca="1">R46+R52+R56</f>
        <v>29916.033985108435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0.18450457816455915</v>
      </c>
      <c r="D63" s="731">
        <f t="shared" ca="1" si="9"/>
        <v>0</v>
      </c>
      <c r="E63" s="927">
        <f t="shared" ca="1" si="9"/>
        <v>0.20200000000000004</v>
      </c>
      <c r="F63" s="731">
        <f t="shared" si="9"/>
        <v>0.22700000000000001</v>
      </c>
      <c r="G63" s="731">
        <f t="shared" ca="1" si="9"/>
        <v>0.26700000000000002</v>
      </c>
      <c r="H63" s="731">
        <f t="shared" si="9"/>
        <v>0.26700000000000002</v>
      </c>
      <c r="I63" s="731">
        <f t="shared" si="9"/>
        <v>0.24899999999999997</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3916.3454617550142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3916.3454617550142</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13764.615522441012</v>
      </c>
      <c r="C4" s="444">
        <f>huishoudens!C8</f>
        <v>0</v>
      </c>
      <c r="D4" s="444">
        <f>huishoudens!D8</f>
        <v>10756.4621637</v>
      </c>
      <c r="E4" s="444">
        <f>huishoudens!E8</f>
        <v>1763.7457046253612</v>
      </c>
      <c r="F4" s="444">
        <f>huishoudens!F8</f>
        <v>33942.04815760412</v>
      </c>
      <c r="G4" s="444">
        <f>huishoudens!G8</f>
        <v>0</v>
      </c>
      <c r="H4" s="444">
        <f>huishoudens!H8</f>
        <v>0</v>
      </c>
      <c r="I4" s="444">
        <f>huishoudens!I8</f>
        <v>0</v>
      </c>
      <c r="J4" s="444">
        <f>huishoudens!J8</f>
        <v>173.68507309458133</v>
      </c>
      <c r="K4" s="444">
        <f>huishoudens!K8</f>
        <v>0</v>
      </c>
      <c r="L4" s="444">
        <f>huishoudens!L8</f>
        <v>0</v>
      </c>
      <c r="M4" s="444">
        <f>huishoudens!M8</f>
        <v>0</v>
      </c>
      <c r="N4" s="444">
        <f>huishoudens!N8</f>
        <v>5510.3771042518556</v>
      </c>
      <c r="O4" s="444">
        <f>huishoudens!O8</f>
        <v>196.41186371931616</v>
      </c>
      <c r="P4" s="445">
        <f>huishoudens!P8</f>
        <v>442.42629092277093</v>
      </c>
      <c r="Q4" s="446">
        <f>SUM(B4:P4)</f>
        <v>66549.771880359011</v>
      </c>
    </row>
    <row r="5" spans="1:17">
      <c r="A5" s="443" t="s">
        <v>149</v>
      </c>
      <c r="B5" s="444">
        <f ca="1">tertiair!B16</f>
        <v>3268.2238259999995</v>
      </c>
      <c r="C5" s="444">
        <f ca="1">tertiair!C16</f>
        <v>0</v>
      </c>
      <c r="D5" s="444">
        <f ca="1">tertiair!D16</f>
        <v>1870.2158199999999</v>
      </c>
      <c r="E5" s="444">
        <f>tertiair!E16</f>
        <v>10.158488449109896</v>
      </c>
      <c r="F5" s="444">
        <f ca="1">tertiair!F16</f>
        <v>633.64220265737026</v>
      </c>
      <c r="G5" s="444">
        <f>tertiair!G16</f>
        <v>0</v>
      </c>
      <c r="H5" s="444">
        <f>tertiair!H16</f>
        <v>0</v>
      </c>
      <c r="I5" s="444">
        <f>tertiair!I16</f>
        <v>0</v>
      </c>
      <c r="J5" s="444">
        <f>tertiair!J16</f>
        <v>4.7384606813708789E-3</v>
      </c>
      <c r="K5" s="444">
        <f>tertiair!K16</f>
        <v>0</v>
      </c>
      <c r="L5" s="444">
        <f ca="1">tertiair!L16</f>
        <v>0</v>
      </c>
      <c r="M5" s="444">
        <f>tertiair!M16</f>
        <v>0</v>
      </c>
      <c r="N5" s="444">
        <f ca="1">tertiair!N16</f>
        <v>177.4348323046089</v>
      </c>
      <c r="O5" s="444">
        <f>tertiair!O16</f>
        <v>0</v>
      </c>
      <c r="P5" s="445">
        <f>tertiair!P16</f>
        <v>0</v>
      </c>
      <c r="Q5" s="443">
        <f t="shared" ref="Q5:Q14" ca="1" si="0">SUM(B5:P5)</f>
        <v>5959.6799078717695</v>
      </c>
    </row>
    <row r="6" spans="1:17">
      <c r="A6" s="443" t="s">
        <v>187</v>
      </c>
      <c r="B6" s="444">
        <f>'openbare verlichting'!B8</f>
        <v>657.35400000000004</v>
      </c>
      <c r="C6" s="444"/>
      <c r="D6" s="444"/>
      <c r="E6" s="444"/>
      <c r="F6" s="444"/>
      <c r="G6" s="444"/>
      <c r="H6" s="444"/>
      <c r="I6" s="444"/>
      <c r="J6" s="444"/>
      <c r="K6" s="444"/>
      <c r="L6" s="444"/>
      <c r="M6" s="444"/>
      <c r="N6" s="444"/>
      <c r="O6" s="444"/>
      <c r="P6" s="445"/>
      <c r="Q6" s="443">
        <f t="shared" si="0"/>
        <v>657.35400000000004</v>
      </c>
    </row>
    <row r="7" spans="1:17">
      <c r="A7" s="443" t="s">
        <v>105</v>
      </c>
      <c r="B7" s="444">
        <f>landbouw!B8</f>
        <v>3787.9290000000001</v>
      </c>
      <c r="C7" s="444">
        <f>landbouw!C8</f>
        <v>0</v>
      </c>
      <c r="D7" s="444">
        <f>landbouw!D8</f>
        <v>41.566865999999997</v>
      </c>
      <c r="E7" s="444">
        <f>landbouw!E8</f>
        <v>153.89010777128445</v>
      </c>
      <c r="F7" s="444">
        <f>landbouw!F8</f>
        <v>13399.230305217023</v>
      </c>
      <c r="G7" s="444">
        <f>landbouw!G8</f>
        <v>0</v>
      </c>
      <c r="H7" s="444">
        <f>landbouw!H8</f>
        <v>0</v>
      </c>
      <c r="I7" s="444">
        <f>landbouw!I8</f>
        <v>0</v>
      </c>
      <c r="J7" s="444">
        <f>landbouw!J8</f>
        <v>1076.2291481904788</v>
      </c>
      <c r="K7" s="444">
        <f>landbouw!K8</f>
        <v>0</v>
      </c>
      <c r="L7" s="444">
        <f>landbouw!L8</f>
        <v>0</v>
      </c>
      <c r="M7" s="444">
        <f>landbouw!M8</f>
        <v>0</v>
      </c>
      <c r="N7" s="444">
        <f>landbouw!N8</f>
        <v>0</v>
      </c>
      <c r="O7" s="444">
        <f>landbouw!O8</f>
        <v>0</v>
      </c>
      <c r="P7" s="445">
        <f>landbouw!P8</f>
        <v>0</v>
      </c>
      <c r="Q7" s="443">
        <f t="shared" si="0"/>
        <v>18458.845427178789</v>
      </c>
    </row>
    <row r="8" spans="1:17">
      <c r="A8" s="443" t="s">
        <v>587</v>
      </c>
      <c r="B8" s="444">
        <f>industrie!B18</f>
        <v>1878.010229</v>
      </c>
      <c r="C8" s="444">
        <f>industrie!C18</f>
        <v>0</v>
      </c>
      <c r="D8" s="444">
        <f>industrie!D18</f>
        <v>587.68096200000002</v>
      </c>
      <c r="E8" s="444">
        <f>industrie!E18</f>
        <v>13.159015031010986</v>
      </c>
      <c r="F8" s="444">
        <f>industrie!F18</f>
        <v>431.23765199806087</v>
      </c>
      <c r="G8" s="444">
        <f>industrie!G18</f>
        <v>0</v>
      </c>
      <c r="H8" s="444">
        <f>industrie!H18</f>
        <v>0</v>
      </c>
      <c r="I8" s="444">
        <f>industrie!I18</f>
        <v>0</v>
      </c>
      <c r="J8" s="444">
        <f>industrie!J18</f>
        <v>0.62025737689280325</v>
      </c>
      <c r="K8" s="444">
        <f>industrie!K18</f>
        <v>0</v>
      </c>
      <c r="L8" s="444">
        <f>industrie!L18</f>
        <v>0</v>
      </c>
      <c r="M8" s="444">
        <f>industrie!M18</f>
        <v>0</v>
      </c>
      <c r="N8" s="444">
        <f>industrie!N18</f>
        <v>448.64793051862171</v>
      </c>
      <c r="O8" s="444">
        <f>industrie!O18</f>
        <v>0</v>
      </c>
      <c r="P8" s="445">
        <f>industrie!P18</f>
        <v>0</v>
      </c>
      <c r="Q8" s="443">
        <f t="shared" si="0"/>
        <v>3359.3560459245859</v>
      </c>
    </row>
    <row r="9" spans="1:17" s="449" customFormat="1">
      <c r="A9" s="447" t="s">
        <v>536</v>
      </c>
      <c r="B9" s="448">
        <f>transport!B14</f>
        <v>38.693635604466714</v>
      </c>
      <c r="C9" s="448">
        <f>transport!C14</f>
        <v>0</v>
      </c>
      <c r="D9" s="448">
        <f>transport!D14</f>
        <v>80.023911413066131</v>
      </c>
      <c r="E9" s="448">
        <f>transport!E14</f>
        <v>66.650331981566481</v>
      </c>
      <c r="F9" s="448">
        <f>transport!F14</f>
        <v>0</v>
      </c>
      <c r="G9" s="448">
        <f>transport!G14</f>
        <v>25911.388233931335</v>
      </c>
      <c r="H9" s="448">
        <f>transport!H14</f>
        <v>7586.2971607635918</v>
      </c>
      <c r="I9" s="448">
        <f>transport!I14</f>
        <v>0</v>
      </c>
      <c r="J9" s="448">
        <f>transport!J14</f>
        <v>0</v>
      </c>
      <c r="K9" s="448">
        <f>transport!K14</f>
        <v>0</v>
      </c>
      <c r="L9" s="448">
        <f>transport!L14</f>
        <v>0</v>
      </c>
      <c r="M9" s="448">
        <f>transport!M14</f>
        <v>1995.8722450518856</v>
      </c>
      <c r="N9" s="448">
        <f>transport!N14</f>
        <v>0</v>
      </c>
      <c r="O9" s="448">
        <f>transport!O14</f>
        <v>0</v>
      </c>
      <c r="P9" s="448">
        <f>transport!P14</f>
        <v>0</v>
      </c>
      <c r="Q9" s="447">
        <f>SUM(B9:P9)</f>
        <v>35678.925518745906</v>
      </c>
    </row>
    <row r="10" spans="1:17">
      <c r="A10" s="443" t="s">
        <v>526</v>
      </c>
      <c r="B10" s="444">
        <f>transport!B54</f>
        <v>7.711612518204368</v>
      </c>
      <c r="C10" s="444">
        <f>transport!C54</f>
        <v>0</v>
      </c>
      <c r="D10" s="444">
        <f>transport!D54</f>
        <v>0</v>
      </c>
      <c r="E10" s="444">
        <f>transport!E54</f>
        <v>0</v>
      </c>
      <c r="F10" s="444">
        <f>transport!F54</f>
        <v>0</v>
      </c>
      <c r="G10" s="444">
        <f>transport!G54</f>
        <v>558.71794983737311</v>
      </c>
      <c r="H10" s="444">
        <f>transport!H54</f>
        <v>0</v>
      </c>
      <c r="I10" s="444">
        <f>transport!I54</f>
        <v>0</v>
      </c>
      <c r="J10" s="444">
        <f>transport!J54</f>
        <v>0</v>
      </c>
      <c r="K10" s="444">
        <f>transport!K54</f>
        <v>0</v>
      </c>
      <c r="L10" s="444">
        <f>transport!L54</f>
        <v>0</v>
      </c>
      <c r="M10" s="444">
        <f>transport!M54</f>
        <v>31.602751123498109</v>
      </c>
      <c r="N10" s="444">
        <f>transport!N54</f>
        <v>0</v>
      </c>
      <c r="O10" s="444">
        <f>transport!O54</f>
        <v>0</v>
      </c>
      <c r="P10" s="445">
        <f>transport!P54</f>
        <v>0</v>
      </c>
      <c r="Q10" s="443">
        <f t="shared" si="0"/>
        <v>598.03231347907558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313.10384999999997</v>
      </c>
      <c r="C14" s="451"/>
      <c r="D14" s="451">
        <f>'SEAP template'!E25</f>
        <v>332.476</v>
      </c>
      <c r="E14" s="451"/>
      <c r="F14" s="451"/>
      <c r="G14" s="451"/>
      <c r="H14" s="451"/>
      <c r="I14" s="451"/>
      <c r="J14" s="451"/>
      <c r="K14" s="451"/>
      <c r="L14" s="451"/>
      <c r="M14" s="451"/>
      <c r="N14" s="451"/>
      <c r="O14" s="451"/>
      <c r="P14" s="452"/>
      <c r="Q14" s="443">
        <f t="shared" si="0"/>
        <v>645.57984999999996</v>
      </c>
    </row>
    <row r="15" spans="1:17" s="455" customFormat="1">
      <c r="A15" s="453" t="s">
        <v>530</v>
      </c>
      <c r="B15" s="454">
        <f ca="1">SUM(B4:B14)</f>
        <v>23715.641675563682</v>
      </c>
      <c r="C15" s="454">
        <f t="shared" ref="C15:Q15" ca="1" si="1">SUM(C4:C14)</f>
        <v>0</v>
      </c>
      <c r="D15" s="454">
        <f t="shared" ca="1" si="1"/>
        <v>13668.425723113065</v>
      </c>
      <c r="E15" s="454">
        <f t="shared" si="1"/>
        <v>2007.603647858333</v>
      </c>
      <c r="F15" s="454">
        <f t="shared" ca="1" si="1"/>
        <v>48406.158317476576</v>
      </c>
      <c r="G15" s="454">
        <f t="shared" si="1"/>
        <v>26470.106183768708</v>
      </c>
      <c r="H15" s="454">
        <f t="shared" si="1"/>
        <v>7586.2971607635918</v>
      </c>
      <c r="I15" s="454">
        <f t="shared" si="1"/>
        <v>0</v>
      </c>
      <c r="J15" s="454">
        <f t="shared" si="1"/>
        <v>1250.5392171226342</v>
      </c>
      <c r="K15" s="454">
        <f t="shared" si="1"/>
        <v>0</v>
      </c>
      <c r="L15" s="454">
        <f t="shared" ca="1" si="1"/>
        <v>0</v>
      </c>
      <c r="M15" s="454">
        <f t="shared" si="1"/>
        <v>2027.4749961753837</v>
      </c>
      <c r="N15" s="454">
        <f t="shared" ca="1" si="1"/>
        <v>6136.4598670750856</v>
      </c>
      <c r="O15" s="454">
        <f t="shared" si="1"/>
        <v>196.41186371931616</v>
      </c>
      <c r="P15" s="454">
        <f t="shared" si="1"/>
        <v>442.42629092277093</v>
      </c>
      <c r="Q15" s="454">
        <f t="shared" ca="1" si="1"/>
        <v>131907.54494355916</v>
      </c>
    </row>
    <row r="17" spans="1:17">
      <c r="A17" s="456" t="s">
        <v>531</v>
      </c>
      <c r="B17" s="736">
        <f ca="1">huishoudens!B10</f>
        <v>0.18450457816455912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2539.6345805653214</v>
      </c>
      <c r="C22" s="444">
        <f t="shared" ref="C22:C32" ca="1" si="3">C4*$C$17</f>
        <v>0</v>
      </c>
      <c r="D22" s="444">
        <f t="shared" ref="D22:D32" si="4">D4*$D$17</f>
        <v>2172.8053570674001</v>
      </c>
      <c r="E22" s="444">
        <f t="shared" ref="E22:E32" si="5">E4*$E$17</f>
        <v>400.37027494995704</v>
      </c>
      <c r="F22" s="444">
        <f t="shared" ref="F22:F32" si="6">F4*$F$17</f>
        <v>9062.5268580803004</v>
      </c>
      <c r="G22" s="444">
        <f t="shared" ref="G22:G32" si="7">G4*$G$17</f>
        <v>0</v>
      </c>
      <c r="H22" s="444">
        <f t="shared" ref="H22:H32" si="8">H4*$H$17</f>
        <v>0</v>
      </c>
      <c r="I22" s="444">
        <f t="shared" ref="I22:I32" si="9">I4*$I$17</f>
        <v>0</v>
      </c>
      <c r="J22" s="444">
        <f t="shared" ref="J22:J32" si="10">J4*$J$17</f>
        <v>61.484515875481783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14236.821586538461</v>
      </c>
    </row>
    <row r="23" spans="1:17">
      <c r="A23" s="443" t="s">
        <v>149</v>
      </c>
      <c r="B23" s="444">
        <f t="shared" ca="1" si="2"/>
        <v>603.00225836349136</v>
      </c>
      <c r="C23" s="444">
        <f t="shared" ca="1" si="3"/>
        <v>0</v>
      </c>
      <c r="D23" s="444">
        <f t="shared" ca="1" si="4"/>
        <v>377.78359563999999</v>
      </c>
      <c r="E23" s="444">
        <f t="shared" si="5"/>
        <v>2.3059768779479466</v>
      </c>
      <c r="F23" s="444">
        <f t="shared" ca="1" si="6"/>
        <v>169.18246810951786</v>
      </c>
      <c r="G23" s="444">
        <f t="shared" si="7"/>
        <v>0</v>
      </c>
      <c r="H23" s="444">
        <f t="shared" si="8"/>
        <v>0</v>
      </c>
      <c r="I23" s="444">
        <f t="shared" si="9"/>
        <v>0</v>
      </c>
      <c r="J23" s="444">
        <f t="shared" si="10"/>
        <v>1.677415081205291E-3</v>
      </c>
      <c r="K23" s="444">
        <f t="shared" si="11"/>
        <v>0</v>
      </c>
      <c r="L23" s="444">
        <f t="shared" ca="1" si="12"/>
        <v>0</v>
      </c>
      <c r="M23" s="444">
        <f t="shared" si="13"/>
        <v>0</v>
      </c>
      <c r="N23" s="444">
        <f t="shared" ca="1" si="14"/>
        <v>0</v>
      </c>
      <c r="O23" s="444">
        <f t="shared" si="15"/>
        <v>0</v>
      </c>
      <c r="P23" s="445">
        <f t="shared" si="16"/>
        <v>0</v>
      </c>
      <c r="Q23" s="443">
        <f t="shared" ref="Q23:Q31" ca="1" si="17">SUM(B23:P23)</f>
        <v>1152.2759764060384</v>
      </c>
    </row>
    <row r="24" spans="1:17">
      <c r="A24" s="443" t="s">
        <v>187</v>
      </c>
      <c r="B24" s="444">
        <f t="shared" ca="1" si="2"/>
        <v>121.2848224747856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121.2848224747856</v>
      </c>
    </row>
    <row r="25" spans="1:17">
      <c r="A25" s="443" t="s">
        <v>105</v>
      </c>
      <c r="B25" s="444">
        <f t="shared" ca="1" si="2"/>
        <v>698.89024226230026</v>
      </c>
      <c r="C25" s="444">
        <f t="shared" ca="1" si="3"/>
        <v>0</v>
      </c>
      <c r="D25" s="444">
        <f t="shared" si="4"/>
        <v>8.3965069319999994</v>
      </c>
      <c r="E25" s="444">
        <f t="shared" si="5"/>
        <v>34.933054464081572</v>
      </c>
      <c r="F25" s="444">
        <f t="shared" si="6"/>
        <v>3577.5944914929451</v>
      </c>
      <c r="G25" s="444">
        <f t="shared" si="7"/>
        <v>0</v>
      </c>
      <c r="H25" s="444">
        <f t="shared" si="8"/>
        <v>0</v>
      </c>
      <c r="I25" s="444">
        <f t="shared" si="9"/>
        <v>0</v>
      </c>
      <c r="J25" s="444">
        <f t="shared" si="10"/>
        <v>380.98511845942949</v>
      </c>
      <c r="K25" s="444">
        <f t="shared" si="11"/>
        <v>0</v>
      </c>
      <c r="L25" s="444">
        <f t="shared" si="12"/>
        <v>0</v>
      </c>
      <c r="M25" s="444">
        <f t="shared" si="13"/>
        <v>0</v>
      </c>
      <c r="N25" s="444">
        <f t="shared" si="14"/>
        <v>0</v>
      </c>
      <c r="O25" s="444">
        <f t="shared" si="15"/>
        <v>0</v>
      </c>
      <c r="P25" s="445">
        <f t="shared" si="16"/>
        <v>0</v>
      </c>
      <c r="Q25" s="443">
        <f t="shared" ca="1" si="17"/>
        <v>4700.7994136107573</v>
      </c>
    </row>
    <row r="26" spans="1:17">
      <c r="A26" s="443" t="s">
        <v>587</v>
      </c>
      <c r="B26" s="444">
        <f t="shared" ca="1" si="2"/>
        <v>346.50148509037206</v>
      </c>
      <c r="C26" s="444">
        <f t="shared" ca="1" si="3"/>
        <v>0</v>
      </c>
      <c r="D26" s="444">
        <f t="shared" si="4"/>
        <v>118.71155432400001</v>
      </c>
      <c r="E26" s="444">
        <f t="shared" si="5"/>
        <v>2.9870964120394938</v>
      </c>
      <c r="F26" s="444">
        <f t="shared" si="6"/>
        <v>115.14045308348226</v>
      </c>
      <c r="G26" s="444">
        <f t="shared" si="7"/>
        <v>0</v>
      </c>
      <c r="H26" s="444">
        <f t="shared" si="8"/>
        <v>0</v>
      </c>
      <c r="I26" s="444">
        <f t="shared" si="9"/>
        <v>0</v>
      </c>
      <c r="J26" s="444">
        <f t="shared" si="10"/>
        <v>0.21957111142005234</v>
      </c>
      <c r="K26" s="444">
        <f t="shared" si="11"/>
        <v>0</v>
      </c>
      <c r="L26" s="444">
        <f t="shared" si="12"/>
        <v>0</v>
      </c>
      <c r="M26" s="444">
        <f t="shared" si="13"/>
        <v>0</v>
      </c>
      <c r="N26" s="444">
        <f t="shared" si="14"/>
        <v>0</v>
      </c>
      <c r="O26" s="444">
        <f t="shared" si="15"/>
        <v>0</v>
      </c>
      <c r="P26" s="445">
        <f t="shared" si="16"/>
        <v>0</v>
      </c>
      <c r="Q26" s="443">
        <f t="shared" ca="1" si="17"/>
        <v>583.56016002131378</v>
      </c>
    </row>
    <row r="27" spans="1:17" s="449" customFormat="1">
      <c r="A27" s="447" t="s">
        <v>536</v>
      </c>
      <c r="B27" s="730">
        <f t="shared" ca="1" si="2"/>
        <v>7.1391529148552966</v>
      </c>
      <c r="C27" s="448">
        <f t="shared" ca="1" si="3"/>
        <v>0</v>
      </c>
      <c r="D27" s="448">
        <f t="shared" si="4"/>
        <v>16.164830105439361</v>
      </c>
      <c r="E27" s="448">
        <f t="shared" si="5"/>
        <v>15.129625359815591</v>
      </c>
      <c r="F27" s="448">
        <f t="shared" si="6"/>
        <v>0</v>
      </c>
      <c r="G27" s="448">
        <f t="shared" si="7"/>
        <v>6918.3406584596669</v>
      </c>
      <c r="H27" s="448">
        <f t="shared" si="8"/>
        <v>1888.9879930301342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8845.7622598699108</v>
      </c>
    </row>
    <row r="28" spans="1:17" ht="16.5" customHeight="1">
      <c r="A28" s="443" t="s">
        <v>526</v>
      </c>
      <c r="B28" s="444">
        <f t="shared" ca="1" si="2"/>
        <v>1.4228278146398303</v>
      </c>
      <c r="C28" s="444">
        <f t="shared" ca="1" si="3"/>
        <v>0</v>
      </c>
      <c r="D28" s="444">
        <f t="shared" si="4"/>
        <v>0</v>
      </c>
      <c r="E28" s="444">
        <f t="shared" si="5"/>
        <v>0</v>
      </c>
      <c r="F28" s="444">
        <f t="shared" si="6"/>
        <v>0</v>
      </c>
      <c r="G28" s="444">
        <f t="shared" si="7"/>
        <v>149.17769260657863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150.60052042121845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57.769093765949385</v>
      </c>
      <c r="C32" s="444">
        <f t="shared" ca="1" si="3"/>
        <v>0</v>
      </c>
      <c r="D32" s="444">
        <f t="shared" si="4"/>
        <v>67.160152000000011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124.92924576594939</v>
      </c>
    </row>
    <row r="33" spans="1:17" s="455" customFormat="1">
      <c r="A33" s="453" t="s">
        <v>530</v>
      </c>
      <c r="B33" s="454">
        <f ca="1">SUM(B22:B32)</f>
        <v>4375.6444632517141</v>
      </c>
      <c r="C33" s="454">
        <f t="shared" ref="C33:Q33" ca="1" si="19">SUM(C22:C32)</f>
        <v>0</v>
      </c>
      <c r="D33" s="454">
        <f t="shared" ca="1" si="19"/>
        <v>2761.0219960688396</v>
      </c>
      <c r="E33" s="454">
        <f t="shared" si="19"/>
        <v>455.72602806384162</v>
      </c>
      <c r="F33" s="454">
        <f t="shared" ca="1" si="19"/>
        <v>12924.444270766247</v>
      </c>
      <c r="G33" s="454">
        <f t="shared" si="19"/>
        <v>7067.5183510662455</v>
      </c>
      <c r="H33" s="454">
        <f t="shared" si="19"/>
        <v>1888.9879930301342</v>
      </c>
      <c r="I33" s="454">
        <f t="shared" si="19"/>
        <v>0</v>
      </c>
      <c r="J33" s="454">
        <f t="shared" si="19"/>
        <v>442.69088286141255</v>
      </c>
      <c r="K33" s="454">
        <f t="shared" si="19"/>
        <v>0</v>
      </c>
      <c r="L33" s="454">
        <f t="shared" ca="1" si="19"/>
        <v>0</v>
      </c>
      <c r="M33" s="454">
        <f t="shared" si="19"/>
        <v>0</v>
      </c>
      <c r="N33" s="454">
        <f t="shared" ca="1" si="19"/>
        <v>0</v>
      </c>
      <c r="O33" s="454">
        <f t="shared" si="19"/>
        <v>0</v>
      </c>
      <c r="P33" s="454">
        <f t="shared" si="19"/>
        <v>0</v>
      </c>
      <c r="Q33" s="454">
        <f t="shared" ca="1" si="19"/>
        <v>29916.033985108432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3916.3454617550142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3916.3454617550142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0.18450457816455912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0.18450457816455912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2022-07-26T10:13:36Z</dcterms:modified>
</cp:coreProperties>
</file>